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Joy\2016\August\"/>
    </mc:Choice>
  </mc:AlternateContent>
  <bookViews>
    <workbookView xWindow="390" yWindow="525" windowWidth="20775" windowHeight="11445" activeTab="2"/>
  </bookViews>
  <sheets>
    <sheet name="Uniformity 1" sheetId="2" r:id="rId1"/>
    <sheet name="SST" sheetId="1" r:id="rId2"/>
    <sheet name="TRAMADOL HYDROCHLORIDE " sheetId="6" r:id="rId3"/>
  </sheets>
  <calcPr calcId="152511"/>
</workbook>
</file>

<file path=xl/calcChain.xml><?xml version="1.0" encoding="utf-8"?>
<calcChain xmlns="http://schemas.openxmlformats.org/spreadsheetml/2006/main">
  <c r="B20" i="1" l="1"/>
  <c r="B19" i="1"/>
  <c r="B18" i="1"/>
  <c r="B17" i="1"/>
  <c r="C120" i="6" l="1"/>
  <c r="B116" i="6"/>
  <c r="D100" i="6" s="1"/>
  <c r="B98" i="6"/>
  <c r="F95" i="6"/>
  <c r="D95" i="6"/>
  <c r="G94" i="6"/>
  <c r="E94" i="6"/>
  <c r="B87" i="6"/>
  <c r="F97" i="6" s="1"/>
  <c r="B81" i="6"/>
  <c r="B83" i="6" s="1"/>
  <c r="B80" i="6"/>
  <c r="B79" i="6"/>
  <c r="C76" i="6"/>
  <c r="H71" i="6"/>
  <c r="G71" i="6"/>
  <c r="B68" i="6"/>
  <c r="B69" i="6" s="1"/>
  <c r="H67" i="6"/>
  <c r="G67" i="6"/>
  <c r="H63" i="6"/>
  <c r="G63" i="6"/>
  <c r="C56" i="6"/>
  <c r="B55" i="6"/>
  <c r="B45" i="6"/>
  <c r="D48" i="6" s="1"/>
  <c r="F44" i="6"/>
  <c r="F45" i="6" s="1"/>
  <c r="D44" i="6"/>
  <c r="D45" i="6" s="1"/>
  <c r="F42" i="6"/>
  <c r="D42" i="6"/>
  <c r="I39" i="6" s="1"/>
  <c r="G41" i="6"/>
  <c r="E41" i="6"/>
  <c r="B34" i="6"/>
  <c r="B30" i="6"/>
  <c r="F46" i="6" l="1"/>
  <c r="D46" i="6"/>
  <c r="B21" i="1" s="1"/>
  <c r="D101" i="6"/>
  <c r="D102" i="6" s="1"/>
  <c r="I92" i="6"/>
  <c r="E38" i="6"/>
  <c r="G40" i="6"/>
  <c r="E40" i="6"/>
  <c r="G39" i="6"/>
  <c r="E39" i="6"/>
  <c r="D49" i="6"/>
  <c r="G38" i="6"/>
  <c r="F98" i="6"/>
  <c r="F99" i="6" s="1"/>
  <c r="D97" i="6"/>
  <c r="D98" i="6" s="1"/>
  <c r="D99" i="6" s="1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3" i="2" l="1"/>
  <c r="E92" i="6"/>
  <c r="E91" i="6"/>
  <c r="G92" i="6"/>
  <c r="G42" i="6"/>
  <c r="G93" i="6"/>
  <c r="G91" i="6"/>
  <c r="D52" i="6"/>
  <c r="E42" i="6"/>
  <c r="D50" i="6"/>
  <c r="E93" i="6"/>
  <c r="D42" i="2"/>
  <c r="E95" i="6" l="1"/>
  <c r="E35" i="2"/>
  <c r="E37" i="2"/>
  <c r="C47" i="2"/>
  <c r="E27" i="2"/>
  <c r="D48" i="2"/>
  <c r="E32" i="2"/>
  <c r="E21" i="2"/>
  <c r="E25" i="2"/>
  <c r="E33" i="2"/>
  <c r="E36" i="2"/>
  <c r="E26" i="2"/>
  <c r="C48" i="2"/>
  <c r="E23" i="2"/>
  <c r="D47" i="2"/>
  <c r="E30" i="2"/>
  <c r="E39" i="2"/>
  <c r="E29" i="2"/>
  <c r="E28" i="2"/>
  <c r="B47" i="2"/>
  <c r="E34" i="2"/>
  <c r="E31" i="2"/>
  <c r="E24" i="2"/>
  <c r="E40" i="2"/>
  <c r="E22" i="2"/>
  <c r="E38" i="2"/>
  <c r="D103" i="6"/>
  <c r="E112" i="6" s="1"/>
  <c r="F112" i="6" s="1"/>
  <c r="D105" i="6"/>
  <c r="G95" i="6"/>
  <c r="G68" i="6"/>
  <c r="H68" i="6" s="1"/>
  <c r="G69" i="6"/>
  <c r="H69" i="6" s="1"/>
  <c r="G66" i="6"/>
  <c r="H66" i="6" s="1"/>
  <c r="G64" i="6"/>
  <c r="H64" i="6" s="1"/>
  <c r="G62" i="6"/>
  <c r="H62" i="6" s="1"/>
  <c r="G60" i="6"/>
  <c r="D51" i="6"/>
  <c r="G70" i="6"/>
  <c r="H70" i="6" s="1"/>
  <c r="G65" i="6"/>
  <c r="H65" i="6" s="1"/>
  <c r="G61" i="6"/>
  <c r="H61" i="6" s="1"/>
  <c r="E111" i="6" l="1"/>
  <c r="F111" i="6" s="1"/>
  <c r="D104" i="6"/>
  <c r="E108" i="6"/>
  <c r="E113" i="6"/>
  <c r="F113" i="6" s="1"/>
  <c r="E110" i="6"/>
  <c r="F110" i="6" s="1"/>
  <c r="E109" i="6"/>
  <c r="F109" i="6" s="1"/>
  <c r="H60" i="6"/>
  <c r="G74" i="6"/>
  <c r="G72" i="6"/>
  <c r="G73" i="6" s="1"/>
  <c r="E115" i="6" l="1"/>
  <c r="E116" i="6" s="1"/>
  <c r="F108" i="6"/>
  <c r="F117" i="6" s="1"/>
  <c r="E117" i="6"/>
  <c r="H74" i="6"/>
  <c r="H72" i="6"/>
  <c r="F115" i="6" l="1"/>
  <c r="G120" i="6" s="1"/>
  <c r="G76" i="6"/>
  <c r="H73" i="6"/>
  <c r="F116" i="6" l="1"/>
</calcChain>
</file>

<file path=xl/sharedStrings.xml><?xml version="1.0" encoding="utf-8"?>
<sst xmlns="http://schemas.openxmlformats.org/spreadsheetml/2006/main" count="237" uniqueCount="134">
  <si>
    <t>HPLC System Suitability Report</t>
  </si>
  <si>
    <t>Analysis Data</t>
  </si>
  <si>
    <t>Assay</t>
  </si>
  <si>
    <t>Sample(s)</t>
  </si>
  <si>
    <t>Reference Substance:</t>
  </si>
  <si>
    <t>DOLTAM 100</t>
  </si>
  <si>
    <t>% age Purity:</t>
  </si>
  <si>
    <t>NDQD201601653</t>
  </si>
  <si>
    <t>Weight (mg):</t>
  </si>
  <si>
    <t>Tramadol HCl</t>
  </si>
  <si>
    <t>Standard Conc (mg/mL):</t>
  </si>
  <si>
    <t>Each hard gelatin capsule contains Tramadol Hydrochloride BP 100 mg</t>
  </si>
  <si>
    <t>2016-01-12 14:58:45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</si>
  <si>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</si>
  <si>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</si>
  <si>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</si>
  <si>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</si>
  <si>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</si>
  <si>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</si>
  <si>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</si>
  <si>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</si>
  <si>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</si>
  <si>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</si>
  <si>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</si>
  <si>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</si>
  <si>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</si>
  <si>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</si>
  <si>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</si>
  <si>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</si>
  <si>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</si>
  <si>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</si>
  <si>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</si>
  <si>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</si>
  <si>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</si>
  <si>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</si>
  <si>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</si>
  <si>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</si>
  <si>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</si>
  <si>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</si>
  <si>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2016-06-15 09:08:55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</si>
  <si>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</si>
  <si>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</si>
  <si>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</si>
  <si>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</si>
  <si>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</si>
  <si>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</si>
  <si>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</si>
  <si>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</si>
  <si>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</si>
  <si>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</si>
  <si>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</si>
  <si>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</si>
  <si>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</si>
  <si>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</si>
  <si>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</si>
  <si>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</si>
  <si>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</si>
  <si>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</si>
  <si>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</si>
  <si>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</si>
  <si>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</si>
  <si>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</si>
  <si>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</si>
  <si>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</si>
  <si>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</si>
  <si>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</si>
  <si>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</si>
  <si>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</si>
  <si>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</si>
  <si>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</si>
  <si>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</si>
  <si>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</si>
  <si>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</si>
  <si>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</si>
  <si>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</si>
  <si>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</si>
  <si>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</si>
  <si>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</si>
  <si>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</si>
  <si>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</si>
  <si>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</si>
  <si>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</si>
  <si>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</si>
  <si>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</si>
  <si>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</si>
  <si>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</si>
  <si>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</si>
  <si>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</si>
  <si>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</si>
  <si>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</si>
  <si>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</si>
  <si>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</si>
  <si>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</si>
  <si>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</si>
  <si>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</si>
  <si>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</si>
  <si>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</si>
  <si>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</si>
  <si>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</si>
  <si>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</si>
  <si>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</si>
  <si>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</si>
  <si>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</si>
  <si>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</si>
  <si>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</si>
  <si>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</si>
  <si>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</si>
  <si>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</si>
  <si>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</si>
  <si>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</si>
  <si>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</si>
  <si>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</si>
  <si>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</si>
  <si>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</si>
  <si>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</si>
  <si>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</si>
  <si>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</si>
  <si>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</si>
  <si>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</si>
  <si>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</si>
  <si>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</si>
  <si>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</si>
  <si>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</si>
  <si>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</si>
  <si>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</si>
  <si>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</si>
  <si>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</si>
  <si>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</si>
  <si>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TRAMADOL HYDROCHLORIDE</t>
  </si>
  <si>
    <t>T28-1</t>
  </si>
  <si>
    <t>14th June 2016</t>
  </si>
  <si>
    <t>6th July 2016</t>
  </si>
  <si>
    <t>JOYFRIDA</t>
  </si>
  <si>
    <t>8TH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</si>
</sst>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166" fontId="13" fillId="3" borderId="43" xfId="0" applyNumberFormat="1" applyFont="1" applyFill="1" applyBorder="1" applyAlignment="1" applyProtection="1">
      <alignment horizontal="center"/>
      <protection locked="0"/>
    </xf>
    <xf numFmtId="166" fontId="13" fillId="3" borderId="46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2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2" fillId="2" borderId="5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34" workbookViewId="0">
      <selection activeCell="I27" sqref="I27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86" t="s">
        <v>31</v>
      </c>
      <c r="B8" s="286"/>
      <c r="C8" s="286"/>
      <c r="D8" s="286"/>
      <c r="E8" s="286"/>
      <c r="F8" s="286"/>
      <c r="G8" s="286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87" t="s">
        <v>32</v>
      </c>
      <c r="B10" s="287"/>
      <c r="C10" s="287"/>
      <c r="D10" s="287"/>
      <c r="E10" s="287"/>
      <c r="F10" s="287"/>
      <c r="G10" s="287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84" t="s">
        <v>33</v>
      </c>
      <c r="B11" s="28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84" t="s">
        <v>34</v>
      </c>
      <c r="B12" s="28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84" t="s">
        <v>35</v>
      </c>
      <c r="B13" s="28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84" t="s">
        <v>36</v>
      </c>
      <c r="B14" s="284"/>
      <c r="C14" s="285" t="s">
        <v>11</v>
      </c>
      <c r="D14" s="285"/>
      <c r="E14" s="285"/>
      <c r="F14" s="285"/>
      <c r="G14" s="285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84" t="s">
        <v>37</v>
      </c>
      <c r="B15" s="28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84" t="s">
        <v>38</v>
      </c>
      <c r="B16" s="284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88" t="s">
        <v>1</v>
      </c>
      <c r="B18" s="288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302.38</v>
      </c>
      <c r="C21" s="83">
        <v>64.459999999999994</v>
      </c>
      <c r="D21" s="84">
        <f t="shared" ref="D21:D40" si="0">B21-C21</f>
        <v>237.92000000000002</v>
      </c>
      <c r="E21" s="85">
        <f t="shared" ref="E21:E40" si="1">(D21-$D$43)/$D$43</f>
        <v>7.6561085972850745E-2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273.97000000000003</v>
      </c>
      <c r="C22" s="88">
        <v>63.85</v>
      </c>
      <c r="D22" s="89">
        <f t="shared" si="0"/>
        <v>210.12000000000003</v>
      </c>
      <c r="E22" s="85">
        <f t="shared" si="1"/>
        <v>-4.9230769230769085E-2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313.17</v>
      </c>
      <c r="C23" s="88">
        <v>63.69</v>
      </c>
      <c r="D23" s="89">
        <f t="shared" si="0"/>
        <v>249.48000000000002</v>
      </c>
      <c r="E23" s="85">
        <f t="shared" si="1"/>
        <v>0.12886877828054308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285.79000000000002</v>
      </c>
      <c r="C24" s="88">
        <v>61.67</v>
      </c>
      <c r="D24" s="89">
        <f t="shared" si="0"/>
        <v>224.12</v>
      </c>
      <c r="E24" s="85">
        <f t="shared" si="1"/>
        <v>1.4117647058823551E-2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274.02</v>
      </c>
      <c r="C25" s="88">
        <v>66.92</v>
      </c>
      <c r="D25" s="89">
        <f t="shared" si="0"/>
        <v>207.09999999999997</v>
      </c>
      <c r="E25" s="85">
        <f t="shared" si="1"/>
        <v>-6.2895927601810106E-2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297.08</v>
      </c>
      <c r="C26" s="88">
        <v>61.99</v>
      </c>
      <c r="D26" s="89">
        <f t="shared" si="0"/>
        <v>235.08999999999997</v>
      </c>
      <c r="E26" s="85">
        <f t="shared" si="1"/>
        <v>6.3755656108597167E-2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295.08</v>
      </c>
      <c r="C27" s="88">
        <v>64.91</v>
      </c>
      <c r="D27" s="89">
        <f t="shared" si="0"/>
        <v>230.17</v>
      </c>
      <c r="E27" s="85">
        <f t="shared" si="1"/>
        <v>4.1493212669683199E-2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279.57</v>
      </c>
      <c r="C28" s="88">
        <v>60.68</v>
      </c>
      <c r="D28" s="89">
        <f t="shared" si="0"/>
        <v>218.89</v>
      </c>
      <c r="E28" s="85">
        <f t="shared" si="1"/>
        <v>-9.5475113122172571E-3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297.24</v>
      </c>
      <c r="C29" s="88">
        <v>65.88</v>
      </c>
      <c r="D29" s="89">
        <f t="shared" si="0"/>
        <v>231.36</v>
      </c>
      <c r="E29" s="85">
        <f t="shared" si="1"/>
        <v>4.6877828054298701E-2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294.52999999999997</v>
      </c>
      <c r="C30" s="88">
        <v>60.75</v>
      </c>
      <c r="D30" s="89">
        <f t="shared" si="0"/>
        <v>233.77999999999997</v>
      </c>
      <c r="E30" s="85">
        <f t="shared" si="1"/>
        <v>5.7828054298642413E-2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284.75</v>
      </c>
      <c r="C31" s="88">
        <v>58.35</v>
      </c>
      <c r="D31" s="89">
        <f t="shared" si="0"/>
        <v>226.4</v>
      </c>
      <c r="E31" s="85">
        <f t="shared" si="1"/>
        <v>2.4434389140271517E-2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253.44</v>
      </c>
      <c r="C32" s="88">
        <v>67.040000000000006</v>
      </c>
      <c r="D32" s="89">
        <f t="shared" si="0"/>
        <v>186.39999999999998</v>
      </c>
      <c r="E32" s="85">
        <f t="shared" si="1"/>
        <v>-0.15656108597285079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273.51</v>
      </c>
      <c r="C33" s="88">
        <v>62.89</v>
      </c>
      <c r="D33" s="89">
        <f t="shared" si="0"/>
        <v>210.62</v>
      </c>
      <c r="E33" s="85">
        <f t="shared" si="1"/>
        <v>-4.6968325791855184E-2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270.31</v>
      </c>
      <c r="C34" s="88">
        <v>64.31</v>
      </c>
      <c r="D34" s="89">
        <f t="shared" si="0"/>
        <v>206</v>
      </c>
      <c r="E34" s="85">
        <f t="shared" si="1"/>
        <v>-6.7873303167420809E-2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299.24</v>
      </c>
      <c r="C35" s="118">
        <v>61.18</v>
      </c>
      <c r="D35" s="89">
        <f t="shared" si="0"/>
        <v>238.06</v>
      </c>
      <c r="E35" s="85">
        <f t="shared" si="1"/>
        <v>7.7194570135746612E-2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286.58999999999997</v>
      </c>
      <c r="C36" s="118">
        <v>61.72</v>
      </c>
      <c r="D36" s="89">
        <f t="shared" si="0"/>
        <v>224.86999999999998</v>
      </c>
      <c r="E36" s="85">
        <f t="shared" si="1"/>
        <v>1.7511312217194461E-2</v>
      </c>
      <c r="G36" s="66"/>
      <c r="H36" s="66"/>
    </row>
    <row r="37" spans="1:15" ht="15" x14ac:dyDescent="0.3">
      <c r="A37" s="86">
        <v>17</v>
      </c>
      <c r="B37" s="90">
        <v>276.38</v>
      </c>
      <c r="C37" s="118">
        <v>61.35</v>
      </c>
      <c r="D37" s="89">
        <f t="shared" si="0"/>
        <v>215.03</v>
      </c>
      <c r="E37" s="85">
        <f t="shared" si="1"/>
        <v>-2.701357466063348E-2</v>
      </c>
    </row>
    <row r="38" spans="1:15" ht="15" x14ac:dyDescent="0.3">
      <c r="A38" s="86">
        <v>18</v>
      </c>
      <c r="B38" s="90">
        <v>263.44</v>
      </c>
      <c r="C38" s="118">
        <v>67</v>
      </c>
      <c r="D38" s="89">
        <f t="shared" si="0"/>
        <v>196.44</v>
      </c>
      <c r="E38" s="85">
        <f t="shared" si="1"/>
        <v>-0.11113122171945702</v>
      </c>
    </row>
    <row r="39" spans="1:15" ht="15" x14ac:dyDescent="0.3">
      <c r="A39" s="86">
        <v>19</v>
      </c>
      <c r="B39" s="90">
        <v>295.26</v>
      </c>
      <c r="C39" s="118">
        <v>65.42</v>
      </c>
      <c r="D39" s="89">
        <f t="shared" si="0"/>
        <v>229.83999999999997</v>
      </c>
      <c r="E39" s="85">
        <f t="shared" si="1"/>
        <v>3.999999999999989E-2</v>
      </c>
    </row>
    <row r="40" spans="1:15" ht="14.25" customHeight="1" x14ac:dyDescent="0.3">
      <c r="A40" s="91">
        <v>20</v>
      </c>
      <c r="B40" s="92">
        <v>274.18</v>
      </c>
      <c r="C40" s="119">
        <v>65.87</v>
      </c>
      <c r="D40" s="93">
        <f t="shared" si="0"/>
        <v>208.31</v>
      </c>
      <c r="E40" s="94">
        <f t="shared" si="1"/>
        <v>-5.7420814479637997E-2</v>
      </c>
    </row>
    <row r="41" spans="1:15" ht="14.25" customHeight="1" x14ac:dyDescent="0.3">
      <c r="B41" s="73"/>
      <c r="D41" s="61"/>
      <c r="G41" s="54"/>
    </row>
    <row r="42" spans="1:15" x14ac:dyDescent="0.3">
      <c r="A42" s="95" t="s">
        <v>46</v>
      </c>
      <c r="B42" s="96">
        <f>SUM(B21:B40)</f>
        <v>5689.93</v>
      </c>
      <c r="C42" s="97">
        <f>SUM(C21:C40)</f>
        <v>1269.9299999999998</v>
      </c>
      <c r="D42" s="98">
        <f>SUM(D21:D40)</f>
        <v>4420</v>
      </c>
    </row>
    <row r="43" spans="1:15" ht="15.75" customHeight="1" x14ac:dyDescent="0.3">
      <c r="A43" s="99" t="s">
        <v>47</v>
      </c>
      <c r="B43" s="100">
        <f>AVERAGE(B21:B40)</f>
        <v>284.49650000000003</v>
      </c>
      <c r="C43" s="101">
        <f>AVERAGE(C21:C40)</f>
        <v>63.49649999999999</v>
      </c>
      <c r="D43" s="102">
        <f>AVERAGE(D21:D40)</f>
        <v>221</v>
      </c>
    </row>
    <row r="44" spans="1:15" x14ac:dyDescent="0.3">
      <c r="A44" s="67"/>
      <c r="B44" s="103"/>
      <c r="C44" s="103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4" t="s">
        <v>47</v>
      </c>
      <c r="C46" s="105" t="s">
        <v>48</v>
      </c>
    </row>
    <row r="47" spans="1:15" ht="15.75" customHeight="1" x14ac:dyDescent="0.3">
      <c r="B47" s="289">
        <f>D43</f>
        <v>221</v>
      </c>
      <c r="C47" s="106">
        <f>-(IF(D43&gt;300, 7.5%, 10%))</f>
        <v>-0.1</v>
      </c>
      <c r="D47" s="107">
        <f>IF(D43&lt;300, D43*0.9, D43*0.925)</f>
        <v>198.9</v>
      </c>
    </row>
    <row r="48" spans="1:15" ht="15.75" customHeight="1" x14ac:dyDescent="0.3">
      <c r="B48" s="290"/>
      <c r="C48" s="108">
        <f>+(IF(D43&gt;300, 7.5%, 10%))</f>
        <v>0.1</v>
      </c>
      <c r="D48" s="107">
        <f>IF(D43&lt;300, D43*1.1, D43*1.075)</f>
        <v>243.10000000000002</v>
      </c>
    </row>
    <row r="49" spans="1:7" ht="14.25" customHeight="1" x14ac:dyDescent="0.3">
      <c r="A49" s="109"/>
      <c r="D49" s="110"/>
    </row>
    <row r="50" spans="1:7" ht="15" customHeight="1" x14ac:dyDescent="0.3">
      <c r="B50" s="291" t="s">
        <v>26</v>
      </c>
      <c r="C50" s="291"/>
      <c r="D50" s="73"/>
      <c r="E50" s="111" t="s">
        <v>27</v>
      </c>
      <c r="F50" s="112"/>
      <c r="G50" s="111" t="s">
        <v>28</v>
      </c>
    </row>
    <row r="51" spans="1:7" ht="15" customHeight="1" x14ac:dyDescent="0.3">
      <c r="A51" s="113" t="s">
        <v>29</v>
      </c>
      <c r="B51" s="114"/>
      <c r="C51" s="114"/>
      <c r="D51" s="73"/>
      <c r="E51" s="114"/>
      <c r="F51" s="67"/>
      <c r="G51" s="115"/>
    </row>
    <row r="52" spans="1:7" ht="15" customHeight="1" x14ac:dyDescent="0.3">
      <c r="A52" s="113" t="s">
        <v>30</v>
      </c>
      <c r="B52" s="116"/>
      <c r="C52" s="116"/>
      <c r="D52" s="73"/>
      <c r="E52" s="116"/>
      <c r="F52" s="67"/>
      <c r="G52" s="117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paperSize="9" scale="9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B58" sqref="B5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'TRAMADOL HYDROCHLORIDE '!B18:C18</f>
        <v>DOLTAM 100</v>
      </c>
      <c r="D17" s="9"/>
      <c r="E17" s="10"/>
    </row>
    <row r="18" spans="1:6" ht="16.5" customHeight="1" x14ac:dyDescent="0.3">
      <c r="A18" s="11" t="s">
        <v>4</v>
      </c>
      <c r="B18" s="8" t="str">
        <f>'TRAMADOL HYDROCHLORIDE '!B26:C26</f>
        <v>TRAMADOL HYDROCHLORIDE</v>
      </c>
      <c r="C18" s="10"/>
      <c r="D18" s="10"/>
      <c r="E18" s="10"/>
    </row>
    <row r="19" spans="1:6" ht="16.5" customHeight="1" x14ac:dyDescent="0.3">
      <c r="A19" s="11" t="s">
        <v>6</v>
      </c>
      <c r="B19" s="12">
        <f>'TRAMADOL HYDROCHLORIDE '!B28</f>
        <v>100.14</v>
      </c>
      <c r="C19" s="10"/>
      <c r="D19" s="10"/>
      <c r="E19" s="10"/>
    </row>
    <row r="20" spans="1:6" ht="16.5" customHeight="1" x14ac:dyDescent="0.3">
      <c r="A20" s="7" t="s">
        <v>8</v>
      </c>
      <c r="B20" s="12">
        <f>'TRAMADOL HYDROCHLORIDE '!D43</f>
        <v>24.37</v>
      </c>
      <c r="C20" s="10"/>
      <c r="D20" s="10"/>
      <c r="E20" s="10"/>
    </row>
    <row r="21" spans="1:6" ht="16.5" customHeight="1" x14ac:dyDescent="0.3">
      <c r="A21" s="7" t="s">
        <v>10</v>
      </c>
      <c r="B21" s="13">
        <f>'TRAMADOL HYDROCHLORIDE '!D46</f>
        <v>0.24404118000000005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23266648</v>
      </c>
      <c r="C24" s="18">
        <v>8119.1</v>
      </c>
      <c r="D24" s="19">
        <v>1.35</v>
      </c>
      <c r="E24" s="20">
        <v>5.9</v>
      </c>
    </row>
    <row r="25" spans="1:6" ht="16.5" customHeight="1" x14ac:dyDescent="0.3">
      <c r="A25" s="17">
        <v>2</v>
      </c>
      <c r="B25" s="18">
        <v>23257825</v>
      </c>
      <c r="C25" s="18">
        <v>8046.7</v>
      </c>
      <c r="D25" s="19">
        <v>1.35</v>
      </c>
      <c r="E25" s="19">
        <v>5.9</v>
      </c>
    </row>
    <row r="26" spans="1:6" ht="16.5" customHeight="1" x14ac:dyDescent="0.3">
      <c r="A26" s="17">
        <v>3</v>
      </c>
      <c r="B26" s="18">
        <v>23375285</v>
      </c>
      <c r="C26" s="18">
        <v>7844.2</v>
      </c>
      <c r="D26" s="19">
        <v>1.25</v>
      </c>
      <c r="E26" s="19">
        <v>5.9</v>
      </c>
    </row>
    <row r="27" spans="1:6" ht="16.5" customHeight="1" x14ac:dyDescent="0.3">
      <c r="A27" s="17">
        <v>4</v>
      </c>
      <c r="B27" s="18">
        <v>23349151</v>
      </c>
      <c r="C27" s="18">
        <v>7273.9</v>
      </c>
      <c r="D27" s="19">
        <v>1.23</v>
      </c>
      <c r="E27" s="19">
        <v>5.9</v>
      </c>
    </row>
    <row r="28" spans="1:6" ht="16.5" customHeight="1" x14ac:dyDescent="0.3">
      <c r="A28" s="17">
        <v>5</v>
      </c>
      <c r="B28" s="18">
        <v>23328899</v>
      </c>
      <c r="C28" s="18">
        <v>7485.5</v>
      </c>
      <c r="D28" s="19">
        <v>1.23</v>
      </c>
      <c r="E28" s="19">
        <v>5.9</v>
      </c>
    </row>
    <row r="29" spans="1:6" ht="16.5" customHeight="1" x14ac:dyDescent="0.3">
      <c r="A29" s="17">
        <v>6</v>
      </c>
      <c r="B29" s="21">
        <v>23275636</v>
      </c>
      <c r="C29" s="21">
        <v>6290.8</v>
      </c>
      <c r="D29" s="22">
        <v>1.1399999999999999</v>
      </c>
      <c r="E29" s="22">
        <v>5.9</v>
      </c>
    </row>
    <row r="30" spans="1:6" ht="16.5" customHeight="1" x14ac:dyDescent="0.3">
      <c r="A30" s="23" t="s">
        <v>18</v>
      </c>
      <c r="B30" s="24">
        <f>AVERAGE(B24:B29)</f>
        <v>23308907.333333332</v>
      </c>
      <c r="C30" s="25">
        <f>AVERAGE(C24:C29)</f>
        <v>7510.0333333333338</v>
      </c>
      <c r="D30" s="26">
        <f>AVERAGE(D24:D29)</f>
        <v>1.2583333333333333</v>
      </c>
      <c r="E30" s="26">
        <f>AVERAGE(E24:E29)</f>
        <v>5.8999999999999995</v>
      </c>
    </row>
    <row r="31" spans="1:6" ht="16.5" customHeight="1" x14ac:dyDescent="0.3">
      <c r="A31" s="27" t="s">
        <v>19</v>
      </c>
      <c r="B31" s="28">
        <f>(STDEV(B24:B29)/B30)</f>
        <v>2.0953998879632554E-3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1" t="s">
        <v>26</v>
      </c>
      <c r="C59" s="29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132</v>
      </c>
      <c r="C60" s="48"/>
      <c r="E60" s="48" t="s">
        <v>133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60" zoomScaleNormal="60" zoomScalePageLayoutView="55" workbookViewId="0">
      <selection activeCell="H74" sqref="H74"/>
    </sheetView>
  </sheetViews>
  <sheetFormatPr defaultColWidth="9.140625" defaultRowHeight="13.5" x14ac:dyDescent="0.25"/>
  <cols>
    <col min="1" max="1" width="55.42578125" style="228" customWidth="1"/>
    <col min="2" max="2" width="33.7109375" style="228" customWidth="1"/>
    <col min="3" max="3" width="42.28515625" style="228" customWidth="1"/>
    <col min="4" max="4" width="30.5703125" style="228" customWidth="1"/>
    <col min="5" max="5" width="39.85546875" style="228" customWidth="1"/>
    <col min="6" max="6" width="30.7109375" style="228" customWidth="1"/>
    <col min="7" max="7" width="39.85546875" style="228" customWidth="1"/>
    <col min="8" max="8" width="30" style="228" customWidth="1"/>
    <col min="9" max="9" width="30.28515625" style="228" hidden="1" customWidth="1"/>
    <col min="10" max="10" width="30.42578125" style="228" customWidth="1"/>
    <col min="11" max="11" width="21.28515625" style="228" customWidth="1"/>
    <col min="12" max="12" width="9.140625" style="228"/>
    <col min="13" max="16384" width="9.140625" style="44"/>
  </cols>
  <sheetData>
    <row r="1" spans="1:9" ht="18.75" customHeight="1" x14ac:dyDescent="0.25">
      <c r="A1" s="323" t="s">
        <v>49</v>
      </c>
      <c r="B1" s="323"/>
      <c r="C1" s="323"/>
      <c r="D1" s="323"/>
      <c r="E1" s="323"/>
      <c r="F1" s="323"/>
      <c r="G1" s="323"/>
      <c r="H1" s="323"/>
      <c r="I1" s="323"/>
    </row>
    <row r="2" spans="1:9" ht="18.75" customHeight="1" x14ac:dyDescent="0.25">
      <c r="A2" s="323"/>
      <c r="B2" s="323"/>
      <c r="C2" s="323"/>
      <c r="D2" s="323"/>
      <c r="E2" s="323"/>
      <c r="F2" s="323"/>
      <c r="G2" s="323"/>
      <c r="H2" s="323"/>
      <c r="I2" s="323"/>
    </row>
    <row r="3" spans="1:9" ht="18.75" customHeight="1" x14ac:dyDescent="0.25">
      <c r="A3" s="323"/>
      <c r="B3" s="323"/>
      <c r="C3" s="323"/>
      <c r="D3" s="323"/>
      <c r="E3" s="323"/>
      <c r="F3" s="323"/>
      <c r="G3" s="323"/>
      <c r="H3" s="323"/>
      <c r="I3" s="323"/>
    </row>
    <row r="4" spans="1:9" ht="18.75" customHeight="1" x14ac:dyDescent="0.25">
      <c r="A4" s="323"/>
      <c r="B4" s="323"/>
      <c r="C4" s="323"/>
      <c r="D4" s="323"/>
      <c r="E4" s="323"/>
      <c r="F4" s="323"/>
      <c r="G4" s="323"/>
      <c r="H4" s="323"/>
      <c r="I4" s="323"/>
    </row>
    <row r="5" spans="1:9" ht="18.75" customHeight="1" x14ac:dyDescent="0.25">
      <c r="A5" s="323"/>
      <c r="B5" s="323"/>
      <c r="C5" s="323"/>
      <c r="D5" s="323"/>
      <c r="E5" s="323"/>
      <c r="F5" s="323"/>
      <c r="G5" s="323"/>
      <c r="H5" s="323"/>
      <c r="I5" s="323"/>
    </row>
    <row r="6" spans="1:9" ht="18.75" customHeight="1" x14ac:dyDescent="0.25">
      <c r="A6" s="323"/>
      <c r="B6" s="323"/>
      <c r="C6" s="323"/>
      <c r="D6" s="323"/>
      <c r="E6" s="323"/>
      <c r="F6" s="323"/>
      <c r="G6" s="323"/>
      <c r="H6" s="323"/>
      <c r="I6" s="323"/>
    </row>
    <row r="7" spans="1:9" ht="18.75" customHeight="1" x14ac:dyDescent="0.25">
      <c r="A7" s="323"/>
      <c r="B7" s="323"/>
      <c r="C7" s="323"/>
      <c r="D7" s="323"/>
      <c r="E7" s="323"/>
      <c r="F7" s="323"/>
      <c r="G7" s="323"/>
      <c r="H7" s="323"/>
      <c r="I7" s="323"/>
    </row>
    <row r="8" spans="1:9" x14ac:dyDescent="0.25">
      <c r="A8" s="324" t="s">
        <v>50</v>
      </c>
      <c r="B8" s="324"/>
      <c r="C8" s="324"/>
      <c r="D8" s="324"/>
      <c r="E8" s="324"/>
      <c r="F8" s="324"/>
      <c r="G8" s="324"/>
      <c r="H8" s="324"/>
      <c r="I8" s="324"/>
    </row>
    <row r="9" spans="1:9" x14ac:dyDescent="0.25">
      <c r="A9" s="324"/>
      <c r="B9" s="324"/>
      <c r="C9" s="324"/>
      <c r="D9" s="324"/>
      <c r="E9" s="324"/>
      <c r="F9" s="324"/>
      <c r="G9" s="324"/>
      <c r="H9" s="324"/>
      <c r="I9" s="324"/>
    </row>
    <row r="10" spans="1:9" x14ac:dyDescent="0.25">
      <c r="A10" s="324"/>
      <c r="B10" s="324"/>
      <c r="C10" s="324"/>
      <c r="D10" s="324"/>
      <c r="E10" s="324"/>
      <c r="F10" s="324"/>
      <c r="G10" s="324"/>
      <c r="H10" s="324"/>
      <c r="I10" s="324"/>
    </row>
    <row r="11" spans="1:9" x14ac:dyDescent="0.25">
      <c r="A11" s="324"/>
      <c r="B11" s="324"/>
      <c r="C11" s="324"/>
      <c r="D11" s="324"/>
      <c r="E11" s="324"/>
      <c r="F11" s="324"/>
      <c r="G11" s="324"/>
      <c r="H11" s="324"/>
      <c r="I11" s="324"/>
    </row>
    <row r="12" spans="1:9" x14ac:dyDescent="0.25">
      <c r="A12" s="324"/>
      <c r="B12" s="324"/>
      <c r="C12" s="324"/>
      <c r="D12" s="324"/>
      <c r="E12" s="324"/>
      <c r="F12" s="324"/>
      <c r="G12" s="324"/>
      <c r="H12" s="324"/>
      <c r="I12" s="324"/>
    </row>
    <row r="13" spans="1:9" x14ac:dyDescent="0.25">
      <c r="A13" s="324"/>
      <c r="B13" s="324"/>
      <c r="C13" s="324"/>
      <c r="D13" s="324"/>
      <c r="E13" s="324"/>
      <c r="F13" s="324"/>
      <c r="G13" s="324"/>
      <c r="H13" s="324"/>
      <c r="I13" s="324"/>
    </row>
    <row r="14" spans="1:9" x14ac:dyDescent="0.25">
      <c r="A14" s="324"/>
      <c r="B14" s="324"/>
      <c r="C14" s="324"/>
      <c r="D14" s="324"/>
      <c r="E14" s="324"/>
      <c r="F14" s="324"/>
      <c r="G14" s="324"/>
      <c r="H14" s="324"/>
      <c r="I14" s="324"/>
    </row>
    <row r="15" spans="1:9" ht="19.5" customHeight="1" thickBot="1" x14ac:dyDescent="0.35">
      <c r="A15" s="210"/>
    </row>
    <row r="16" spans="1:9" ht="19.5" customHeight="1" thickBot="1" x14ac:dyDescent="0.35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51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20" t="s">
        <v>33</v>
      </c>
      <c r="B18" s="329" t="s">
        <v>5</v>
      </c>
      <c r="C18" s="329"/>
      <c r="D18" s="262"/>
      <c r="E18" s="121"/>
      <c r="F18" s="275"/>
      <c r="G18" s="275"/>
      <c r="H18" s="275"/>
    </row>
    <row r="19" spans="1:14" ht="26.25" customHeight="1" x14ac:dyDescent="0.4">
      <c r="A19" s="120" t="s">
        <v>34</v>
      </c>
      <c r="B19" s="280" t="s">
        <v>7</v>
      </c>
      <c r="C19" s="275">
        <v>29</v>
      </c>
      <c r="D19" s="275"/>
      <c r="E19" s="275"/>
      <c r="F19" s="275"/>
      <c r="G19" s="275"/>
      <c r="H19" s="275"/>
    </row>
    <row r="20" spans="1:14" ht="26.25" customHeight="1" x14ac:dyDescent="0.4">
      <c r="A20" s="120" t="s">
        <v>35</v>
      </c>
      <c r="B20" s="330" t="s">
        <v>9</v>
      </c>
      <c r="C20" s="330"/>
      <c r="D20" s="275"/>
      <c r="E20" s="275"/>
      <c r="F20" s="275"/>
      <c r="G20" s="275"/>
      <c r="H20" s="275"/>
    </row>
    <row r="21" spans="1:14" ht="26.25" customHeight="1" x14ac:dyDescent="0.4">
      <c r="A21" s="120" t="s">
        <v>36</v>
      </c>
      <c r="B21" s="330" t="s">
        <v>11</v>
      </c>
      <c r="C21" s="330"/>
      <c r="D21" s="330"/>
      <c r="E21" s="330"/>
      <c r="F21" s="330"/>
      <c r="G21" s="330"/>
      <c r="H21" s="330"/>
      <c r="I21" s="122"/>
    </row>
    <row r="22" spans="1:14" ht="26.25" customHeight="1" x14ac:dyDescent="0.4">
      <c r="A22" s="120" t="s">
        <v>37</v>
      </c>
      <c r="B22" s="123" t="s">
        <v>130</v>
      </c>
      <c r="C22" s="275"/>
      <c r="D22" s="275"/>
      <c r="E22" s="275"/>
      <c r="F22" s="275"/>
      <c r="G22" s="275"/>
      <c r="H22" s="275"/>
    </row>
    <row r="23" spans="1:14" ht="26.25" customHeight="1" x14ac:dyDescent="0.4">
      <c r="A23" s="120" t="s">
        <v>38</v>
      </c>
      <c r="B23" s="123" t="s">
        <v>131</v>
      </c>
      <c r="C23" s="275"/>
      <c r="D23" s="275"/>
      <c r="E23" s="275"/>
      <c r="F23" s="275"/>
      <c r="G23" s="275"/>
      <c r="H23" s="275"/>
    </row>
    <row r="24" spans="1:14" ht="18.75" x14ac:dyDescent="0.3">
      <c r="A24" s="120"/>
      <c r="B24" s="124"/>
    </row>
    <row r="25" spans="1:14" ht="18.75" x14ac:dyDescent="0.3">
      <c r="A25" s="125" t="s">
        <v>1</v>
      </c>
      <c r="B25" s="124"/>
    </row>
    <row r="26" spans="1:14" ht="26.25" customHeight="1" x14ac:dyDescent="0.4">
      <c r="A26" s="257" t="s">
        <v>4</v>
      </c>
      <c r="B26" s="329" t="s">
        <v>128</v>
      </c>
      <c r="C26" s="329"/>
    </row>
    <row r="27" spans="1:14" ht="26.25" customHeight="1" x14ac:dyDescent="0.4">
      <c r="A27" s="217" t="s">
        <v>52</v>
      </c>
      <c r="B27" s="331" t="s">
        <v>129</v>
      </c>
      <c r="C27" s="331"/>
    </row>
    <row r="28" spans="1:14" ht="27" customHeight="1" thickBot="1" x14ac:dyDescent="0.45">
      <c r="A28" s="217" t="s">
        <v>6</v>
      </c>
      <c r="B28" s="212">
        <v>100.14</v>
      </c>
    </row>
    <row r="29" spans="1:14" s="16" customFormat="1" ht="27" customHeight="1" thickBot="1" x14ac:dyDescent="0.45">
      <c r="A29" s="217" t="s">
        <v>53</v>
      </c>
      <c r="B29" s="126">
        <v>0</v>
      </c>
      <c r="C29" s="312" t="s">
        <v>54</v>
      </c>
      <c r="D29" s="313"/>
      <c r="E29" s="313"/>
      <c r="F29" s="313"/>
      <c r="G29" s="314"/>
      <c r="I29" s="127"/>
      <c r="J29" s="127"/>
      <c r="K29" s="127"/>
      <c r="L29" s="127"/>
    </row>
    <row r="30" spans="1:14" s="16" customFormat="1" ht="19.5" customHeight="1" thickBot="1" x14ac:dyDescent="0.35">
      <c r="A30" s="217" t="s">
        <v>55</v>
      </c>
      <c r="B30" s="276">
        <f>B28-B29</f>
        <v>100.14</v>
      </c>
      <c r="C30" s="128"/>
      <c r="D30" s="128"/>
      <c r="E30" s="128"/>
      <c r="F30" s="128"/>
      <c r="G30" s="129"/>
      <c r="I30" s="127"/>
      <c r="J30" s="127"/>
      <c r="K30" s="127"/>
      <c r="L30" s="127"/>
    </row>
    <row r="31" spans="1:14" s="16" customFormat="1" ht="27" customHeight="1" thickBot="1" x14ac:dyDescent="0.45">
      <c r="A31" s="217" t="s">
        <v>56</v>
      </c>
      <c r="B31" s="130">
        <v>1</v>
      </c>
      <c r="C31" s="315" t="s">
        <v>57</v>
      </c>
      <c r="D31" s="316"/>
      <c r="E31" s="316"/>
      <c r="F31" s="316"/>
      <c r="G31" s="316"/>
      <c r="H31" s="317"/>
      <c r="I31" s="127"/>
      <c r="J31" s="127"/>
      <c r="K31" s="127"/>
      <c r="L31" s="127"/>
    </row>
    <row r="32" spans="1:14" s="16" customFormat="1" ht="27" customHeight="1" thickBot="1" x14ac:dyDescent="0.45">
      <c r="A32" s="217" t="s">
        <v>58</v>
      </c>
      <c r="B32" s="130">
        <v>1</v>
      </c>
      <c r="C32" s="315" t="s">
        <v>59</v>
      </c>
      <c r="D32" s="316"/>
      <c r="E32" s="316"/>
      <c r="F32" s="316"/>
      <c r="G32" s="316"/>
      <c r="H32" s="317"/>
      <c r="I32" s="127"/>
      <c r="J32" s="127"/>
      <c r="K32" s="127"/>
      <c r="L32" s="131"/>
      <c r="M32" s="131"/>
      <c r="N32" s="132"/>
    </row>
    <row r="33" spans="1:14" s="16" customFormat="1" ht="17.25" customHeight="1" x14ac:dyDescent="0.3">
      <c r="A33" s="217"/>
      <c r="B33" s="133"/>
      <c r="C33" s="134"/>
      <c r="D33" s="134"/>
      <c r="E33" s="134"/>
      <c r="F33" s="134"/>
      <c r="G33" s="134"/>
      <c r="H33" s="134"/>
      <c r="I33" s="127"/>
      <c r="J33" s="127"/>
      <c r="K33" s="127"/>
      <c r="L33" s="131"/>
      <c r="M33" s="131"/>
      <c r="N33" s="132"/>
    </row>
    <row r="34" spans="1:14" s="16" customFormat="1" ht="18.75" x14ac:dyDescent="0.3">
      <c r="A34" s="217" t="s">
        <v>60</v>
      </c>
      <c r="B34" s="135">
        <f>B31/B32</f>
        <v>1</v>
      </c>
      <c r="C34" s="210" t="s">
        <v>61</v>
      </c>
      <c r="D34" s="210"/>
      <c r="E34" s="210"/>
      <c r="F34" s="210"/>
      <c r="G34" s="210"/>
      <c r="I34" s="127"/>
      <c r="J34" s="127"/>
      <c r="K34" s="127"/>
      <c r="L34" s="131"/>
      <c r="M34" s="131"/>
      <c r="N34" s="132"/>
    </row>
    <row r="35" spans="1:14" s="16" customFormat="1" ht="19.5" customHeight="1" thickBot="1" x14ac:dyDescent="0.35">
      <c r="A35" s="217"/>
      <c r="B35" s="276"/>
      <c r="G35" s="210"/>
      <c r="I35" s="127"/>
      <c r="J35" s="127"/>
      <c r="K35" s="127"/>
      <c r="L35" s="131"/>
      <c r="M35" s="131"/>
      <c r="N35" s="132"/>
    </row>
    <row r="36" spans="1:14" s="16" customFormat="1" ht="27" customHeight="1" thickBot="1" x14ac:dyDescent="0.45">
      <c r="A36" s="136" t="s">
        <v>62</v>
      </c>
      <c r="B36" s="137">
        <v>25</v>
      </c>
      <c r="C36" s="210"/>
      <c r="D36" s="302" t="s">
        <v>63</v>
      </c>
      <c r="E36" s="322"/>
      <c r="F36" s="302" t="s">
        <v>64</v>
      </c>
      <c r="G36" s="303"/>
      <c r="J36" s="127"/>
      <c r="K36" s="127"/>
      <c r="L36" s="131"/>
      <c r="M36" s="131"/>
      <c r="N36" s="132"/>
    </row>
    <row r="37" spans="1:14" s="16" customFormat="1" ht="27" customHeight="1" thickBot="1" x14ac:dyDescent="0.45">
      <c r="A37" s="138" t="s">
        <v>65</v>
      </c>
      <c r="B37" s="139">
        <v>5</v>
      </c>
      <c r="C37" s="140" t="s">
        <v>66</v>
      </c>
      <c r="D37" s="141" t="s">
        <v>67</v>
      </c>
      <c r="E37" s="142" t="s">
        <v>68</v>
      </c>
      <c r="F37" s="141" t="s">
        <v>67</v>
      </c>
      <c r="G37" s="143" t="s">
        <v>68</v>
      </c>
      <c r="I37" s="144" t="s">
        <v>69</v>
      </c>
      <c r="J37" s="127"/>
      <c r="K37" s="127"/>
      <c r="L37" s="131"/>
      <c r="M37" s="131"/>
      <c r="N37" s="132"/>
    </row>
    <row r="38" spans="1:14" s="16" customFormat="1" ht="26.25" customHeight="1" x14ac:dyDescent="0.4">
      <c r="A38" s="138" t="s">
        <v>70</v>
      </c>
      <c r="B38" s="139">
        <v>20</v>
      </c>
      <c r="C38" s="145">
        <v>1</v>
      </c>
      <c r="D38" s="146">
        <v>23233598</v>
      </c>
      <c r="E38" s="147">
        <f>IF(ISBLANK(D38),"-",$D$48/$D$45*D38)</f>
        <v>23800899.094161071</v>
      </c>
      <c r="F38" s="146">
        <v>24334977</v>
      </c>
      <c r="G38" s="148">
        <f>IF(ISBLANK(F38),"-",$D$48/$F$45*F38)</f>
        <v>24175244.391238656</v>
      </c>
      <c r="I38" s="149"/>
      <c r="J38" s="127"/>
      <c r="K38" s="127"/>
      <c r="L38" s="131"/>
      <c r="M38" s="131"/>
      <c r="N38" s="132"/>
    </row>
    <row r="39" spans="1:14" s="16" customFormat="1" ht="26.25" customHeight="1" x14ac:dyDescent="0.4">
      <c r="A39" s="138" t="s">
        <v>71</v>
      </c>
      <c r="B39" s="139">
        <v>1</v>
      </c>
      <c r="C39" s="167">
        <v>2</v>
      </c>
      <c r="D39" s="150">
        <v>23231828</v>
      </c>
      <c r="E39" s="151">
        <f>IF(ISBLANK(D39),"-",$D$48/$D$45*D39)</f>
        <v>23799085.875588696</v>
      </c>
      <c r="F39" s="150">
        <v>24309793</v>
      </c>
      <c r="G39" s="152">
        <f>IF(ISBLANK(F39),"-",$D$48/$F$45*F39)</f>
        <v>24150225.696758322</v>
      </c>
      <c r="I39" s="293">
        <f>ABS((F43/D43*D42)-F42)/D42</f>
        <v>1.6646800720302703E-2</v>
      </c>
      <c r="J39" s="127"/>
      <c r="K39" s="127"/>
      <c r="L39" s="131"/>
      <c r="M39" s="131"/>
      <c r="N39" s="132"/>
    </row>
    <row r="40" spans="1:14" ht="26.25" customHeight="1" x14ac:dyDescent="0.4">
      <c r="A40" s="138" t="s">
        <v>72</v>
      </c>
      <c r="B40" s="139">
        <v>1</v>
      </c>
      <c r="C40" s="167">
        <v>3</v>
      </c>
      <c r="D40" s="150">
        <v>23130918</v>
      </c>
      <c r="E40" s="151">
        <f>IF(ISBLANK(D40),"-",$D$48/$D$45*D40)</f>
        <v>23695711.928617943</v>
      </c>
      <c r="F40" s="150">
        <v>24280554</v>
      </c>
      <c r="G40" s="152">
        <f>IF(ISBLANK(F40),"-",$D$48/$F$45*F40)</f>
        <v>24121178.618934684</v>
      </c>
      <c r="I40" s="293"/>
      <c r="L40" s="131"/>
      <c r="M40" s="131"/>
      <c r="N40" s="210"/>
    </row>
    <row r="41" spans="1:14" ht="27" customHeight="1" thickBot="1" x14ac:dyDescent="0.45">
      <c r="A41" s="138" t="s">
        <v>73</v>
      </c>
      <c r="B41" s="139">
        <v>1</v>
      </c>
      <c r="C41" s="153">
        <v>4</v>
      </c>
      <c r="D41" s="154"/>
      <c r="E41" s="155" t="str">
        <f>IF(ISBLANK(D41),"-",$D$48/$D$45*D41)</f>
        <v>-</v>
      </c>
      <c r="F41" s="154"/>
      <c r="G41" s="156" t="str">
        <f>IF(ISBLANK(F41),"-",$D$48/$F$45*F41)</f>
        <v>-</v>
      </c>
      <c r="I41" s="157"/>
      <c r="L41" s="131"/>
      <c r="M41" s="131"/>
      <c r="N41" s="210"/>
    </row>
    <row r="42" spans="1:14" ht="27" customHeight="1" thickBot="1" x14ac:dyDescent="0.45">
      <c r="A42" s="138" t="s">
        <v>74</v>
      </c>
      <c r="B42" s="139">
        <v>1</v>
      </c>
      <c r="C42" s="158" t="s">
        <v>75</v>
      </c>
      <c r="D42" s="159">
        <f>AVERAGE(D38:D41)</f>
        <v>23198781.333333332</v>
      </c>
      <c r="E42" s="160">
        <f>AVERAGE(E38:E41)</f>
        <v>23765232.2994559</v>
      </c>
      <c r="F42" s="159">
        <f>AVERAGE(F38:F41)</f>
        <v>24308441.333333332</v>
      </c>
      <c r="G42" s="161">
        <f>AVERAGE(G38:G41)</f>
        <v>24148882.90231055</v>
      </c>
      <c r="H42" s="162"/>
    </row>
    <row r="43" spans="1:14" ht="26.25" customHeight="1" x14ac:dyDescent="0.4">
      <c r="A43" s="138" t="s">
        <v>76</v>
      </c>
      <c r="B43" s="139">
        <v>1</v>
      </c>
      <c r="C43" s="163" t="s">
        <v>77</v>
      </c>
      <c r="D43" s="164">
        <v>24.37</v>
      </c>
      <c r="E43" s="210"/>
      <c r="F43" s="164">
        <v>25.13</v>
      </c>
      <c r="H43" s="162"/>
    </row>
    <row r="44" spans="1:14" ht="26.25" customHeight="1" x14ac:dyDescent="0.4">
      <c r="A44" s="138" t="s">
        <v>78</v>
      </c>
      <c r="B44" s="139">
        <v>1</v>
      </c>
      <c r="C44" s="165" t="s">
        <v>79</v>
      </c>
      <c r="D44" s="166">
        <f>D43*$B$34</f>
        <v>24.37</v>
      </c>
      <c r="E44" s="225"/>
      <c r="F44" s="166">
        <f>F43*$B$34</f>
        <v>25.13</v>
      </c>
      <c r="H44" s="162"/>
    </row>
    <row r="45" spans="1:14" ht="19.5" customHeight="1" thickBot="1" x14ac:dyDescent="0.35">
      <c r="A45" s="138" t="s">
        <v>80</v>
      </c>
      <c r="B45" s="167">
        <f>(B44/B43)*(B42/B41)*(B40/B39)*(B38/B37)*B36</f>
        <v>100</v>
      </c>
      <c r="C45" s="165" t="s">
        <v>81</v>
      </c>
      <c r="D45" s="168">
        <f>D44*$B$30/100</f>
        <v>24.404118000000004</v>
      </c>
      <c r="E45" s="207"/>
      <c r="F45" s="168">
        <f>F44*$B$30/100</f>
        <v>25.165182000000001</v>
      </c>
      <c r="H45" s="162"/>
    </row>
    <row r="46" spans="1:14" ht="19.5" customHeight="1" thickBot="1" x14ac:dyDescent="0.35">
      <c r="A46" s="294" t="s">
        <v>82</v>
      </c>
      <c r="B46" s="298"/>
      <c r="C46" s="165" t="s">
        <v>83</v>
      </c>
      <c r="D46" s="169">
        <f>D45/$B$45</f>
        <v>0.24404118000000005</v>
      </c>
      <c r="E46" s="170"/>
      <c r="F46" s="171">
        <f>F45/$B$45</f>
        <v>0.25165182000000003</v>
      </c>
      <c r="H46" s="162"/>
    </row>
    <row r="47" spans="1:14" ht="27" customHeight="1" thickBot="1" x14ac:dyDescent="0.45">
      <c r="A47" s="296"/>
      <c r="B47" s="299"/>
      <c r="C47" s="172" t="s">
        <v>84</v>
      </c>
      <c r="D47" s="173">
        <v>0.25</v>
      </c>
      <c r="E47" s="174"/>
      <c r="F47" s="170"/>
      <c r="H47" s="162"/>
    </row>
    <row r="48" spans="1:14" ht="18.75" x14ac:dyDescent="0.3">
      <c r="C48" s="175" t="s">
        <v>85</v>
      </c>
      <c r="D48" s="168">
        <f>D47*$B$45</f>
        <v>25</v>
      </c>
      <c r="F48" s="176"/>
      <c r="H48" s="162"/>
    </row>
    <row r="49" spans="1:12" ht="19.5" customHeight="1" thickBot="1" x14ac:dyDescent="0.35">
      <c r="C49" s="177" t="s">
        <v>86</v>
      </c>
      <c r="D49" s="178">
        <f>D48/B34</f>
        <v>25</v>
      </c>
      <c r="F49" s="176"/>
      <c r="H49" s="162"/>
    </row>
    <row r="50" spans="1:12" ht="18.75" x14ac:dyDescent="0.3">
      <c r="C50" s="136" t="s">
        <v>87</v>
      </c>
      <c r="D50" s="179">
        <f>AVERAGE(E38:E41,G38:G41)</f>
        <v>23957057.600883231</v>
      </c>
      <c r="F50" s="180"/>
      <c r="H50" s="162"/>
    </row>
    <row r="51" spans="1:12" ht="18.75" x14ac:dyDescent="0.3">
      <c r="C51" s="138" t="s">
        <v>88</v>
      </c>
      <c r="D51" s="181">
        <f>STDEV(E38:E41,G38:G41)/D50</f>
        <v>8.9427320694625573E-3</v>
      </c>
      <c r="F51" s="180"/>
      <c r="H51" s="162"/>
    </row>
    <row r="52" spans="1:12" ht="19.5" customHeight="1" thickBot="1" x14ac:dyDescent="0.35">
      <c r="C52" s="182" t="s">
        <v>20</v>
      </c>
      <c r="D52" s="183">
        <f>COUNT(E38:E41,G38:G41)</f>
        <v>6</v>
      </c>
      <c r="F52" s="180"/>
    </row>
    <row r="54" spans="1:12" ht="18.75" x14ac:dyDescent="0.3">
      <c r="A54" s="184" t="s">
        <v>1</v>
      </c>
      <c r="B54" s="185" t="s">
        <v>89</v>
      </c>
    </row>
    <row r="55" spans="1:12" ht="18.75" x14ac:dyDescent="0.3">
      <c r="A55" s="210" t="s">
        <v>90</v>
      </c>
      <c r="B55" s="186" t="str">
        <f>B21</f>
        <v>Each hard gelatin capsule contains Tramadol Hydrochloride BP 100 mg</v>
      </c>
    </row>
    <row r="56" spans="1:12" ht="26.25" customHeight="1" x14ac:dyDescent="0.4">
      <c r="A56" s="186" t="s">
        <v>91</v>
      </c>
      <c r="B56" s="187">
        <v>100</v>
      </c>
      <c r="C56" s="210" t="str">
        <f>B20</f>
        <v>Tramadol HCl</v>
      </c>
      <c r="H56" s="225"/>
    </row>
    <row r="57" spans="1:12" ht="18.75" x14ac:dyDescent="0.3">
      <c r="A57" s="186" t="s">
        <v>92</v>
      </c>
      <c r="B57" s="263">
        <v>221</v>
      </c>
      <c r="H57" s="225"/>
    </row>
    <row r="58" spans="1:12" ht="19.5" customHeight="1" thickBot="1" x14ac:dyDescent="0.35">
      <c r="H58" s="225"/>
    </row>
    <row r="59" spans="1:12" s="16" customFormat="1" ht="27" customHeight="1" thickBot="1" x14ac:dyDescent="0.45">
      <c r="A59" s="136" t="s">
        <v>93</v>
      </c>
      <c r="B59" s="137">
        <v>200</v>
      </c>
      <c r="C59" s="210"/>
      <c r="D59" s="188" t="s">
        <v>94</v>
      </c>
      <c r="E59" s="189" t="s">
        <v>66</v>
      </c>
      <c r="F59" s="189" t="s">
        <v>67</v>
      </c>
      <c r="G59" s="189" t="s">
        <v>95</v>
      </c>
      <c r="H59" s="140" t="s">
        <v>96</v>
      </c>
      <c r="L59" s="127"/>
    </row>
    <row r="60" spans="1:12" s="16" customFormat="1" ht="26.25" customHeight="1" x14ac:dyDescent="0.4">
      <c r="A60" s="138" t="s">
        <v>97</v>
      </c>
      <c r="B60" s="139">
        <v>1</v>
      </c>
      <c r="C60" s="304" t="s">
        <v>98</v>
      </c>
      <c r="D60" s="307">
        <v>112.73</v>
      </c>
      <c r="E60" s="190">
        <v>1</v>
      </c>
      <c r="F60" s="191">
        <v>25116120</v>
      </c>
      <c r="G60" s="264">
        <f>IF(ISBLANK(F60),"-",(F60/$D$50*$D$47*$B$68)*($B$57/$D$60))</f>
        <v>102.76419944005563</v>
      </c>
      <c r="H60" s="192">
        <f t="shared" ref="H60:H71" si="0">IF(ISBLANK(F60),"-",G60/$B$56)</f>
        <v>1.0276419944005564</v>
      </c>
      <c r="L60" s="127"/>
    </row>
    <row r="61" spans="1:12" s="16" customFormat="1" ht="26.25" customHeight="1" x14ac:dyDescent="0.4">
      <c r="A61" s="138" t="s">
        <v>99</v>
      </c>
      <c r="B61" s="139">
        <v>1</v>
      </c>
      <c r="C61" s="305"/>
      <c r="D61" s="308"/>
      <c r="E61" s="193">
        <v>2</v>
      </c>
      <c r="F61" s="150">
        <v>24988172</v>
      </c>
      <c r="G61" s="265">
        <f>IF(ISBLANK(F61),"-",(F61/$D$50*$D$47*$B$68)*($B$57/$D$60))</f>
        <v>102.24069207546445</v>
      </c>
      <c r="H61" s="194">
        <f t="shared" si="0"/>
        <v>1.0224069207546445</v>
      </c>
      <c r="L61" s="127"/>
    </row>
    <row r="62" spans="1:12" s="16" customFormat="1" ht="26.25" customHeight="1" x14ac:dyDescent="0.4">
      <c r="A62" s="138" t="s">
        <v>100</v>
      </c>
      <c r="B62" s="139">
        <v>1</v>
      </c>
      <c r="C62" s="305"/>
      <c r="D62" s="308"/>
      <c r="E62" s="193">
        <v>3</v>
      </c>
      <c r="F62" s="195">
        <v>24980360</v>
      </c>
      <c r="G62" s="265">
        <f>IF(ISBLANK(F62),"-",(F62/$D$50*$D$47*$B$68)*($B$57/$D$60))</f>
        <v>102.20872878153109</v>
      </c>
      <c r="H62" s="194">
        <f t="shared" si="0"/>
        <v>1.0220872878153109</v>
      </c>
      <c r="L62" s="127"/>
    </row>
    <row r="63" spans="1:12" ht="27" customHeight="1" thickBot="1" x14ac:dyDescent="0.45">
      <c r="A63" s="138" t="s">
        <v>101</v>
      </c>
      <c r="B63" s="139">
        <v>1</v>
      </c>
      <c r="C63" s="306"/>
      <c r="D63" s="309"/>
      <c r="E63" s="196">
        <v>4</v>
      </c>
      <c r="F63" s="197"/>
      <c r="G63" s="265" t="str">
        <f>IF(ISBLANK(F63),"-",(F63/$D$50*$D$47*$B$68)*($B$57/$D$60))</f>
        <v>-</v>
      </c>
      <c r="H63" s="194" t="str">
        <f t="shared" si="0"/>
        <v>-</v>
      </c>
    </row>
    <row r="64" spans="1:12" ht="26.25" customHeight="1" x14ac:dyDescent="0.4">
      <c r="A64" s="138" t="s">
        <v>102</v>
      </c>
      <c r="B64" s="139">
        <v>1</v>
      </c>
      <c r="C64" s="304" t="s">
        <v>103</v>
      </c>
      <c r="D64" s="307">
        <v>115.22</v>
      </c>
      <c r="E64" s="190">
        <v>1</v>
      </c>
      <c r="F64" s="191">
        <v>25845887</v>
      </c>
      <c r="G64" s="266">
        <f>IF(ISBLANK(F64),"-",(F64/$D$50*$D$47*$B$68)*($B$57/$D$64))</f>
        <v>103.4647401327624</v>
      </c>
      <c r="H64" s="198">
        <f t="shared" si="0"/>
        <v>1.0346474013276241</v>
      </c>
    </row>
    <row r="65" spans="1:8" ht="26.25" customHeight="1" x14ac:dyDescent="0.4">
      <c r="A65" s="138" t="s">
        <v>104</v>
      </c>
      <c r="B65" s="139">
        <v>1</v>
      </c>
      <c r="C65" s="305"/>
      <c r="D65" s="308"/>
      <c r="E65" s="193">
        <v>2</v>
      </c>
      <c r="F65" s="150">
        <v>25788548</v>
      </c>
      <c r="G65" s="267">
        <f>IF(ISBLANK(F65),"-",(F65/$D$50*$D$47*$B$68)*($B$57/$D$64))</f>
        <v>103.23520400833095</v>
      </c>
      <c r="H65" s="199">
        <f t="shared" si="0"/>
        <v>1.0323520400833095</v>
      </c>
    </row>
    <row r="66" spans="1:8" ht="26.25" customHeight="1" x14ac:dyDescent="0.4">
      <c r="A66" s="138" t="s">
        <v>105</v>
      </c>
      <c r="B66" s="139">
        <v>1</v>
      </c>
      <c r="C66" s="305"/>
      <c r="D66" s="308"/>
      <c r="E66" s="193">
        <v>3</v>
      </c>
      <c r="F66" s="150">
        <v>25697821</v>
      </c>
      <c r="G66" s="267">
        <f>IF(ISBLANK(F66),"-",(F66/$D$50*$D$47*$B$68)*($B$57/$D$64))</f>
        <v>102.87201099901287</v>
      </c>
      <c r="H66" s="199">
        <f t="shared" si="0"/>
        <v>1.0287201099901286</v>
      </c>
    </row>
    <row r="67" spans="1:8" ht="27" customHeight="1" thickBot="1" x14ac:dyDescent="0.45">
      <c r="A67" s="138" t="s">
        <v>106</v>
      </c>
      <c r="B67" s="139">
        <v>1</v>
      </c>
      <c r="C67" s="306"/>
      <c r="D67" s="309"/>
      <c r="E67" s="196">
        <v>4</v>
      </c>
      <c r="F67" s="197"/>
      <c r="G67" s="268" t="str">
        <f>IF(ISBLANK(F67),"-",(F67/$D$50*$D$47*$B$68)*($B$57/$D$64))</f>
        <v>-</v>
      </c>
      <c r="H67" s="200" t="str">
        <f t="shared" si="0"/>
        <v>-</v>
      </c>
    </row>
    <row r="68" spans="1:8" ht="26.25" customHeight="1" x14ac:dyDescent="0.4">
      <c r="A68" s="138" t="s">
        <v>107</v>
      </c>
      <c r="B68" s="201">
        <f>(B67/B66)*(B65/B64)*(B63/B62)*(B61/B60)*B59</f>
        <v>200</v>
      </c>
      <c r="C68" s="304" t="s">
        <v>108</v>
      </c>
      <c r="D68" s="307">
        <v>109.88</v>
      </c>
      <c r="E68" s="190">
        <v>1</v>
      </c>
      <c r="F68" s="191">
        <v>24264565</v>
      </c>
      <c r="G68" s="266">
        <f>IF(ISBLANK(F68),"-",(F68/$D$50*$D$47*$B$68)*($B$57/$D$68))</f>
        <v>101.85507201373257</v>
      </c>
      <c r="H68" s="194">
        <f t="shared" si="0"/>
        <v>1.0185507201373256</v>
      </c>
    </row>
    <row r="69" spans="1:8" ht="27" customHeight="1" thickBot="1" x14ac:dyDescent="0.45">
      <c r="A69" s="182" t="s">
        <v>109</v>
      </c>
      <c r="B69" s="202">
        <f>(D47*B68)/B56*B57</f>
        <v>110.5</v>
      </c>
      <c r="C69" s="305"/>
      <c r="D69" s="308"/>
      <c r="E69" s="193">
        <v>2</v>
      </c>
      <c r="F69" s="150">
        <v>24332904</v>
      </c>
      <c r="G69" s="267">
        <f>IF(ISBLANK(F69),"-",(F69/$D$50*$D$47*$B$68)*($B$57/$D$68))</f>
        <v>102.14193781026947</v>
      </c>
      <c r="H69" s="194">
        <f t="shared" si="0"/>
        <v>1.0214193781026948</v>
      </c>
    </row>
    <row r="70" spans="1:8" ht="26.25" customHeight="1" x14ac:dyDescent="0.4">
      <c r="A70" s="318" t="s">
        <v>82</v>
      </c>
      <c r="B70" s="319"/>
      <c r="C70" s="305"/>
      <c r="D70" s="308"/>
      <c r="E70" s="193">
        <v>3</v>
      </c>
      <c r="F70" s="150">
        <v>24288253</v>
      </c>
      <c r="G70" s="267">
        <f>IF(ISBLANK(F70),"-",(F70/$D$50*$D$47*$B$68)*($B$57/$D$68))</f>
        <v>101.95450684579575</v>
      </c>
      <c r="H70" s="194">
        <f t="shared" si="0"/>
        <v>1.0195450684579574</v>
      </c>
    </row>
    <row r="71" spans="1:8" ht="27" customHeight="1" thickBot="1" x14ac:dyDescent="0.45">
      <c r="A71" s="320"/>
      <c r="B71" s="321"/>
      <c r="C71" s="310"/>
      <c r="D71" s="309"/>
      <c r="E71" s="196">
        <v>4</v>
      </c>
      <c r="F71" s="197"/>
      <c r="G71" s="268" t="str">
        <f>IF(ISBLANK(F71),"-",(F71/$D$50*$D$47*$B$68)*($B$57/$D$68))</f>
        <v>-</v>
      </c>
      <c r="H71" s="203" t="str">
        <f t="shared" si="0"/>
        <v>-</v>
      </c>
    </row>
    <row r="72" spans="1:8" ht="26.25" customHeight="1" x14ac:dyDescent="0.4">
      <c r="A72" s="225"/>
      <c r="B72" s="225"/>
      <c r="C72" s="225"/>
      <c r="D72" s="225"/>
      <c r="E72" s="225"/>
      <c r="F72" s="204" t="s">
        <v>75</v>
      </c>
      <c r="G72" s="273">
        <f>AVERAGE(G60:G71)</f>
        <v>102.52634356743948</v>
      </c>
      <c r="H72" s="205">
        <f>AVERAGE(H60:H71)</f>
        <v>1.0252634356743948</v>
      </c>
    </row>
    <row r="73" spans="1:8" ht="26.25" customHeight="1" x14ac:dyDescent="0.4">
      <c r="C73" s="225"/>
      <c r="D73" s="225"/>
      <c r="E73" s="225"/>
      <c r="F73" s="206" t="s">
        <v>88</v>
      </c>
      <c r="G73" s="269">
        <f>STDEV(G60:G71)/G72</f>
        <v>5.6315681163106009E-3</v>
      </c>
      <c r="H73" s="269">
        <f>STDEV(H60:H71)/H72</f>
        <v>5.6315681163106226E-3</v>
      </c>
    </row>
    <row r="74" spans="1:8" ht="27" customHeight="1" thickBot="1" x14ac:dyDescent="0.45">
      <c r="A74" s="225"/>
      <c r="B74" s="225"/>
      <c r="C74" s="225"/>
      <c r="D74" s="225"/>
      <c r="E74" s="207"/>
      <c r="F74" s="208" t="s">
        <v>20</v>
      </c>
      <c r="G74" s="209">
        <f>COUNT(G60:G71)</f>
        <v>9</v>
      </c>
      <c r="H74" s="209">
        <f>COUNT(H60:H71)</f>
        <v>9</v>
      </c>
    </row>
    <row r="76" spans="1:8" ht="26.25" customHeight="1" x14ac:dyDescent="0.4">
      <c r="A76" s="257" t="s">
        <v>110</v>
      </c>
      <c r="B76" s="217" t="s">
        <v>111</v>
      </c>
      <c r="C76" s="300" t="str">
        <f>B20</f>
        <v>Tramadol HCl</v>
      </c>
      <c r="D76" s="300"/>
      <c r="E76" s="210" t="s">
        <v>112</v>
      </c>
      <c r="F76" s="210"/>
      <c r="G76" s="211">
        <f>H72</f>
        <v>1.0252634356743948</v>
      </c>
      <c r="H76" s="276"/>
    </row>
    <row r="77" spans="1:8" ht="18.75" x14ac:dyDescent="0.3">
      <c r="A77" s="125" t="s">
        <v>113</v>
      </c>
      <c r="B77" s="125" t="s">
        <v>114</v>
      </c>
    </row>
    <row r="78" spans="1:8" ht="18.75" x14ac:dyDescent="0.3">
      <c r="A78" s="125"/>
      <c r="B78" s="125"/>
    </row>
    <row r="79" spans="1:8" ht="26.25" customHeight="1" x14ac:dyDescent="0.4">
      <c r="A79" s="257" t="s">
        <v>4</v>
      </c>
      <c r="B79" s="311" t="str">
        <f>B26</f>
        <v>TRAMADOL HYDROCHLORIDE</v>
      </c>
      <c r="C79" s="311"/>
    </row>
    <row r="80" spans="1:8" ht="26.25" customHeight="1" x14ac:dyDescent="0.4">
      <c r="A80" s="217" t="s">
        <v>52</v>
      </c>
      <c r="B80" s="311" t="str">
        <f>B27</f>
        <v>T28-1</v>
      </c>
      <c r="C80" s="311"/>
    </row>
    <row r="81" spans="1:12" ht="27" customHeight="1" thickBot="1" x14ac:dyDescent="0.45">
      <c r="A81" s="217" t="s">
        <v>6</v>
      </c>
      <c r="B81" s="212">
        <f>B28</f>
        <v>100.14</v>
      </c>
    </row>
    <row r="82" spans="1:12" s="16" customFormat="1" ht="27" customHeight="1" thickBot="1" x14ac:dyDescent="0.45">
      <c r="A82" s="217" t="s">
        <v>53</v>
      </c>
      <c r="B82" s="126">
        <v>0</v>
      </c>
      <c r="C82" s="312" t="s">
        <v>54</v>
      </c>
      <c r="D82" s="313"/>
      <c r="E82" s="313"/>
      <c r="F82" s="313"/>
      <c r="G82" s="314"/>
      <c r="I82" s="127"/>
      <c r="J82" s="127"/>
      <c r="K82" s="127"/>
      <c r="L82" s="127"/>
    </row>
    <row r="83" spans="1:12" s="16" customFormat="1" ht="19.5" customHeight="1" thickBot="1" x14ac:dyDescent="0.35">
      <c r="A83" s="217" t="s">
        <v>55</v>
      </c>
      <c r="B83" s="276">
        <f>B81-B82</f>
        <v>100.14</v>
      </c>
      <c r="C83" s="128"/>
      <c r="D83" s="128"/>
      <c r="E83" s="128"/>
      <c r="F83" s="128"/>
      <c r="G83" s="129"/>
      <c r="I83" s="127"/>
      <c r="J83" s="127"/>
      <c r="K83" s="127"/>
      <c r="L83" s="127"/>
    </row>
    <row r="84" spans="1:12" s="16" customFormat="1" ht="27" customHeight="1" thickBot="1" x14ac:dyDescent="0.45">
      <c r="A84" s="217" t="s">
        <v>56</v>
      </c>
      <c r="B84" s="130">
        <v>1</v>
      </c>
      <c r="C84" s="315" t="s">
        <v>115</v>
      </c>
      <c r="D84" s="316"/>
      <c r="E84" s="316"/>
      <c r="F84" s="316"/>
      <c r="G84" s="316"/>
      <c r="H84" s="317"/>
      <c r="I84" s="127"/>
      <c r="J84" s="127"/>
      <c r="K84" s="127"/>
      <c r="L84" s="127"/>
    </row>
    <row r="85" spans="1:12" s="16" customFormat="1" ht="27" customHeight="1" thickBot="1" x14ac:dyDescent="0.45">
      <c r="A85" s="217" t="s">
        <v>58</v>
      </c>
      <c r="B85" s="130">
        <v>1</v>
      </c>
      <c r="C85" s="315" t="s">
        <v>116</v>
      </c>
      <c r="D85" s="316"/>
      <c r="E85" s="316"/>
      <c r="F85" s="316"/>
      <c r="G85" s="316"/>
      <c r="H85" s="317"/>
      <c r="I85" s="127"/>
      <c r="J85" s="127"/>
      <c r="K85" s="127"/>
      <c r="L85" s="127"/>
    </row>
    <row r="86" spans="1:12" s="16" customFormat="1" ht="18.75" x14ac:dyDescent="0.3">
      <c r="A86" s="217"/>
      <c r="B86" s="133"/>
      <c r="C86" s="134"/>
      <c r="D86" s="134"/>
      <c r="E86" s="134"/>
      <c r="F86" s="134"/>
      <c r="G86" s="134"/>
      <c r="H86" s="134"/>
      <c r="I86" s="127"/>
      <c r="J86" s="127"/>
      <c r="K86" s="127"/>
      <c r="L86" s="127"/>
    </row>
    <row r="87" spans="1:12" s="16" customFormat="1" ht="18.75" x14ac:dyDescent="0.3">
      <c r="A87" s="217" t="s">
        <v>60</v>
      </c>
      <c r="B87" s="135">
        <f>B84/B85</f>
        <v>1</v>
      </c>
      <c r="C87" s="210" t="s">
        <v>61</v>
      </c>
      <c r="D87" s="210"/>
      <c r="E87" s="210"/>
      <c r="F87" s="210"/>
      <c r="G87" s="210"/>
      <c r="I87" s="127"/>
      <c r="J87" s="127"/>
      <c r="K87" s="127"/>
      <c r="L87" s="127"/>
    </row>
    <row r="88" spans="1:12" ht="19.5" customHeight="1" thickBot="1" x14ac:dyDescent="0.35">
      <c r="A88" s="125"/>
      <c r="B88" s="125"/>
    </row>
    <row r="89" spans="1:12" ht="27" customHeight="1" thickBot="1" x14ac:dyDescent="0.45">
      <c r="A89" s="136" t="s">
        <v>62</v>
      </c>
      <c r="B89" s="137">
        <v>100</v>
      </c>
      <c r="D89" s="278" t="s">
        <v>63</v>
      </c>
      <c r="E89" s="281"/>
      <c r="F89" s="302" t="s">
        <v>64</v>
      </c>
      <c r="G89" s="303"/>
    </row>
    <row r="90" spans="1:12" ht="27" customHeight="1" thickBot="1" x14ac:dyDescent="0.45">
      <c r="A90" s="138" t="s">
        <v>65</v>
      </c>
      <c r="B90" s="139">
        <v>5</v>
      </c>
      <c r="C90" s="277" t="s">
        <v>66</v>
      </c>
      <c r="D90" s="141" t="s">
        <v>67</v>
      </c>
      <c r="E90" s="142" t="s">
        <v>68</v>
      </c>
      <c r="F90" s="141" t="s">
        <v>67</v>
      </c>
      <c r="G90" s="213" t="s">
        <v>68</v>
      </c>
      <c r="I90" s="144" t="s">
        <v>69</v>
      </c>
    </row>
    <row r="91" spans="1:12" ht="26.25" customHeight="1" x14ac:dyDescent="0.4">
      <c r="A91" s="138" t="s">
        <v>70</v>
      </c>
      <c r="B91" s="139">
        <v>25</v>
      </c>
      <c r="C91" s="214">
        <v>1</v>
      </c>
      <c r="D91" s="146">
        <v>0.29899999999999999</v>
      </c>
      <c r="E91" s="147">
        <f>IF(ISBLANK(D91),"-",$D$101/$D$98*D91)</f>
        <v>0.40086728051754872</v>
      </c>
      <c r="F91" s="146">
        <v>0.27800000000000002</v>
      </c>
      <c r="G91" s="148">
        <f>IF(ISBLANK(F91),"-",$D$101/$F$98*F91)</f>
        <v>0.40163678257846425</v>
      </c>
      <c r="I91" s="149"/>
    </row>
    <row r="92" spans="1:12" ht="26.25" customHeight="1" x14ac:dyDescent="0.4">
      <c r="A92" s="138" t="s">
        <v>71</v>
      </c>
      <c r="B92" s="139">
        <v>1</v>
      </c>
      <c r="C92" s="225">
        <v>2</v>
      </c>
      <c r="D92" s="150">
        <v>0.30180000000000001</v>
      </c>
      <c r="E92" s="151">
        <f>IF(ISBLANK(D92),"-",$D$101/$D$98*D92)</f>
        <v>0.40462122160600739</v>
      </c>
      <c r="F92" s="150">
        <v>0.27910000000000001</v>
      </c>
      <c r="G92" s="152">
        <f>IF(ISBLANK(F92),"-",$D$101/$F$98*F92)</f>
        <v>0.40322599286924232</v>
      </c>
      <c r="I92" s="293">
        <f>ABS((F96/D96*D95)-F95)/D95</f>
        <v>1.5546187775209513E-3</v>
      </c>
    </row>
    <row r="93" spans="1:12" ht="26.25" customHeight="1" x14ac:dyDescent="0.4">
      <c r="A93" s="138" t="s">
        <v>72</v>
      </c>
      <c r="B93" s="139">
        <v>1</v>
      </c>
      <c r="C93" s="225">
        <v>3</v>
      </c>
      <c r="D93" s="150">
        <v>0.30309999999999998</v>
      </c>
      <c r="E93" s="151">
        <f>IF(ISBLANK(D93),"-",$D$101/$D$98*D93)</f>
        <v>0.40636412282564888</v>
      </c>
      <c r="F93" s="150">
        <v>0.28029999999999999</v>
      </c>
      <c r="G93" s="152">
        <f>IF(ISBLANK(F93),"-",$D$101/$F$98*F93)</f>
        <v>0.40495967682281842</v>
      </c>
      <c r="I93" s="293"/>
    </row>
    <row r="94" spans="1:12" ht="27" customHeight="1" thickBot="1" x14ac:dyDescent="0.45">
      <c r="A94" s="138" t="s">
        <v>73</v>
      </c>
      <c r="B94" s="139">
        <v>1</v>
      </c>
      <c r="C94" s="215">
        <v>4</v>
      </c>
      <c r="D94" s="154"/>
      <c r="E94" s="155" t="str">
        <f>IF(ISBLANK(D94),"-",$D$101/$D$98*D94)</f>
        <v>-</v>
      </c>
      <c r="F94" s="216"/>
      <c r="G94" s="156" t="str">
        <f>IF(ISBLANK(F94),"-",$D$101/$F$98*F94)</f>
        <v>-</v>
      </c>
      <c r="I94" s="157"/>
    </row>
    <row r="95" spans="1:12" ht="27" customHeight="1" thickBot="1" x14ac:dyDescent="0.45">
      <c r="A95" s="138" t="s">
        <v>74</v>
      </c>
      <c r="B95" s="139">
        <v>1</v>
      </c>
      <c r="C95" s="217" t="s">
        <v>75</v>
      </c>
      <c r="D95" s="218">
        <f>AVERAGE(D91:D94)</f>
        <v>0.30129999999999996</v>
      </c>
      <c r="E95" s="160">
        <f>AVERAGE(E91:E94)</f>
        <v>0.40395087498306831</v>
      </c>
      <c r="F95" s="219">
        <f>AVERAGE(F91:F94)</f>
        <v>0.27913333333333334</v>
      </c>
      <c r="G95" s="220">
        <f>AVERAGE(G91:G94)</f>
        <v>0.40327415075684164</v>
      </c>
    </row>
    <row r="96" spans="1:12" ht="26.25" customHeight="1" x14ac:dyDescent="0.4">
      <c r="A96" s="138" t="s">
        <v>76</v>
      </c>
      <c r="B96" s="212">
        <v>1</v>
      </c>
      <c r="C96" s="221" t="s">
        <v>117</v>
      </c>
      <c r="D96" s="222">
        <v>20.69</v>
      </c>
      <c r="E96" s="210"/>
      <c r="F96" s="164">
        <v>19.2</v>
      </c>
    </row>
    <row r="97" spans="1:10" ht="26.25" customHeight="1" x14ac:dyDescent="0.4">
      <c r="A97" s="138" t="s">
        <v>78</v>
      </c>
      <c r="B97" s="212">
        <v>1</v>
      </c>
      <c r="C97" s="223" t="s">
        <v>118</v>
      </c>
      <c r="D97" s="224">
        <f>D96*$B$87</f>
        <v>20.69</v>
      </c>
      <c r="E97" s="225"/>
      <c r="F97" s="166">
        <f>F96*$B$87</f>
        <v>19.2</v>
      </c>
    </row>
    <row r="98" spans="1:10" ht="19.5" customHeight="1" thickBot="1" x14ac:dyDescent="0.35">
      <c r="A98" s="138" t="s">
        <v>80</v>
      </c>
      <c r="B98" s="225">
        <f>(B97/B96)*(B95/B94)*(B93/B92)*(B91/B90)*B89</f>
        <v>500</v>
      </c>
      <c r="C98" s="223" t="s">
        <v>119</v>
      </c>
      <c r="D98" s="226">
        <f>D97*$B$83/100</f>
        <v>20.718966000000002</v>
      </c>
      <c r="E98" s="207"/>
      <c r="F98" s="168">
        <f>F97*$B$83/100</f>
        <v>19.226879999999998</v>
      </c>
    </row>
    <row r="99" spans="1:10" ht="19.5" customHeight="1" thickBot="1" x14ac:dyDescent="0.35">
      <c r="A99" s="294" t="s">
        <v>82</v>
      </c>
      <c r="B99" s="295"/>
      <c r="C99" s="223" t="s">
        <v>120</v>
      </c>
      <c r="D99" s="227">
        <f>D98/$B$98</f>
        <v>4.1437932000000004E-2</v>
      </c>
      <c r="E99" s="207"/>
      <c r="F99" s="171">
        <f>F98/$B$98</f>
        <v>3.8453759999999997E-2</v>
      </c>
      <c r="H99" s="162"/>
    </row>
    <row r="100" spans="1:10" ht="19.5" customHeight="1" thickBot="1" x14ac:dyDescent="0.35">
      <c r="A100" s="296"/>
      <c r="B100" s="297"/>
      <c r="C100" s="223" t="s">
        <v>84</v>
      </c>
      <c r="D100" s="229">
        <f>$B$56/$B$116</f>
        <v>5.5555555555555552E-2</v>
      </c>
      <c r="F100" s="176"/>
      <c r="G100" s="235"/>
      <c r="H100" s="162"/>
    </row>
    <row r="101" spans="1:10" ht="18.75" x14ac:dyDescent="0.3">
      <c r="C101" s="223" t="s">
        <v>85</v>
      </c>
      <c r="D101" s="224">
        <f>D100*$B$98</f>
        <v>27.777777777777775</v>
      </c>
      <c r="F101" s="176"/>
      <c r="H101" s="162"/>
    </row>
    <row r="102" spans="1:10" ht="19.5" customHeight="1" thickBot="1" x14ac:dyDescent="0.35">
      <c r="C102" s="230" t="s">
        <v>86</v>
      </c>
      <c r="D102" s="231">
        <f>D101/B34</f>
        <v>27.777777777777775</v>
      </c>
      <c r="F102" s="180"/>
      <c r="H102" s="162"/>
      <c r="J102" s="232"/>
    </row>
    <row r="103" spans="1:10" ht="18.75" x14ac:dyDescent="0.3">
      <c r="C103" s="233" t="s">
        <v>121</v>
      </c>
      <c r="D103" s="234">
        <f>AVERAGE(E91:E94,G91:G94)</f>
        <v>0.40361251286995503</v>
      </c>
      <c r="F103" s="180"/>
      <c r="G103" s="235"/>
      <c r="H103" s="162"/>
      <c r="J103" s="236"/>
    </row>
    <row r="104" spans="1:10" ht="18.75" x14ac:dyDescent="0.3">
      <c r="C104" s="206" t="s">
        <v>88</v>
      </c>
      <c r="D104" s="237">
        <f>STDEV(E91:E94,G91:G94)/D103</f>
        <v>5.1962701774817483E-3</v>
      </c>
      <c r="F104" s="180"/>
      <c r="H104" s="162"/>
      <c r="J104" s="236"/>
    </row>
    <row r="105" spans="1:10" ht="19.5" customHeight="1" thickBot="1" x14ac:dyDescent="0.35">
      <c r="C105" s="208" t="s">
        <v>20</v>
      </c>
      <c r="D105" s="238">
        <f>COUNT(E91:E94,G91:G94)</f>
        <v>6</v>
      </c>
      <c r="F105" s="180"/>
      <c r="H105" s="162"/>
      <c r="J105" s="236"/>
    </row>
    <row r="106" spans="1:10" ht="19.5" customHeight="1" thickBot="1" x14ac:dyDescent="0.35">
      <c r="A106" s="184"/>
      <c r="B106" s="184"/>
      <c r="C106" s="184"/>
      <c r="D106" s="184"/>
      <c r="E106" s="184"/>
    </row>
    <row r="107" spans="1:10" ht="26.25" customHeight="1" x14ac:dyDescent="0.4">
      <c r="A107" s="136" t="s">
        <v>122</v>
      </c>
      <c r="B107" s="137">
        <v>900</v>
      </c>
      <c r="C107" s="278" t="s">
        <v>41</v>
      </c>
      <c r="D107" s="239" t="s">
        <v>67</v>
      </c>
      <c r="E107" s="240" t="s">
        <v>123</v>
      </c>
      <c r="F107" s="241" t="s">
        <v>124</v>
      </c>
    </row>
    <row r="108" spans="1:10" ht="26.25" customHeight="1" x14ac:dyDescent="0.4">
      <c r="A108" s="138" t="s">
        <v>125</v>
      </c>
      <c r="B108" s="139">
        <v>10</v>
      </c>
      <c r="C108" s="242">
        <v>1</v>
      </c>
      <c r="D108" s="282">
        <v>0.40799999999999997</v>
      </c>
      <c r="E108" s="270">
        <f t="shared" ref="E108:E113" si="1">IF(ISBLANK(D108),"-",D108/$D$103*$D$100*$B$116)</f>
        <v>101.08705428849242</v>
      </c>
      <c r="F108" s="243">
        <f t="shared" ref="F108:F113" si="2">IF(ISBLANK(D108), "-", E108/$B$56)</f>
        <v>1.0108705428849243</v>
      </c>
    </row>
    <row r="109" spans="1:10" ht="26.25" customHeight="1" x14ac:dyDescent="0.4">
      <c r="A109" s="138" t="s">
        <v>99</v>
      </c>
      <c r="B109" s="139">
        <v>20</v>
      </c>
      <c r="C109" s="242">
        <v>2</v>
      </c>
      <c r="D109" s="282">
        <v>0.38090000000000002</v>
      </c>
      <c r="E109" s="271">
        <f t="shared" si="1"/>
        <v>94.37269357472249</v>
      </c>
      <c r="F109" s="244">
        <f t="shared" si="2"/>
        <v>0.94372693574722488</v>
      </c>
    </row>
    <row r="110" spans="1:10" ht="26.25" customHeight="1" x14ac:dyDescent="0.4">
      <c r="A110" s="138" t="s">
        <v>100</v>
      </c>
      <c r="B110" s="139">
        <v>1</v>
      </c>
      <c r="C110" s="242">
        <v>3</v>
      </c>
      <c r="D110" s="282">
        <v>0.41610000000000003</v>
      </c>
      <c r="E110" s="271">
        <f t="shared" si="1"/>
        <v>103.09392963098458</v>
      </c>
      <c r="F110" s="244">
        <f t="shared" si="2"/>
        <v>1.0309392963098458</v>
      </c>
    </row>
    <row r="111" spans="1:10" ht="26.25" customHeight="1" x14ac:dyDescent="0.4">
      <c r="A111" s="138" t="s">
        <v>101</v>
      </c>
      <c r="B111" s="139">
        <v>1</v>
      </c>
      <c r="C111" s="242">
        <v>4</v>
      </c>
      <c r="D111" s="282">
        <v>0.36720000000000003</v>
      </c>
      <c r="E111" s="271">
        <f t="shared" si="1"/>
        <v>90.978348859643205</v>
      </c>
      <c r="F111" s="244">
        <f t="shared" si="2"/>
        <v>0.9097834885964321</v>
      </c>
    </row>
    <row r="112" spans="1:10" ht="26.25" customHeight="1" x14ac:dyDescent="0.4">
      <c r="A112" s="138" t="s">
        <v>102</v>
      </c>
      <c r="B112" s="139">
        <v>1</v>
      </c>
      <c r="C112" s="242">
        <v>5</v>
      </c>
      <c r="D112" s="282">
        <v>0.39679999999999999</v>
      </c>
      <c r="E112" s="271">
        <f t="shared" si="1"/>
        <v>98.312115543318129</v>
      </c>
      <c r="F112" s="244">
        <f t="shared" si="2"/>
        <v>0.98312115543318124</v>
      </c>
    </row>
    <row r="113" spans="1:10" ht="26.25" customHeight="1" x14ac:dyDescent="0.4">
      <c r="A113" s="138" t="s">
        <v>104</v>
      </c>
      <c r="B113" s="139">
        <v>1</v>
      </c>
      <c r="C113" s="245">
        <v>6</v>
      </c>
      <c r="D113" s="283">
        <v>0.40910000000000002</v>
      </c>
      <c r="E113" s="272">
        <f t="shared" si="1"/>
        <v>101.35959291525066</v>
      </c>
      <c r="F113" s="246">
        <f t="shared" si="2"/>
        <v>1.0135959291525065</v>
      </c>
    </row>
    <row r="114" spans="1:10" ht="26.25" customHeight="1" x14ac:dyDescent="0.4">
      <c r="A114" s="138" t="s">
        <v>105</v>
      </c>
      <c r="B114" s="139">
        <v>1</v>
      </c>
      <c r="C114" s="242"/>
      <c r="D114" s="225"/>
      <c r="E114" s="210"/>
      <c r="F114" s="247"/>
    </row>
    <row r="115" spans="1:10" ht="26.25" customHeight="1" x14ac:dyDescent="0.4">
      <c r="A115" s="138" t="s">
        <v>106</v>
      </c>
      <c r="B115" s="139">
        <v>1</v>
      </c>
      <c r="C115" s="242"/>
      <c r="D115" s="248" t="s">
        <v>75</v>
      </c>
      <c r="E115" s="274">
        <f>AVERAGE(E108:E113)</f>
        <v>98.200622468735261</v>
      </c>
      <c r="F115" s="249">
        <f>AVERAGE(F108:F113)</f>
        <v>0.98200622468735244</v>
      </c>
    </row>
    <row r="116" spans="1:10" ht="27" customHeight="1" thickBot="1" x14ac:dyDescent="0.45">
      <c r="A116" s="138" t="s">
        <v>107</v>
      </c>
      <c r="B116" s="167">
        <f>(B115/B114)*(B113/B112)*(B111/B110)*(B109/B108)*B107</f>
        <v>1800</v>
      </c>
      <c r="C116" s="250"/>
      <c r="D116" s="217" t="s">
        <v>88</v>
      </c>
      <c r="E116" s="251">
        <f>STDEV(E108:E113)/E115</f>
        <v>4.7563827371860538E-2</v>
      </c>
      <c r="F116" s="251">
        <f>STDEV(F108:F113)/F115</f>
        <v>4.7563827371860531E-2</v>
      </c>
      <c r="I116" s="210"/>
    </row>
    <row r="117" spans="1:10" ht="27" customHeight="1" thickBot="1" x14ac:dyDescent="0.45">
      <c r="A117" s="294" t="s">
        <v>82</v>
      </c>
      <c r="B117" s="298"/>
      <c r="C117" s="252"/>
      <c r="D117" s="253" t="s">
        <v>20</v>
      </c>
      <c r="E117" s="254">
        <f>COUNT(E108:E113)</f>
        <v>6</v>
      </c>
      <c r="F117" s="254">
        <f>COUNT(F108:F113)</f>
        <v>6</v>
      </c>
      <c r="I117" s="210"/>
      <c r="J117" s="236"/>
    </row>
    <row r="118" spans="1:10" ht="19.5" customHeight="1" thickBot="1" x14ac:dyDescent="0.35">
      <c r="A118" s="296"/>
      <c r="B118" s="299"/>
      <c r="C118" s="210"/>
      <c r="D118" s="210"/>
      <c r="E118" s="210"/>
      <c r="F118" s="225"/>
      <c r="G118" s="210"/>
      <c r="H118" s="210"/>
      <c r="I118" s="210"/>
    </row>
    <row r="119" spans="1:10" ht="18.75" x14ac:dyDescent="0.3">
      <c r="A119" s="261"/>
      <c r="B119" s="134"/>
      <c r="C119" s="210"/>
      <c r="D119" s="210"/>
      <c r="E119" s="210"/>
      <c r="F119" s="225"/>
      <c r="G119" s="210"/>
      <c r="H119" s="210"/>
      <c r="I119" s="210"/>
    </row>
    <row r="120" spans="1:10" ht="26.25" customHeight="1" x14ac:dyDescent="0.4">
      <c r="A120" s="257" t="s">
        <v>110</v>
      </c>
      <c r="B120" s="217" t="s">
        <v>126</v>
      </c>
      <c r="C120" s="300" t="str">
        <f>B20</f>
        <v>Tramadol HCl</v>
      </c>
      <c r="D120" s="300"/>
      <c r="E120" s="210" t="s">
        <v>127</v>
      </c>
      <c r="F120" s="210"/>
      <c r="G120" s="211">
        <f>F115</f>
        <v>0.98200622468735244</v>
      </c>
      <c r="H120" s="210"/>
      <c r="I120" s="210"/>
    </row>
    <row r="121" spans="1:10" ht="19.5" customHeight="1" thickBot="1" x14ac:dyDescent="0.35">
      <c r="A121" s="279"/>
      <c r="B121" s="279"/>
      <c r="C121" s="255"/>
      <c r="D121" s="255"/>
      <c r="E121" s="255"/>
      <c r="F121" s="255"/>
      <c r="G121" s="255"/>
      <c r="H121" s="255"/>
    </row>
    <row r="122" spans="1:10" ht="18.75" x14ac:dyDescent="0.3">
      <c r="B122" s="301" t="s">
        <v>26</v>
      </c>
      <c r="C122" s="301"/>
      <c r="E122" s="277" t="s">
        <v>27</v>
      </c>
      <c r="F122" s="256"/>
      <c r="G122" s="301" t="s">
        <v>28</v>
      </c>
      <c r="H122" s="301"/>
    </row>
    <row r="123" spans="1:10" ht="69.95" customHeight="1" x14ac:dyDescent="0.3">
      <c r="A123" s="257" t="s">
        <v>29</v>
      </c>
      <c r="B123" s="258"/>
      <c r="C123" s="258"/>
      <c r="E123" s="258"/>
      <c r="F123" s="210"/>
      <c r="G123" s="258"/>
      <c r="H123" s="258"/>
    </row>
    <row r="124" spans="1:10" ht="69.95" customHeight="1" x14ac:dyDescent="0.3">
      <c r="A124" s="257" t="s">
        <v>30</v>
      </c>
      <c r="B124" s="259"/>
      <c r="C124" s="259"/>
      <c r="E124" s="259"/>
      <c r="F124" s="210"/>
      <c r="G124" s="260"/>
      <c r="H124" s="260"/>
    </row>
    <row r="125" spans="1:10" ht="18.75" x14ac:dyDescent="0.3">
      <c r="A125" s="225"/>
      <c r="B125" s="225"/>
      <c r="C125" s="225"/>
      <c r="D125" s="225"/>
      <c r="E125" s="225"/>
      <c r="F125" s="207"/>
      <c r="G125" s="225"/>
      <c r="H125" s="225"/>
      <c r="I125" s="210"/>
    </row>
    <row r="126" spans="1:10" ht="18.75" x14ac:dyDescent="0.3">
      <c r="A126" s="225"/>
      <c r="B126" s="225"/>
      <c r="C126" s="225"/>
      <c r="D126" s="225"/>
      <c r="E126" s="225"/>
      <c r="F126" s="207"/>
      <c r="G126" s="225"/>
      <c r="H126" s="225"/>
      <c r="I126" s="210"/>
    </row>
    <row r="127" spans="1:10" ht="18.75" x14ac:dyDescent="0.3">
      <c r="A127" s="225"/>
      <c r="B127" s="225"/>
      <c r="C127" s="225"/>
      <c r="D127" s="225"/>
      <c r="E127" s="225"/>
      <c r="F127" s="207"/>
      <c r="G127" s="225"/>
      <c r="H127" s="225"/>
      <c r="I127" s="210"/>
    </row>
    <row r="128" spans="1:10" ht="18.75" x14ac:dyDescent="0.3">
      <c r="A128" s="225"/>
      <c r="B128" s="225"/>
      <c r="C128" s="225"/>
      <c r="D128" s="225"/>
      <c r="E128" s="225"/>
      <c r="F128" s="207"/>
      <c r="G128" s="225"/>
      <c r="H128" s="225"/>
      <c r="I128" s="210"/>
    </row>
    <row r="129" spans="1:9" ht="18.75" x14ac:dyDescent="0.3">
      <c r="A129" s="225"/>
      <c r="B129" s="225"/>
      <c r="C129" s="225"/>
      <c r="D129" s="225"/>
      <c r="E129" s="225"/>
      <c r="F129" s="207"/>
      <c r="G129" s="225"/>
      <c r="H129" s="225"/>
      <c r="I129" s="210"/>
    </row>
    <row r="130" spans="1:9" ht="18.75" x14ac:dyDescent="0.3">
      <c r="A130" s="225"/>
      <c r="B130" s="225"/>
      <c r="C130" s="225"/>
      <c r="D130" s="225"/>
      <c r="E130" s="225"/>
      <c r="F130" s="207"/>
      <c r="G130" s="225"/>
      <c r="H130" s="225"/>
      <c r="I130" s="210"/>
    </row>
    <row r="131" spans="1:9" ht="18.75" x14ac:dyDescent="0.3">
      <c r="A131" s="225"/>
      <c r="B131" s="225"/>
      <c r="C131" s="225"/>
      <c r="D131" s="225"/>
      <c r="E131" s="225"/>
      <c r="F131" s="207"/>
      <c r="G131" s="225"/>
      <c r="H131" s="225"/>
      <c r="I131" s="210"/>
    </row>
    <row r="132" spans="1:9" ht="18.75" x14ac:dyDescent="0.3">
      <c r="A132" s="225"/>
      <c r="B132" s="225"/>
      <c r="C132" s="225"/>
      <c r="D132" s="225"/>
      <c r="E132" s="225"/>
      <c r="F132" s="207"/>
      <c r="G132" s="225"/>
      <c r="H132" s="225"/>
      <c r="I132" s="210"/>
    </row>
    <row r="133" spans="1:9" ht="18.75" x14ac:dyDescent="0.3">
      <c r="A133" s="225"/>
      <c r="B133" s="225"/>
      <c r="C133" s="225"/>
      <c r="D133" s="225"/>
      <c r="E133" s="225"/>
      <c r="F133" s="207"/>
      <c r="G133" s="225"/>
      <c r="H133" s="225"/>
      <c r="I133" s="210"/>
    </row>
    <row r="250" spans="1:1" x14ac:dyDescent="0.25">
      <c r="A250" s="228">
        <v>5</v>
      </c>
    </row>
  </sheetData>
  <sheetProtection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Uniformity 1</vt:lpstr>
      <vt:lpstr>SST</vt:lpstr>
      <vt:lpstr>TRAMADOL HYDROCHLORIDE 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2016-08-10T06:41:01Z</cp:lastPrinted>
  <dcterms:created xsi:type="dcterms:W3CDTF">2005-07-05T10:19:27Z</dcterms:created>
  <dcterms:modified xsi:type="dcterms:W3CDTF">2016-08-10T06:46:11Z</dcterms:modified>
</cp:coreProperties>
</file>