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36" windowHeight="9408" activeTab="3"/>
  </bookViews>
  <sheets>
    <sheet name="SST CA " sheetId="10" r:id="rId1"/>
    <sheet name="SST AM" sheetId="1" r:id="rId2"/>
    <sheet name="AMOXICILLIN" sheetId="2" r:id="rId3"/>
    <sheet name="CLAVULANATE" sheetId="3" r:id="rId4"/>
    <sheet name="Uniformity" sheetId="4" r:id="rId5"/>
  </sheets>
  <definedNames>
    <definedName name="_xlnm.Print_Area" localSheetId="2">AMOXICILLIN!$A$1:$I$125</definedName>
    <definedName name="_xlnm.Print_Area" localSheetId="3">CLAVULANATE!$A$1:$I$125</definedName>
    <definedName name="_xlnm.Print_Area" localSheetId="1">'SST AM'!$A$1:$E$61</definedName>
    <definedName name="_xlnm.Print_Area" localSheetId="0">'SST CA '!$A$1:$E$61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D100" i="3" l="1"/>
  <c r="D100" i="2"/>
  <c r="C73" i="3"/>
  <c r="B73" i="3"/>
  <c r="H72" i="2"/>
  <c r="B42" i="1"/>
  <c r="B30" i="1"/>
  <c r="B42" i="10"/>
  <c r="B30" i="10"/>
  <c r="B40" i="10"/>
  <c r="B39" i="10"/>
  <c r="B19" i="10"/>
  <c r="B57" i="3" l="1"/>
  <c r="B21" i="1"/>
  <c r="B21" i="10"/>
  <c r="B53" i="10"/>
  <c r="E51" i="10"/>
  <c r="D51" i="10"/>
  <c r="C51" i="10"/>
  <c r="B51" i="10"/>
  <c r="B52" i="10" s="1"/>
  <c r="B32" i="10"/>
  <c r="E30" i="10"/>
  <c r="D30" i="10"/>
  <c r="C30" i="10"/>
  <c r="B31" i="10"/>
  <c r="C46" i="4" l="1"/>
  <c r="C49" i="4" s="1"/>
  <c r="C45" i="4"/>
  <c r="C19" i="4"/>
  <c r="C120" i="3"/>
  <c r="B116" i="3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E57" i="3" s="1"/>
  <c r="F57" i="3" s="1"/>
  <c r="B55" i="3"/>
  <c r="B45" i="3"/>
  <c r="D48" i="3" s="1"/>
  <c r="F42" i="3"/>
  <c r="D42" i="3"/>
  <c r="B34" i="3"/>
  <c r="F44" i="3" s="1"/>
  <c r="B30" i="3"/>
  <c r="C120" i="2"/>
  <c r="B116" i="2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1" i="1"/>
  <c r="D97" i="2" l="1"/>
  <c r="D29" i="4"/>
  <c r="D37" i="4"/>
  <c r="D33" i="4"/>
  <c r="D25" i="4"/>
  <c r="D41" i="4"/>
  <c r="D49" i="2"/>
  <c r="D44" i="3"/>
  <c r="D45" i="3" s="1"/>
  <c r="E41" i="3" s="1"/>
  <c r="I92" i="3"/>
  <c r="D24" i="4"/>
  <c r="D28" i="4"/>
  <c r="D32" i="4"/>
  <c r="D36" i="4"/>
  <c r="D40" i="4"/>
  <c r="D49" i="4"/>
  <c r="C50" i="4"/>
  <c r="D44" i="2"/>
  <c r="D45" i="2" s="1"/>
  <c r="D49" i="3"/>
  <c r="D97" i="3"/>
  <c r="D98" i="3" s="1"/>
  <c r="D26" i="4"/>
  <c r="D30" i="4"/>
  <c r="D34" i="4"/>
  <c r="D38" i="4"/>
  <c r="D42" i="4"/>
  <c r="B49" i="4"/>
  <c r="D50" i="4"/>
  <c r="D27" i="4"/>
  <c r="D31" i="4"/>
  <c r="D35" i="4"/>
  <c r="D39" i="4"/>
  <c r="D43" i="4"/>
  <c r="I92" i="2"/>
  <c r="D101" i="2"/>
  <c r="D102" i="2" s="1"/>
  <c r="I39" i="2"/>
  <c r="D101" i="3"/>
  <c r="D102" i="3" s="1"/>
  <c r="F45" i="3"/>
  <c r="I39" i="3"/>
  <c r="E94" i="3"/>
  <c r="G40" i="3"/>
  <c r="F46" i="3"/>
  <c r="G39" i="3"/>
  <c r="G38" i="3"/>
  <c r="G41" i="3"/>
  <c r="F98" i="3"/>
  <c r="F45" i="2"/>
  <c r="G38" i="2" s="1"/>
  <c r="F46" i="2"/>
  <c r="G41" i="2"/>
  <c r="D98" i="2"/>
  <c r="F98" i="2"/>
  <c r="G39" i="2" l="1"/>
  <c r="D46" i="3"/>
  <c r="E93" i="3"/>
  <c r="D99" i="3"/>
  <c r="E91" i="3"/>
  <c r="E92" i="3"/>
  <c r="E40" i="3"/>
  <c r="E38" i="3"/>
  <c r="E39" i="3"/>
  <c r="G94" i="3"/>
  <c r="G91" i="3"/>
  <c r="F99" i="3"/>
  <c r="G92" i="3"/>
  <c r="G93" i="3"/>
  <c r="G42" i="3"/>
  <c r="G40" i="2"/>
  <c r="E94" i="2"/>
  <c r="E91" i="2"/>
  <c r="E93" i="2"/>
  <c r="D99" i="2"/>
  <c r="E92" i="2"/>
  <c r="F99" i="2"/>
  <c r="G92" i="2"/>
  <c r="G94" i="2"/>
  <c r="G91" i="2"/>
  <c r="G93" i="2"/>
  <c r="E40" i="2"/>
  <c r="E39" i="2"/>
  <c r="E41" i="2"/>
  <c r="E38" i="2"/>
  <c r="D46" i="2"/>
  <c r="G42" i="2"/>
  <c r="E95" i="3" l="1"/>
  <c r="D50" i="3"/>
  <c r="G68" i="3" s="1"/>
  <c r="H68" i="3" s="1"/>
  <c r="D105" i="3"/>
  <c r="E42" i="3"/>
  <c r="G95" i="3"/>
  <c r="D52" i="3"/>
  <c r="G71" i="3"/>
  <c r="H71" i="3" s="1"/>
  <c r="G67" i="3"/>
  <c r="H67" i="3" s="1"/>
  <c r="G63" i="3"/>
  <c r="H63" i="3" s="1"/>
  <c r="D103" i="3"/>
  <c r="D52" i="2"/>
  <c r="D50" i="2"/>
  <c r="E42" i="2"/>
  <c r="D103" i="2"/>
  <c r="D105" i="2"/>
  <c r="E95" i="2"/>
  <c r="G95" i="2"/>
  <c r="G70" i="3" l="1"/>
  <c r="H70" i="3" s="1"/>
  <c r="G61" i="3"/>
  <c r="H61" i="3" s="1"/>
  <c r="D51" i="3"/>
  <c r="G62" i="3"/>
  <c r="H62" i="3" s="1"/>
  <c r="G60" i="3"/>
  <c r="H60" i="3" s="1"/>
  <c r="G65" i="3"/>
  <c r="H65" i="3" s="1"/>
  <c r="G69" i="3"/>
  <c r="H69" i="3" s="1"/>
  <c r="G66" i="3"/>
  <c r="H66" i="3" s="1"/>
  <c r="G64" i="3"/>
  <c r="H64" i="3" s="1"/>
  <c r="E113" i="3"/>
  <c r="F113" i="3" s="1"/>
  <c r="E111" i="3"/>
  <c r="F111" i="3" s="1"/>
  <c r="E109" i="3"/>
  <c r="F109" i="3" s="1"/>
  <c r="E110" i="3"/>
  <c r="F110" i="3" s="1"/>
  <c r="E108" i="3"/>
  <c r="D104" i="3"/>
  <c r="E112" i="3"/>
  <c r="F112" i="3" s="1"/>
  <c r="G70" i="2"/>
  <c r="H70" i="2" s="1"/>
  <c r="G68" i="2"/>
  <c r="H68" i="2" s="1"/>
  <c r="G61" i="2"/>
  <c r="H61" i="2" s="1"/>
  <c r="G71" i="2"/>
  <c r="H71" i="2" s="1"/>
  <c r="G66" i="2"/>
  <c r="H66" i="2" s="1"/>
  <c r="G62" i="2"/>
  <c r="H62" i="2" s="1"/>
  <c r="G67" i="2"/>
  <c r="H67" i="2" s="1"/>
  <c r="G63" i="2"/>
  <c r="H63" i="2" s="1"/>
  <c r="G69" i="2"/>
  <c r="H69" i="2" s="1"/>
  <c r="G64" i="2"/>
  <c r="H64" i="2" s="1"/>
  <c r="G60" i="2"/>
  <c r="D51" i="2"/>
  <c r="G65" i="2"/>
  <c r="H65" i="2" s="1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2" i="3" l="1"/>
  <c r="G73" i="3" s="1"/>
  <c r="G74" i="3"/>
  <c r="H72" i="3"/>
  <c r="H74" i="3"/>
  <c r="E115" i="3"/>
  <c r="E116" i="3" s="1"/>
  <c r="E117" i="3"/>
  <c r="F108" i="3"/>
  <c r="H60" i="2"/>
  <c r="G72" i="2"/>
  <c r="G73" i="2" s="1"/>
  <c r="G74" i="2"/>
  <c r="E117" i="2"/>
  <c r="F108" i="2"/>
  <c r="E115" i="2"/>
  <c r="E116" i="2" s="1"/>
  <c r="F117" i="3" l="1"/>
  <c r="F115" i="3"/>
  <c r="G76" i="3"/>
  <c r="H73" i="3"/>
  <c r="F115" i="2"/>
  <c r="F117" i="2"/>
  <c r="H74" i="2"/>
  <c r="G76" i="2"/>
  <c r="G120" i="3" l="1"/>
  <c r="F116" i="3"/>
  <c r="G120" i="2"/>
  <c r="F116" i="2"/>
  <c r="H73" i="2"/>
</calcChain>
</file>

<file path=xl/sharedStrings.xml><?xml version="1.0" encoding="utf-8"?>
<sst xmlns="http://schemas.openxmlformats.org/spreadsheetml/2006/main" count="442" uniqueCount="142">
  <si>
    <t>HPLC System Suitability Report</t>
  </si>
  <si>
    <t>Analysis Data</t>
  </si>
  <si>
    <t>Sample(s)</t>
  </si>
  <si>
    <t>Reference Substance:</t>
  </si>
  <si>
    <t xml:space="preserve">COSIL-1000 </t>
  </si>
  <si>
    <t>% age Purity:</t>
  </si>
  <si>
    <t>NDQD201601654</t>
  </si>
  <si>
    <t>Weight (mg):</t>
  </si>
  <si>
    <t>Amoxicillin &amp; Clavulanate Potassium</t>
  </si>
  <si>
    <t>Standard Conc (mg/mL):</t>
  </si>
  <si>
    <t>Each film coated tablet contains Amoxicillin Trihydrate USP equivalent to amoxicillin 875 mg and Clavulanate Potassium USP equivalent to Clavulanic acid 125 mg.</t>
  </si>
  <si>
    <t>2016-01-14 09:54:27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</si>
  <si>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</si>
  <si>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</si>
  <si>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</si>
  <si>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</si>
  <si>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</si>
  <si>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</si>
  <si>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</si>
  <si>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</si>
  <si>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</si>
  <si>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</si>
  <si>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</si>
  <si>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</si>
  <si>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</si>
  <si>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</si>
  <si>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</si>
  <si>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</si>
  <si>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</si>
  <si>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</si>
  <si>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</si>
  <si>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</si>
  <si>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</si>
  <si>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</si>
  <si>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</si>
  <si>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</si>
  <si>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</si>
  <si>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</si>
  <si>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</si>
  <si>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</si>
  <si>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</si>
  <si>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</si>
  <si>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</si>
  <si>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</si>
  <si>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</si>
  <si>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</si>
  <si>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</si>
  <si>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</si>
  <si>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</si>
  <si>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</si>
  <si>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</si>
  <si>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</si>
  <si>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</si>
  <si>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</si>
  <si>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</si>
  <si>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</si>
  <si>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</si>
  <si>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</si>
  <si>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</si>
  <si>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</si>
  <si>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</si>
  <si>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</si>
  <si>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</si>
  <si>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</si>
  <si>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</si>
  <si>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</si>
  <si>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</si>
  <si>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</si>
  <si>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</si>
  <si>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</si>
  <si>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</si>
  <si>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</si>
  <si>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</si>
  <si>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</si>
  <si>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</si>
  <si>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</si>
  <si>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</si>
  <si>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</si>
  <si>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</si>
  <si>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</si>
  <si>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</si>
  <si>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</si>
  <si>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</si>
  <si>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</si>
  <si>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</si>
  <si>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</si>
  <si>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</si>
  <si>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</si>
  <si>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</si>
  <si>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</si>
  <si>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</si>
  <si>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</si>
  <si>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</si>
  <si>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</si>
  <si>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</si>
  <si>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</si>
  <si>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</si>
  <si>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</si>
  <si>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</si>
  <si>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</si>
  <si>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</si>
  <si>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</si>
  <si>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</si>
  <si>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</si>
  <si>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</si>
  <si>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</si>
  <si>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</si>
  <si>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</si>
  <si>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</si>
  <si>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</si>
  <si>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</si>
  <si>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</si>
  <si>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</si>
  <si>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</si>
  <si>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</si>
  <si>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</si>
  <si>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</si>
  <si>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</si>
  <si>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</si>
  <si>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</si>
  <si>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</si>
  <si>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</si>
  <si>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</si>
  <si>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AMOXICILLIN AND CLAVULANIC ACID</t>
  </si>
  <si>
    <t>A1-3</t>
  </si>
  <si>
    <t>C62-4</t>
  </si>
  <si>
    <t xml:space="preserve">Amoxicillin </t>
  </si>
  <si>
    <t>NDQD201601655</t>
  </si>
  <si>
    <t>Clavulanic Acid</t>
  </si>
  <si>
    <t>Joyfrida</t>
  </si>
  <si>
    <t>20-5-2016</t>
  </si>
  <si>
    <t>Each film coated tablet contains Amoxicillin Trihydrate USP equivalent to amoxicillin 500 mg and Clavulanate Potassium USP equivalent to Clavulanic acid 125 mg.</t>
  </si>
  <si>
    <t xml:space="preserve"> CLAVULANATE LITHIUM</t>
  </si>
  <si>
    <t>(as Clavulanic Acid)</t>
  </si>
  <si>
    <t>Average Tablet Weight (mg):</t>
  </si>
  <si>
    <t>COSIL-625 TABLETS</t>
  </si>
  <si>
    <t>Active Ingredients:</t>
  </si>
  <si>
    <t>Clavulanic acid</t>
  </si>
  <si>
    <t>Clavulanate Lithium</t>
  </si>
  <si>
    <t>DISSOLUTION</t>
  </si>
  <si>
    <t xml:space="preserve">COSIL-625 TABLETS 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</si>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</sst>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4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9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2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3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9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2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3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1" fontId="10" fillId="3" borderId="24" xfId="0" applyNumberFormat="1" applyFont="1" applyFill="1" applyBorder="1" applyAlignment="1" applyProtection="1">
      <alignment horizontal="center"/>
      <protection locked="0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4" xfId="0" applyFont="1" applyFill="1" applyBorder="1" applyAlignment="1">
      <alignment horizontal="center" wrapText="1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3" borderId="0" xfId="0" applyFont="1" applyFill="1" applyAlignment="1" applyProtection="1">
      <protection locked="0"/>
    </xf>
    <xf numFmtId="9" fontId="8" fillId="2" borderId="0" xfId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170" fontId="5" fillId="2" borderId="0" xfId="0" applyNumberFormat="1" applyFont="1" applyFill="1" applyAlignment="1">
      <alignment horizontal="center"/>
    </xf>
    <xf numFmtId="174" fontId="5" fillId="4" borderId="1" xfId="0" applyNumberFormat="1" applyFont="1" applyFill="1" applyBorder="1" applyAlignment="1">
      <alignment horizontal="center"/>
    </xf>
    <xf numFmtId="174" fontId="7" fillId="3" borderId="3" xfId="0" applyNumberFormat="1" applyFont="1" applyFill="1" applyBorder="1" applyAlignment="1" applyProtection="1">
      <alignment horizontal="center"/>
      <protection locked="0"/>
    </xf>
    <xf numFmtId="174" fontId="7" fillId="3" borderId="5" xfId="0" applyNumberFormat="1" applyFont="1" applyFill="1" applyBorder="1" applyAlignment="1" applyProtection="1">
      <alignment horizontal="center"/>
      <protection locked="0"/>
    </xf>
    <xf numFmtId="174" fontId="7" fillId="3" borderId="4" xfId="0" applyNumberFormat="1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/>
    </xf>
    <xf numFmtId="2" fontId="10" fillId="3" borderId="35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7" zoomScale="90" zoomScaleNormal="100" zoomScaleSheetLayoutView="90" workbookViewId="0">
      <selection activeCell="B17" sqref="B17:B19"/>
    </sheetView>
  </sheetViews>
  <sheetFormatPr defaultColWidth="9.109375" defaultRowHeight="13.8" x14ac:dyDescent="0.3"/>
  <cols>
    <col min="1" max="1" width="27.5546875" style="458" customWidth="1"/>
    <col min="2" max="2" width="20.44140625" style="458" customWidth="1"/>
    <col min="3" max="3" width="31.88671875" style="458" customWidth="1"/>
    <col min="4" max="4" width="25.88671875" style="458" customWidth="1"/>
    <col min="5" max="5" width="25.6640625" style="458" customWidth="1"/>
    <col min="6" max="6" width="23.109375" style="458" customWidth="1"/>
    <col min="7" max="7" width="28.44140625" style="458" customWidth="1"/>
    <col min="8" max="8" width="21.5546875" style="458" customWidth="1"/>
    <col min="9" max="9" width="9.109375" style="458" customWidth="1"/>
    <col min="10" max="16384" width="9.109375" style="4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446" t="s">
        <v>1</v>
      </c>
      <c r="B16" s="415" t="s">
        <v>128</v>
      </c>
    </row>
    <row r="17" spans="1:5" ht="16.5" customHeight="1" x14ac:dyDescent="0.3">
      <c r="A17" s="7" t="s">
        <v>2</v>
      </c>
      <c r="B17" s="7" t="s">
        <v>135</v>
      </c>
      <c r="D17" s="8"/>
      <c r="E17" s="428"/>
    </row>
    <row r="18" spans="1:5" ht="16.5" customHeight="1" x14ac:dyDescent="0.3">
      <c r="A18" s="431" t="s">
        <v>3</v>
      </c>
      <c r="B18" s="431" t="s">
        <v>138</v>
      </c>
      <c r="C18" s="428"/>
      <c r="D18" s="428"/>
      <c r="E18" s="428"/>
    </row>
    <row r="19" spans="1:5" ht="16.5" customHeight="1" x14ac:dyDescent="0.3">
      <c r="A19" s="431" t="s">
        <v>5</v>
      </c>
      <c r="B19" s="515" t="str">
        <f>CONCATENATE("96.96 as ", B16)</f>
        <v>96.96 as Clavulanic Acid</v>
      </c>
      <c r="C19" s="428"/>
      <c r="D19" s="428"/>
      <c r="E19" s="428"/>
    </row>
    <row r="20" spans="1:5" ht="16.5" customHeight="1" x14ac:dyDescent="0.3">
      <c r="A20" s="7" t="s">
        <v>7</v>
      </c>
      <c r="B20" s="11">
        <v>11.91</v>
      </c>
      <c r="C20" s="428"/>
      <c r="D20" s="428"/>
      <c r="E20" s="428"/>
    </row>
    <row r="21" spans="1:5" ht="16.5" customHeight="1" x14ac:dyDescent="0.3">
      <c r="A21" s="7" t="s">
        <v>9</v>
      </c>
      <c r="B21" s="516">
        <f>B20/50</f>
        <v>0.2382</v>
      </c>
      <c r="C21" s="428"/>
      <c r="D21" s="428"/>
      <c r="E21" s="428"/>
    </row>
    <row r="22" spans="1:5" ht="15.75" customHeight="1" x14ac:dyDescent="0.3">
      <c r="A22" s="428"/>
      <c r="B22" s="428"/>
      <c r="C22" s="428"/>
      <c r="D22" s="428"/>
      <c r="E22" s="428"/>
    </row>
    <row r="23" spans="1:5" ht="16.5" customHeight="1" x14ac:dyDescent="0.3">
      <c r="A23" s="15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5" ht="16.5" customHeight="1" x14ac:dyDescent="0.3">
      <c r="A24" s="16">
        <v>1</v>
      </c>
      <c r="B24" s="17">
        <v>92582290</v>
      </c>
      <c r="C24" s="17">
        <v>5840.4</v>
      </c>
      <c r="D24" s="18">
        <v>1.2</v>
      </c>
      <c r="E24" s="19">
        <v>2.5</v>
      </c>
    </row>
    <row r="25" spans="1:5" ht="16.5" customHeight="1" x14ac:dyDescent="0.3">
      <c r="A25" s="16">
        <v>2</v>
      </c>
      <c r="B25" s="17">
        <v>92551894</v>
      </c>
      <c r="C25" s="17">
        <v>5761.3</v>
      </c>
      <c r="D25" s="18">
        <v>1.2</v>
      </c>
      <c r="E25" s="18">
        <v>2.5</v>
      </c>
    </row>
    <row r="26" spans="1:5" ht="16.5" customHeight="1" x14ac:dyDescent="0.3">
      <c r="A26" s="16">
        <v>3</v>
      </c>
      <c r="B26" s="17">
        <v>92658337</v>
      </c>
      <c r="C26" s="17">
        <v>5814.2</v>
      </c>
      <c r="D26" s="18">
        <v>1.2</v>
      </c>
      <c r="E26" s="18">
        <v>2.5</v>
      </c>
    </row>
    <row r="27" spans="1:5" ht="16.5" customHeight="1" x14ac:dyDescent="0.3">
      <c r="A27" s="16">
        <v>4</v>
      </c>
      <c r="B27" s="17">
        <v>92657199</v>
      </c>
      <c r="C27" s="17">
        <v>5774.7</v>
      </c>
      <c r="D27" s="18">
        <v>1.2</v>
      </c>
      <c r="E27" s="18">
        <v>2.5</v>
      </c>
    </row>
    <row r="28" spans="1:5" ht="16.5" customHeight="1" x14ac:dyDescent="0.3">
      <c r="A28" s="16">
        <v>5</v>
      </c>
      <c r="B28" s="17">
        <v>92665316</v>
      </c>
      <c r="C28" s="17">
        <v>5731.6</v>
      </c>
      <c r="D28" s="18">
        <v>1.2</v>
      </c>
      <c r="E28" s="18">
        <v>2.5</v>
      </c>
    </row>
    <row r="29" spans="1:5" ht="16.5" customHeight="1" x14ac:dyDescent="0.3">
      <c r="A29" s="16">
        <v>6</v>
      </c>
      <c r="B29" s="20">
        <v>92701746</v>
      </c>
      <c r="C29" s="20">
        <v>5731.1</v>
      </c>
      <c r="D29" s="21">
        <v>1.2</v>
      </c>
      <c r="E29" s="21">
        <v>2.5</v>
      </c>
    </row>
    <row r="30" spans="1:5" ht="16.5" customHeight="1" x14ac:dyDescent="0.3">
      <c r="A30" s="22" t="s">
        <v>17</v>
      </c>
      <c r="B30" s="23">
        <f>AVERAGE(B24:B29)</f>
        <v>92636130.333333328</v>
      </c>
      <c r="C30" s="517">
        <f>AVERAGE(C24:C29)</f>
        <v>5775.55</v>
      </c>
      <c r="D30" s="25">
        <f>AVERAGE(D24:D29)</f>
        <v>1.2</v>
      </c>
      <c r="E30" s="25">
        <f>AVERAGE(E24:E29)</f>
        <v>2.5</v>
      </c>
    </row>
    <row r="31" spans="1:5" ht="16.5" customHeight="1" x14ac:dyDescent="0.3">
      <c r="A31" s="26" t="s">
        <v>18</v>
      </c>
      <c r="B31" s="27">
        <f>(STDEV(B24:B29)/B30)</f>
        <v>6.1234505665923582E-4</v>
      </c>
      <c r="C31" s="28"/>
      <c r="D31" s="28"/>
      <c r="E31" s="29"/>
    </row>
    <row r="32" spans="1:5" s="458" customFormat="1" ht="16.5" customHeight="1" x14ac:dyDescent="0.3">
      <c r="A32" s="30" t="s">
        <v>19</v>
      </c>
      <c r="B32" s="31">
        <f>COUNT(B24:B29)</f>
        <v>6</v>
      </c>
      <c r="C32" s="32"/>
      <c r="D32" s="429"/>
      <c r="E32" s="34"/>
    </row>
    <row r="33" spans="1:5" s="458" customFormat="1" ht="15.75" customHeight="1" x14ac:dyDescent="0.3">
      <c r="A33" s="428"/>
      <c r="B33" s="428"/>
      <c r="C33" s="428"/>
      <c r="D33" s="428"/>
      <c r="E33" s="428"/>
    </row>
    <row r="34" spans="1:5" s="458" customFormat="1" ht="16.5" customHeight="1" x14ac:dyDescent="0.3">
      <c r="A34" s="431" t="s">
        <v>20</v>
      </c>
      <c r="B34" s="39" t="s">
        <v>21</v>
      </c>
      <c r="C34" s="38"/>
      <c r="D34" s="38"/>
      <c r="E34" s="38"/>
    </row>
    <row r="35" spans="1:5" ht="16.5" customHeight="1" x14ac:dyDescent="0.3">
      <c r="A35" s="431"/>
      <c r="B35" s="39" t="s">
        <v>22</v>
      </c>
      <c r="C35" s="38"/>
      <c r="D35" s="38"/>
      <c r="E35" s="38"/>
    </row>
    <row r="36" spans="1:5" ht="16.5" customHeight="1" x14ac:dyDescent="0.3">
      <c r="A36" s="431"/>
      <c r="B36" s="39" t="s">
        <v>23</v>
      </c>
      <c r="C36" s="38"/>
      <c r="D36" s="38"/>
      <c r="E36" s="38"/>
    </row>
    <row r="37" spans="1:5" ht="15.75" customHeight="1" x14ac:dyDescent="0.3">
      <c r="A37" s="428"/>
      <c r="B37" s="428"/>
      <c r="C37" s="428"/>
      <c r="D37" s="428"/>
      <c r="E37" s="428"/>
    </row>
    <row r="38" spans="1:5" ht="16.5" customHeight="1" x14ac:dyDescent="0.3">
      <c r="A38" s="446" t="s">
        <v>1</v>
      </c>
      <c r="B38" s="463" t="s">
        <v>139</v>
      </c>
    </row>
    <row r="39" spans="1:5" ht="16.5" customHeight="1" x14ac:dyDescent="0.3">
      <c r="A39" s="431" t="s">
        <v>3</v>
      </c>
      <c r="B39" s="7" t="str">
        <f>B18</f>
        <v>Clavulanate Lithium</v>
      </c>
      <c r="C39" s="428"/>
      <c r="D39" s="428"/>
      <c r="E39" s="428"/>
    </row>
    <row r="40" spans="1:5" ht="16.5" customHeight="1" x14ac:dyDescent="0.3">
      <c r="A40" s="431" t="s">
        <v>5</v>
      </c>
      <c r="B40" s="515" t="str">
        <f>B19</f>
        <v>96.96 as Clavulanic Acid</v>
      </c>
      <c r="C40" s="428"/>
      <c r="D40" s="428"/>
      <c r="E40" s="428"/>
    </row>
    <row r="41" spans="1:5" ht="16.5" customHeight="1" x14ac:dyDescent="0.3">
      <c r="A41" s="7" t="s">
        <v>7</v>
      </c>
      <c r="B41" s="11">
        <v>9.02</v>
      </c>
      <c r="C41" s="428"/>
      <c r="D41" s="428"/>
      <c r="E41" s="428"/>
    </row>
    <row r="42" spans="1:5" ht="16.5" customHeight="1" x14ac:dyDescent="0.3">
      <c r="A42" s="7" t="s">
        <v>9</v>
      </c>
      <c r="B42" s="516">
        <f>B41/5*3/25</f>
        <v>0.21647999999999995</v>
      </c>
      <c r="C42" s="428"/>
      <c r="D42" s="428"/>
      <c r="E42" s="428"/>
    </row>
    <row r="43" spans="1:5" ht="15.75" customHeight="1" x14ac:dyDescent="0.3">
      <c r="A43" s="428"/>
      <c r="B43" s="428"/>
      <c r="C43" s="428"/>
      <c r="D43" s="428"/>
      <c r="E43" s="428"/>
    </row>
    <row r="44" spans="1:5" ht="16.5" customHeight="1" x14ac:dyDescent="0.3">
      <c r="A44" s="15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5" ht="16.5" customHeight="1" x14ac:dyDescent="0.3">
      <c r="A45" s="16">
        <v>1</v>
      </c>
      <c r="B45" s="17">
        <v>83571045</v>
      </c>
      <c r="C45" s="17">
        <v>4471</v>
      </c>
      <c r="D45" s="518">
        <v>1.1000000000000001</v>
      </c>
      <c r="E45" s="19">
        <v>2.5</v>
      </c>
    </row>
    <row r="46" spans="1:5" ht="16.5" customHeight="1" x14ac:dyDescent="0.3">
      <c r="A46" s="16">
        <v>2</v>
      </c>
      <c r="B46" s="17">
        <v>83535281</v>
      </c>
      <c r="C46" s="17">
        <v>4449.6000000000004</v>
      </c>
      <c r="D46" s="518">
        <v>1.1000000000000001</v>
      </c>
      <c r="E46" s="18">
        <v>2.5</v>
      </c>
    </row>
    <row r="47" spans="1:5" ht="16.5" customHeight="1" x14ac:dyDescent="0.3">
      <c r="A47" s="16">
        <v>3</v>
      </c>
      <c r="B47" s="17">
        <v>83550962</v>
      </c>
      <c r="C47" s="17">
        <v>4450.8</v>
      </c>
      <c r="D47" s="518">
        <v>1.1000000000000001</v>
      </c>
      <c r="E47" s="18">
        <v>2.5</v>
      </c>
    </row>
    <row r="48" spans="1:5" ht="16.5" customHeight="1" x14ac:dyDescent="0.3">
      <c r="A48" s="16">
        <v>4</v>
      </c>
      <c r="B48" s="17">
        <v>83681300</v>
      </c>
      <c r="C48" s="17">
        <v>4414.2</v>
      </c>
      <c r="D48" s="518">
        <v>1.2</v>
      </c>
      <c r="E48" s="18">
        <v>2.5</v>
      </c>
    </row>
    <row r="49" spans="1:7" ht="16.5" customHeight="1" x14ac:dyDescent="0.3">
      <c r="A49" s="16">
        <v>5</v>
      </c>
      <c r="B49" s="17">
        <v>83638991</v>
      </c>
      <c r="C49" s="17">
        <v>4426.8999999999996</v>
      </c>
      <c r="D49" s="518">
        <v>1.1000000000000001</v>
      </c>
      <c r="E49" s="18">
        <v>2.5</v>
      </c>
    </row>
    <row r="50" spans="1:7" ht="16.5" customHeight="1" x14ac:dyDescent="0.3">
      <c r="A50" s="16">
        <v>6</v>
      </c>
      <c r="B50" s="20">
        <v>83585050</v>
      </c>
      <c r="C50" s="20">
        <v>4422.7</v>
      </c>
      <c r="D50" s="518">
        <v>1.1000000000000001</v>
      </c>
      <c r="E50" s="21">
        <v>2.5</v>
      </c>
    </row>
    <row r="51" spans="1:7" ht="16.5" customHeight="1" x14ac:dyDescent="0.3">
      <c r="A51" s="22" t="s">
        <v>17</v>
      </c>
      <c r="B51" s="23">
        <f>AVERAGE(B45:B50)</f>
        <v>83593771.5</v>
      </c>
      <c r="C51" s="517">
        <f>AVERAGE(C45:C50)</f>
        <v>4439.2</v>
      </c>
      <c r="D51" s="25">
        <f>AVERAGE(D45:D50)</f>
        <v>1.1166666666666665</v>
      </c>
      <c r="E51" s="25">
        <f>AVERAGE(E45:E50)</f>
        <v>2.5</v>
      </c>
    </row>
    <row r="52" spans="1:7" ht="16.5" customHeight="1" x14ac:dyDescent="0.3">
      <c r="A52" s="26" t="s">
        <v>18</v>
      </c>
      <c r="B52" s="27">
        <f>(STDEV(B45:B50)/B51)</f>
        <v>6.671748574598531E-4</v>
      </c>
      <c r="C52" s="28"/>
      <c r="D52" s="28"/>
      <c r="E52" s="29"/>
    </row>
    <row r="53" spans="1:7" s="458" customFormat="1" ht="16.5" customHeight="1" x14ac:dyDescent="0.3">
      <c r="A53" s="30" t="s">
        <v>19</v>
      </c>
      <c r="B53" s="31">
        <f>COUNT(B45:B50)</f>
        <v>6</v>
      </c>
      <c r="C53" s="32"/>
      <c r="D53" s="429"/>
      <c r="E53" s="34"/>
    </row>
    <row r="54" spans="1:7" s="458" customFormat="1" ht="15.75" customHeight="1" x14ac:dyDescent="0.3">
      <c r="A54" s="428"/>
      <c r="B54" s="428"/>
      <c r="C54" s="428"/>
      <c r="D54" s="428"/>
      <c r="E54" s="428"/>
    </row>
    <row r="55" spans="1:7" s="458" customFormat="1" ht="16.5" customHeight="1" x14ac:dyDescent="0.3">
      <c r="A55" s="431" t="s">
        <v>20</v>
      </c>
      <c r="B55" s="39" t="s">
        <v>21</v>
      </c>
      <c r="C55" s="38"/>
      <c r="D55" s="38"/>
      <c r="E55" s="38"/>
    </row>
    <row r="56" spans="1:7" ht="16.5" customHeight="1" x14ac:dyDescent="0.3">
      <c r="A56" s="431"/>
      <c r="B56" s="39" t="s">
        <v>22</v>
      </c>
      <c r="C56" s="38"/>
      <c r="D56" s="38"/>
      <c r="E56" s="38"/>
    </row>
    <row r="57" spans="1:7" ht="16.5" customHeight="1" x14ac:dyDescent="0.3">
      <c r="A57" s="431"/>
      <c r="B57" s="39" t="s">
        <v>23</v>
      </c>
      <c r="C57" s="38"/>
      <c r="D57" s="38"/>
      <c r="E57" s="38"/>
    </row>
    <row r="58" spans="1:7" ht="14.25" customHeight="1" thickBot="1" x14ac:dyDescent="0.35">
      <c r="A58" s="40"/>
      <c r="B58" s="408"/>
      <c r="D58" s="42"/>
      <c r="F58" s="43"/>
      <c r="G58" s="43"/>
    </row>
    <row r="59" spans="1:7" ht="15" customHeight="1" x14ac:dyDescent="0.3">
      <c r="B59" s="465" t="s">
        <v>24</v>
      </c>
      <c r="C59" s="465"/>
      <c r="D59" s="462" t="s">
        <v>25</v>
      </c>
      <c r="E59" s="462" t="s">
        <v>26</v>
      </c>
    </row>
    <row r="60" spans="1:7" ht="15" customHeight="1" x14ac:dyDescent="0.3">
      <c r="A60" s="45" t="s">
        <v>27</v>
      </c>
      <c r="B60" s="46"/>
      <c r="C60" s="46"/>
      <c r="D60" s="46"/>
      <c r="E60" s="46"/>
    </row>
    <row r="61" spans="1:7" ht="15" customHeight="1" x14ac:dyDescent="0.3">
      <c r="A61" s="45" t="s">
        <v>28</v>
      </c>
      <c r="B61" s="47"/>
      <c r="C61" s="47"/>
      <c r="D61" s="47"/>
      <c r="E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80" zoomScaleNormal="100" zoomScaleSheetLayoutView="80" workbookViewId="0">
      <selection activeCell="D20" sqref="D2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463" t="s">
        <v>141</v>
      </c>
    </row>
    <row r="17" spans="1:6" ht="16.5" customHeight="1" x14ac:dyDescent="0.3">
      <c r="A17" s="6" t="s">
        <v>2</v>
      </c>
      <c r="B17" s="7" t="s">
        <v>140</v>
      </c>
      <c r="D17" s="8"/>
      <c r="E17" s="9"/>
    </row>
    <row r="18" spans="1:6" ht="16.5" customHeight="1" x14ac:dyDescent="0.3">
      <c r="A18" s="10" t="s">
        <v>3</v>
      </c>
      <c r="B18" s="8" t="s">
        <v>126</v>
      </c>
      <c r="C18" s="9"/>
      <c r="D18" s="9"/>
      <c r="E18" s="9"/>
    </row>
    <row r="19" spans="1:6" ht="16.5" customHeight="1" x14ac:dyDescent="0.3">
      <c r="A19" s="10" t="s">
        <v>5</v>
      </c>
      <c r="B19" s="11">
        <v>87.84</v>
      </c>
      <c r="C19" s="9"/>
      <c r="D19" s="9"/>
      <c r="E19" s="9"/>
    </row>
    <row r="20" spans="1:6" ht="16.5" customHeight="1" x14ac:dyDescent="0.3">
      <c r="A20" s="6" t="s">
        <v>7</v>
      </c>
      <c r="B20" s="11">
        <v>24.54</v>
      </c>
      <c r="C20" s="9"/>
      <c r="D20" s="9"/>
      <c r="E20" s="9"/>
    </row>
    <row r="21" spans="1:6" ht="16.5" customHeight="1" x14ac:dyDescent="0.3">
      <c r="A21" s="6" t="s">
        <v>9</v>
      </c>
      <c r="B21" s="516">
        <f>B20/50</f>
        <v>0.49079999999999996</v>
      </c>
      <c r="C21" s="9"/>
      <c r="D21" s="9"/>
      <c r="E21" s="9"/>
    </row>
    <row r="22" spans="1:6" ht="15.75" customHeight="1" x14ac:dyDescent="0.3">
      <c r="A22" s="9"/>
      <c r="B22" s="9"/>
      <c r="C22" s="9"/>
      <c r="D22" s="9"/>
      <c r="E22" s="9"/>
    </row>
    <row r="23" spans="1:6" ht="16.5" customHeight="1" x14ac:dyDescent="0.3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</row>
    <row r="24" spans="1:6" ht="16.5" customHeight="1" x14ac:dyDescent="0.3">
      <c r="A24" s="16">
        <v>1</v>
      </c>
      <c r="B24" s="17">
        <v>140163559</v>
      </c>
      <c r="C24" s="17">
        <v>3471.2</v>
      </c>
      <c r="D24" s="518">
        <v>1</v>
      </c>
      <c r="E24" s="520">
        <v>4.0999999999999996</v>
      </c>
    </row>
    <row r="25" spans="1:6" ht="16.5" customHeight="1" x14ac:dyDescent="0.3">
      <c r="A25" s="16">
        <v>2</v>
      </c>
      <c r="B25" s="17">
        <v>140166532</v>
      </c>
      <c r="C25" s="518">
        <v>3454</v>
      </c>
      <c r="D25" s="518">
        <v>1</v>
      </c>
      <c r="E25" s="518">
        <v>4.0999999999999996</v>
      </c>
    </row>
    <row r="26" spans="1:6" ht="16.5" customHeight="1" x14ac:dyDescent="0.3">
      <c r="A26" s="16">
        <v>3</v>
      </c>
      <c r="B26" s="17">
        <v>140263963</v>
      </c>
      <c r="C26" s="17">
        <v>3451.3</v>
      </c>
      <c r="D26" s="518">
        <v>1</v>
      </c>
      <c r="E26" s="518">
        <v>4.0999999999999996</v>
      </c>
    </row>
    <row r="27" spans="1:6" ht="16.5" customHeight="1" x14ac:dyDescent="0.3">
      <c r="A27" s="16">
        <v>4</v>
      </c>
      <c r="B27" s="17">
        <v>140294708</v>
      </c>
      <c r="C27" s="17">
        <v>3443.4</v>
      </c>
      <c r="D27" s="518">
        <v>1</v>
      </c>
      <c r="E27" s="518">
        <v>4.0999999999999996</v>
      </c>
    </row>
    <row r="28" spans="1:6" ht="16.5" customHeight="1" x14ac:dyDescent="0.3">
      <c r="A28" s="16">
        <v>5</v>
      </c>
      <c r="B28" s="17">
        <v>140325856</v>
      </c>
      <c r="C28" s="17">
        <v>3431.4</v>
      </c>
      <c r="D28" s="518">
        <v>1</v>
      </c>
      <c r="E28" s="518">
        <v>4.0999999999999996</v>
      </c>
    </row>
    <row r="29" spans="1:6" ht="16.5" customHeight="1" x14ac:dyDescent="0.3">
      <c r="A29" s="16">
        <v>6</v>
      </c>
      <c r="B29" s="20">
        <v>140387934</v>
      </c>
      <c r="C29" s="20">
        <v>3426.3</v>
      </c>
      <c r="D29" s="519">
        <v>1</v>
      </c>
      <c r="E29" s="519">
        <v>4.0999999999999996</v>
      </c>
    </row>
    <row r="30" spans="1:6" ht="16.5" customHeight="1" x14ac:dyDescent="0.3">
      <c r="A30" s="22" t="s">
        <v>17</v>
      </c>
      <c r="B30" s="23">
        <f>AVERAGE(B24:B29)</f>
        <v>140267092</v>
      </c>
      <c r="C30" s="517">
        <f>AVERAGE(C24:C29)</f>
        <v>3446.2666666666664</v>
      </c>
      <c r="D30" s="25">
        <f>AVERAGE(D24:D29)</f>
        <v>1</v>
      </c>
      <c r="E30" s="25">
        <f>AVERAGE(E24:E29)</f>
        <v>4.1000000000000005</v>
      </c>
    </row>
    <row r="31" spans="1:6" ht="16.5" customHeight="1" x14ac:dyDescent="0.3">
      <c r="A31" s="26" t="s">
        <v>18</v>
      </c>
      <c r="B31" s="27">
        <f>(STDEV(B24:B29)/B30)</f>
        <v>6.3494280927563196E-4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3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0"/>
      <c r="B35" s="36" t="s">
        <v>22</v>
      </c>
      <c r="C35" s="37"/>
      <c r="D35" s="37"/>
      <c r="E35" s="38"/>
      <c r="F35" s="2"/>
    </row>
    <row r="36" spans="1:6" ht="16.5" customHeight="1" x14ac:dyDescent="0.3">
      <c r="A36" s="10"/>
      <c r="B36" s="39" t="s">
        <v>23</v>
      </c>
      <c r="C36" s="37"/>
      <c r="D36" s="37"/>
      <c r="E36" s="37"/>
    </row>
    <row r="37" spans="1:6" ht="15.75" customHeight="1" x14ac:dyDescent="0.3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463" t="s">
        <v>139</v>
      </c>
    </row>
    <row r="39" spans="1:6" ht="16.5" customHeight="1" x14ac:dyDescent="0.3">
      <c r="A39" s="10" t="s">
        <v>3</v>
      </c>
      <c r="B39" s="8" t="s">
        <v>126</v>
      </c>
      <c r="C39" s="9"/>
      <c r="D39" s="9"/>
      <c r="E39" s="9"/>
    </row>
    <row r="40" spans="1:6" ht="16.5" customHeight="1" x14ac:dyDescent="0.3">
      <c r="A40" s="10" t="s">
        <v>5</v>
      </c>
      <c r="B40" s="11">
        <v>87.84</v>
      </c>
      <c r="C40" s="9"/>
      <c r="D40" s="9"/>
      <c r="E40" s="9"/>
    </row>
    <row r="41" spans="1:6" ht="16.5" customHeight="1" x14ac:dyDescent="0.3">
      <c r="A41" s="6" t="s">
        <v>7</v>
      </c>
      <c r="B41" s="11">
        <v>25.66</v>
      </c>
      <c r="C41" s="9"/>
      <c r="D41" s="9"/>
      <c r="E41" s="9"/>
    </row>
    <row r="42" spans="1:6" ht="16.5" customHeight="1" x14ac:dyDescent="0.3">
      <c r="A42" s="6" t="s">
        <v>9</v>
      </c>
      <c r="B42" s="12">
        <f>B41/5*3/25</f>
        <v>0.61583999999999994</v>
      </c>
      <c r="C42" s="9"/>
      <c r="D42" s="9"/>
      <c r="E42" s="9"/>
    </row>
    <row r="43" spans="1:6" ht="15.75" customHeight="1" x14ac:dyDescent="0.3">
      <c r="A43" s="9"/>
      <c r="C43" s="9"/>
      <c r="D43" s="9"/>
      <c r="E43" s="9"/>
    </row>
    <row r="44" spans="1:6" ht="16.5" customHeight="1" x14ac:dyDescent="0.3">
      <c r="A44" s="13" t="s">
        <v>12</v>
      </c>
      <c r="B44" s="14" t="s">
        <v>13</v>
      </c>
      <c r="C44" s="13" t="s">
        <v>14</v>
      </c>
      <c r="D44" s="13" t="s">
        <v>15</v>
      </c>
      <c r="E44" s="15" t="s">
        <v>16</v>
      </c>
    </row>
    <row r="45" spans="1:6" ht="16.5" customHeight="1" x14ac:dyDescent="0.3">
      <c r="A45" s="16">
        <v>1</v>
      </c>
      <c r="B45" s="17">
        <v>148051934</v>
      </c>
      <c r="C45" s="17">
        <v>3865.9</v>
      </c>
      <c r="D45" s="518">
        <v>1</v>
      </c>
      <c r="E45" s="520">
        <v>4.0999999999999996</v>
      </c>
    </row>
    <row r="46" spans="1:6" ht="16.5" customHeight="1" x14ac:dyDescent="0.3">
      <c r="A46" s="16">
        <v>2</v>
      </c>
      <c r="B46" s="17">
        <v>147972088</v>
      </c>
      <c r="C46" s="17">
        <v>3850.6</v>
      </c>
      <c r="D46" s="518">
        <v>1</v>
      </c>
      <c r="E46" s="518">
        <v>4.0999999999999996</v>
      </c>
    </row>
    <row r="47" spans="1:6" ht="16.5" customHeight="1" x14ac:dyDescent="0.3">
      <c r="A47" s="16">
        <v>3</v>
      </c>
      <c r="B47" s="17">
        <v>148247403</v>
      </c>
      <c r="C47" s="17">
        <v>3848.2</v>
      </c>
      <c r="D47" s="518">
        <v>1</v>
      </c>
      <c r="E47" s="518">
        <v>4.0999999999999996</v>
      </c>
    </row>
    <row r="48" spans="1:6" ht="16.5" customHeight="1" x14ac:dyDescent="0.3">
      <c r="A48" s="16">
        <v>4</v>
      </c>
      <c r="B48" s="17">
        <v>148500448</v>
      </c>
      <c r="C48" s="17">
        <v>3831.9</v>
      </c>
      <c r="D48" s="518">
        <v>1</v>
      </c>
      <c r="E48" s="518">
        <v>4.0999999999999996</v>
      </c>
    </row>
    <row r="49" spans="1:7" ht="16.5" customHeight="1" x14ac:dyDescent="0.3">
      <c r="A49" s="16">
        <v>5</v>
      </c>
      <c r="B49" s="17">
        <v>148387549</v>
      </c>
      <c r="C49" s="17">
        <v>3848.8</v>
      </c>
      <c r="D49" s="518">
        <v>1</v>
      </c>
      <c r="E49" s="518">
        <v>4.0999999999999996</v>
      </c>
    </row>
    <row r="50" spans="1:7" ht="16.5" customHeight="1" x14ac:dyDescent="0.3">
      <c r="A50" s="16">
        <v>6</v>
      </c>
      <c r="B50" s="20">
        <v>148603784</v>
      </c>
      <c r="C50" s="20">
        <v>3833.4</v>
      </c>
      <c r="D50" s="519">
        <v>1</v>
      </c>
      <c r="E50" s="519">
        <v>4.0999999999999996</v>
      </c>
    </row>
    <row r="51" spans="1:7" ht="16.5" customHeight="1" x14ac:dyDescent="0.3">
      <c r="A51" s="22" t="s">
        <v>17</v>
      </c>
      <c r="B51" s="23">
        <f>AVERAGE(B45:B50)</f>
        <v>148293867.66666666</v>
      </c>
      <c r="C51" s="24">
        <f>AVERAGE(C45:C50)</f>
        <v>3846.4666666666672</v>
      </c>
      <c r="D51" s="25">
        <f>AVERAGE(D45:D50)</f>
        <v>1</v>
      </c>
      <c r="E51" s="25">
        <f>AVERAGE(E45:E50)</f>
        <v>4.1000000000000005</v>
      </c>
    </row>
    <row r="52" spans="1:7" ht="16.5" customHeight="1" x14ac:dyDescent="0.3">
      <c r="A52" s="26" t="s">
        <v>18</v>
      </c>
      <c r="B52" s="27">
        <f>(STDEV(B45:B50)/B51)</f>
        <v>1.6837710595507347E-3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3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0"/>
      <c r="B56" s="36" t="s">
        <v>22</v>
      </c>
      <c r="C56" s="37"/>
      <c r="D56" s="37"/>
      <c r="E56" s="38"/>
      <c r="F56" s="2"/>
    </row>
    <row r="57" spans="1:7" ht="16.5" customHeight="1" x14ac:dyDescent="0.3">
      <c r="A57" s="10"/>
      <c r="B57" s="39" t="s">
        <v>23</v>
      </c>
      <c r="C57" s="37"/>
      <c r="D57" s="38"/>
      <c r="E57" s="37"/>
    </row>
    <row r="58" spans="1:7" ht="14.25" customHeight="1" thickBot="1" x14ac:dyDescent="0.35">
      <c r="A58" s="40"/>
      <c r="B58" s="41"/>
      <c r="D58" s="42"/>
      <c r="F58" s="43"/>
      <c r="G58" s="43"/>
    </row>
    <row r="59" spans="1:7" ht="27" customHeight="1" x14ac:dyDescent="0.3">
      <c r="B59" s="465" t="s">
        <v>24</v>
      </c>
      <c r="C59" s="465"/>
      <c r="D59" s="44" t="s">
        <v>25</v>
      </c>
      <c r="E59" s="44" t="s">
        <v>26</v>
      </c>
      <c r="F59" s="43"/>
    </row>
    <row r="60" spans="1:7" ht="28.2" customHeight="1" x14ac:dyDescent="0.3">
      <c r="A60" s="45" t="s">
        <v>27</v>
      </c>
      <c r="B60" s="521" t="s">
        <v>129</v>
      </c>
      <c r="C60" s="521"/>
      <c r="D60" s="521" t="s">
        <v>130</v>
      </c>
      <c r="E60" s="521"/>
      <c r="F60" s="43"/>
    </row>
    <row r="61" spans="1:7" ht="42" customHeight="1" x14ac:dyDescent="0.3">
      <c r="A61" s="45" t="s">
        <v>28</v>
      </c>
      <c r="B61" s="47"/>
      <c r="C61" s="47"/>
      <c r="D61" s="47"/>
      <c r="E61" s="48"/>
      <c r="F61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D92" zoomScale="60" zoomScaleNormal="6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4" t="s">
        <v>29</v>
      </c>
      <c r="B1" s="494"/>
      <c r="C1" s="494"/>
      <c r="D1" s="494"/>
      <c r="E1" s="494"/>
      <c r="F1" s="494"/>
      <c r="G1" s="494"/>
      <c r="H1" s="494"/>
      <c r="I1" s="494"/>
    </row>
    <row r="2" spans="1:9" ht="18.75" customHeight="1" x14ac:dyDescent="0.3">
      <c r="A2" s="494"/>
      <c r="B2" s="494"/>
      <c r="C2" s="494"/>
      <c r="D2" s="494"/>
      <c r="E2" s="494"/>
      <c r="F2" s="494"/>
      <c r="G2" s="494"/>
      <c r="H2" s="494"/>
      <c r="I2" s="494"/>
    </row>
    <row r="3" spans="1:9" ht="18.75" customHeight="1" x14ac:dyDescent="0.3">
      <c r="A3" s="494"/>
      <c r="B3" s="494"/>
      <c r="C3" s="494"/>
      <c r="D3" s="494"/>
      <c r="E3" s="494"/>
      <c r="F3" s="494"/>
      <c r="G3" s="494"/>
      <c r="H3" s="494"/>
      <c r="I3" s="494"/>
    </row>
    <row r="4" spans="1:9" ht="18.75" customHeight="1" x14ac:dyDescent="0.3">
      <c r="A4" s="494"/>
      <c r="B4" s="494"/>
      <c r="C4" s="494"/>
      <c r="D4" s="494"/>
      <c r="E4" s="494"/>
      <c r="F4" s="494"/>
      <c r="G4" s="494"/>
      <c r="H4" s="494"/>
      <c r="I4" s="494"/>
    </row>
    <row r="5" spans="1:9" ht="18.75" customHeight="1" x14ac:dyDescent="0.3">
      <c r="A5" s="494"/>
      <c r="B5" s="494"/>
      <c r="C5" s="494"/>
      <c r="D5" s="494"/>
      <c r="E5" s="494"/>
      <c r="F5" s="494"/>
      <c r="G5" s="494"/>
      <c r="H5" s="494"/>
      <c r="I5" s="494"/>
    </row>
    <row r="6" spans="1:9" ht="18.75" customHeight="1" x14ac:dyDescent="0.3">
      <c r="A6" s="494"/>
      <c r="B6" s="494"/>
      <c r="C6" s="494"/>
      <c r="D6" s="494"/>
      <c r="E6" s="494"/>
      <c r="F6" s="494"/>
      <c r="G6" s="494"/>
      <c r="H6" s="494"/>
      <c r="I6" s="494"/>
    </row>
    <row r="7" spans="1:9" ht="18.75" customHeight="1" x14ac:dyDescent="0.3">
      <c r="A7" s="494"/>
      <c r="B7" s="494"/>
      <c r="C7" s="494"/>
      <c r="D7" s="494"/>
      <c r="E7" s="494"/>
      <c r="F7" s="494"/>
      <c r="G7" s="494"/>
      <c r="H7" s="494"/>
      <c r="I7" s="494"/>
    </row>
    <row r="8" spans="1:9" x14ac:dyDescent="0.3">
      <c r="A8" s="495" t="s">
        <v>30</v>
      </c>
      <c r="B8" s="495"/>
      <c r="C8" s="495"/>
      <c r="D8" s="495"/>
      <c r="E8" s="495"/>
      <c r="F8" s="495"/>
      <c r="G8" s="495"/>
      <c r="H8" s="495"/>
      <c r="I8" s="495"/>
    </row>
    <row r="9" spans="1:9" x14ac:dyDescent="0.3">
      <c r="A9" s="495"/>
      <c r="B9" s="495"/>
      <c r="C9" s="495"/>
      <c r="D9" s="495"/>
      <c r="E9" s="495"/>
      <c r="F9" s="495"/>
      <c r="G9" s="495"/>
      <c r="H9" s="495"/>
      <c r="I9" s="495"/>
    </row>
    <row r="10" spans="1:9" x14ac:dyDescent="0.3">
      <c r="A10" s="495"/>
      <c r="B10" s="495"/>
      <c r="C10" s="495"/>
      <c r="D10" s="495"/>
      <c r="E10" s="495"/>
      <c r="F10" s="495"/>
      <c r="G10" s="495"/>
      <c r="H10" s="495"/>
      <c r="I10" s="495"/>
    </row>
    <row r="11" spans="1:9" x14ac:dyDescent="0.3">
      <c r="A11" s="495"/>
      <c r="B11" s="495"/>
      <c r="C11" s="495"/>
      <c r="D11" s="495"/>
      <c r="E11" s="495"/>
      <c r="F11" s="495"/>
      <c r="G11" s="495"/>
      <c r="H11" s="495"/>
      <c r="I11" s="495"/>
    </row>
    <row r="12" spans="1:9" x14ac:dyDescent="0.3">
      <c r="A12" s="495"/>
      <c r="B12" s="495"/>
      <c r="C12" s="495"/>
      <c r="D12" s="495"/>
      <c r="E12" s="495"/>
      <c r="F12" s="495"/>
      <c r="G12" s="495"/>
      <c r="H12" s="495"/>
      <c r="I12" s="495"/>
    </row>
    <row r="13" spans="1:9" x14ac:dyDescent="0.3">
      <c r="A13" s="495"/>
      <c r="B13" s="495"/>
      <c r="C13" s="495"/>
      <c r="D13" s="495"/>
      <c r="E13" s="495"/>
      <c r="F13" s="495"/>
      <c r="G13" s="495"/>
      <c r="H13" s="495"/>
      <c r="I13" s="495"/>
    </row>
    <row r="14" spans="1:9" x14ac:dyDescent="0.3">
      <c r="A14" s="495"/>
      <c r="B14" s="495"/>
      <c r="C14" s="495"/>
      <c r="D14" s="495"/>
      <c r="E14" s="495"/>
      <c r="F14" s="495"/>
      <c r="G14" s="495"/>
      <c r="H14" s="495"/>
      <c r="I14" s="495"/>
    </row>
    <row r="15" spans="1:9" ht="19.5" customHeight="1" x14ac:dyDescent="0.35">
      <c r="A15" s="49"/>
    </row>
    <row r="16" spans="1:9" ht="19.5" customHeight="1" x14ac:dyDescent="0.35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3">
      <c r="A17" s="470" t="s">
        <v>32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5">
      <c r="A18" s="51" t="s">
        <v>33</v>
      </c>
      <c r="B18" s="466" t="s">
        <v>135</v>
      </c>
      <c r="C18" s="466"/>
      <c r="D18" s="213"/>
      <c r="E18" s="52"/>
      <c r="F18" s="53"/>
      <c r="G18" s="53"/>
      <c r="H18" s="53"/>
    </row>
    <row r="19" spans="1:14" ht="26.25" customHeight="1" x14ac:dyDescent="0.5">
      <c r="A19" s="51" t="s">
        <v>34</v>
      </c>
      <c r="B19" s="461" t="s">
        <v>127</v>
      </c>
      <c r="C19" s="226">
        <v>29</v>
      </c>
      <c r="D19" s="53"/>
      <c r="E19" s="53"/>
      <c r="F19" s="53"/>
      <c r="G19" s="53"/>
      <c r="H19" s="53"/>
    </row>
    <row r="20" spans="1:14" ht="26.25" customHeight="1" x14ac:dyDescent="0.5">
      <c r="A20" s="51" t="s">
        <v>35</v>
      </c>
      <c r="B20" s="471" t="s">
        <v>8</v>
      </c>
      <c r="C20" s="471"/>
      <c r="D20" s="53"/>
      <c r="E20" s="53"/>
      <c r="F20" s="53"/>
      <c r="G20" s="53"/>
      <c r="H20" s="53"/>
    </row>
    <row r="21" spans="1:14" ht="26.25" customHeight="1" x14ac:dyDescent="0.5">
      <c r="A21" s="51" t="s">
        <v>36</v>
      </c>
      <c r="B21" s="471" t="s">
        <v>131</v>
      </c>
      <c r="C21" s="471"/>
      <c r="D21" s="471"/>
      <c r="E21" s="471"/>
      <c r="F21" s="471"/>
      <c r="G21" s="471"/>
      <c r="H21" s="471"/>
      <c r="I21" s="54"/>
    </row>
    <row r="22" spans="1:14" ht="26.25" customHeight="1" x14ac:dyDescent="0.5">
      <c r="A22" s="51" t="s">
        <v>37</v>
      </c>
      <c r="B22" s="55">
        <v>42499</v>
      </c>
      <c r="C22" s="53"/>
      <c r="D22" s="53"/>
      <c r="E22" s="53"/>
      <c r="F22" s="53"/>
      <c r="G22" s="53"/>
      <c r="H22" s="53"/>
    </row>
    <row r="23" spans="1:14" ht="26.25" customHeight="1" x14ac:dyDescent="0.5">
      <c r="A23" s="51" t="s">
        <v>38</v>
      </c>
      <c r="B23" s="55">
        <v>42501</v>
      </c>
      <c r="C23" s="53"/>
      <c r="D23" s="53"/>
      <c r="E23" s="53"/>
      <c r="F23" s="53"/>
      <c r="G23" s="53"/>
      <c r="H23" s="53"/>
    </row>
    <row r="24" spans="1:14" ht="18" x14ac:dyDescent="0.35">
      <c r="A24" s="51"/>
      <c r="B24" s="56"/>
    </row>
    <row r="25" spans="1:14" ht="18" x14ac:dyDescent="0.35">
      <c r="A25" s="57" t="s">
        <v>1</v>
      </c>
      <c r="B25" s="56"/>
    </row>
    <row r="26" spans="1:14" ht="26.25" customHeight="1" x14ac:dyDescent="0.45">
      <c r="A26" s="58" t="s">
        <v>3</v>
      </c>
      <c r="B26" s="466" t="s">
        <v>123</v>
      </c>
      <c r="C26" s="466"/>
    </row>
    <row r="27" spans="1:14" ht="26.25" customHeight="1" x14ac:dyDescent="0.5">
      <c r="A27" s="59" t="s">
        <v>39</v>
      </c>
      <c r="B27" s="472" t="s">
        <v>124</v>
      </c>
      <c r="C27" s="472"/>
    </row>
    <row r="28" spans="1:14" ht="27" customHeight="1" x14ac:dyDescent="0.45">
      <c r="A28" s="59" t="s">
        <v>5</v>
      </c>
      <c r="B28" s="60">
        <v>87.84</v>
      </c>
    </row>
    <row r="29" spans="1:14" s="13" customFormat="1" ht="27" customHeight="1" x14ac:dyDescent="0.5">
      <c r="A29" s="59" t="s">
        <v>40</v>
      </c>
      <c r="B29" s="61">
        <v>0</v>
      </c>
      <c r="C29" s="473" t="s">
        <v>41</v>
      </c>
      <c r="D29" s="474"/>
      <c r="E29" s="474"/>
      <c r="F29" s="474"/>
      <c r="G29" s="475"/>
      <c r="I29" s="62"/>
      <c r="J29" s="62"/>
      <c r="K29" s="62"/>
      <c r="L29" s="62"/>
    </row>
    <row r="30" spans="1:14" s="13" customFormat="1" ht="19.5" customHeight="1" x14ac:dyDescent="0.35">
      <c r="A30" s="59" t="s">
        <v>42</v>
      </c>
      <c r="B30" s="63">
        <f>B28-B29</f>
        <v>87.84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3" customFormat="1" ht="27" customHeight="1" x14ac:dyDescent="0.45">
      <c r="A31" s="59" t="s">
        <v>43</v>
      </c>
      <c r="B31" s="66">
        <v>1</v>
      </c>
      <c r="C31" s="476" t="s">
        <v>44</v>
      </c>
      <c r="D31" s="477"/>
      <c r="E31" s="477"/>
      <c r="F31" s="477"/>
      <c r="G31" s="477"/>
      <c r="H31" s="478"/>
      <c r="I31" s="62"/>
      <c r="J31" s="62"/>
      <c r="K31" s="62"/>
      <c r="L31" s="62"/>
    </row>
    <row r="32" spans="1:14" s="13" customFormat="1" ht="27" customHeight="1" x14ac:dyDescent="0.45">
      <c r="A32" s="59" t="s">
        <v>45</v>
      </c>
      <c r="B32" s="66">
        <v>1</v>
      </c>
      <c r="C32" s="476" t="s">
        <v>46</v>
      </c>
      <c r="D32" s="477"/>
      <c r="E32" s="477"/>
      <c r="F32" s="477"/>
      <c r="G32" s="477"/>
      <c r="H32" s="478"/>
      <c r="I32" s="62"/>
      <c r="J32" s="62"/>
      <c r="K32" s="62"/>
      <c r="L32" s="67"/>
      <c r="M32" s="67"/>
      <c r="N32" s="68"/>
    </row>
    <row r="33" spans="1:14" s="13" customFormat="1" ht="17.25" customHeight="1" x14ac:dyDescent="0.35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3" customFormat="1" ht="18" x14ac:dyDescent="0.35">
      <c r="A34" s="59" t="s">
        <v>47</v>
      </c>
      <c r="B34" s="71">
        <f>B31/B32</f>
        <v>1</v>
      </c>
      <c r="C34" s="50" t="s">
        <v>48</v>
      </c>
      <c r="D34" s="50"/>
      <c r="E34" s="50"/>
      <c r="F34" s="50"/>
      <c r="G34" s="50"/>
      <c r="I34" s="62"/>
      <c r="J34" s="62"/>
      <c r="K34" s="62"/>
      <c r="L34" s="67"/>
      <c r="M34" s="67"/>
      <c r="N34" s="68"/>
    </row>
    <row r="35" spans="1:14" s="13" customFormat="1" ht="19.5" customHeight="1" x14ac:dyDescent="0.35">
      <c r="A35" s="59"/>
      <c r="B35" s="63"/>
      <c r="G35" s="50"/>
      <c r="I35" s="62"/>
      <c r="J35" s="62"/>
      <c r="K35" s="62"/>
      <c r="L35" s="67"/>
      <c r="M35" s="67"/>
      <c r="N35" s="68"/>
    </row>
    <row r="36" spans="1:14" s="13" customFormat="1" ht="27" customHeight="1" x14ac:dyDescent="0.45">
      <c r="A36" s="72" t="s">
        <v>49</v>
      </c>
      <c r="B36" s="73">
        <v>50</v>
      </c>
      <c r="C36" s="50"/>
      <c r="D36" s="479" t="s">
        <v>50</v>
      </c>
      <c r="E36" s="480"/>
      <c r="F36" s="479" t="s">
        <v>51</v>
      </c>
      <c r="G36" s="481"/>
      <c r="J36" s="62"/>
      <c r="K36" s="62"/>
      <c r="L36" s="67"/>
      <c r="M36" s="67"/>
      <c r="N36" s="68"/>
    </row>
    <row r="37" spans="1:14" s="13" customFormat="1" ht="27" customHeight="1" x14ac:dyDescent="0.45">
      <c r="A37" s="74" t="s">
        <v>52</v>
      </c>
      <c r="B37" s="75">
        <v>1</v>
      </c>
      <c r="C37" s="76" t="s">
        <v>53</v>
      </c>
      <c r="D37" s="77" t="s">
        <v>54</v>
      </c>
      <c r="E37" s="78" t="s">
        <v>55</v>
      </c>
      <c r="F37" s="77" t="s">
        <v>54</v>
      </c>
      <c r="G37" s="79" t="s">
        <v>55</v>
      </c>
      <c r="I37" s="80" t="s">
        <v>56</v>
      </c>
      <c r="J37" s="62"/>
      <c r="K37" s="62"/>
      <c r="L37" s="67"/>
      <c r="M37" s="67"/>
      <c r="N37" s="68"/>
    </row>
    <row r="38" spans="1:14" s="13" customFormat="1" ht="26.25" customHeight="1" x14ac:dyDescent="0.45">
      <c r="A38" s="74" t="s">
        <v>57</v>
      </c>
      <c r="B38" s="75">
        <v>1</v>
      </c>
      <c r="C38" s="81">
        <v>1</v>
      </c>
      <c r="D38" s="82">
        <v>140232518</v>
      </c>
      <c r="E38" s="83">
        <f>IF(ISBLANK(D38),"-",$D$48/$D$45*D38)</f>
        <v>162637936.48301792</v>
      </c>
      <c r="F38" s="82">
        <v>151205556</v>
      </c>
      <c r="G38" s="84">
        <f>IF(ISBLANK(F38),"-",$D$48/$F$45*F38)</f>
        <v>165899645.98843062</v>
      </c>
      <c r="I38" s="85"/>
      <c r="J38" s="62"/>
      <c r="K38" s="62"/>
      <c r="L38" s="67"/>
      <c r="M38" s="67"/>
      <c r="N38" s="68"/>
    </row>
    <row r="39" spans="1:14" s="13" customFormat="1" ht="26.25" customHeight="1" x14ac:dyDescent="0.45">
      <c r="A39" s="74" t="s">
        <v>58</v>
      </c>
      <c r="B39" s="75">
        <v>1</v>
      </c>
      <c r="C39" s="86">
        <v>2</v>
      </c>
      <c r="D39" s="87">
        <v>140222085</v>
      </c>
      <c r="E39" s="88">
        <f>IF(ISBLANK(D39),"-",$D$48/$D$45*D39)</f>
        <v>162625836.56770921</v>
      </c>
      <c r="F39" s="87">
        <v>151363937</v>
      </c>
      <c r="G39" s="89">
        <f>IF(ISBLANK(F39),"-",$D$48/$F$45*F39)</f>
        <v>166073418.38493761</v>
      </c>
      <c r="I39" s="483">
        <f>ABS((F43/D43*D42)-F42)/D42</f>
        <v>2.1435092317701746E-2</v>
      </c>
      <c r="J39" s="62"/>
      <c r="K39" s="62"/>
      <c r="L39" s="67"/>
      <c r="M39" s="67"/>
      <c r="N39" s="68"/>
    </row>
    <row r="40" spans="1:14" ht="26.25" customHeight="1" x14ac:dyDescent="0.45">
      <c r="A40" s="74" t="s">
        <v>59</v>
      </c>
      <c r="B40" s="75">
        <v>1</v>
      </c>
      <c r="C40" s="86">
        <v>3</v>
      </c>
      <c r="D40" s="87">
        <v>140348865</v>
      </c>
      <c r="E40" s="88">
        <f>IF(ISBLANK(D40),"-",$D$48/$D$45*D40)</f>
        <v>162772872.63239229</v>
      </c>
      <c r="F40" s="87">
        <v>151260654</v>
      </c>
      <c r="G40" s="89">
        <f>IF(ISBLANK(F40),"-",$D$48/$F$45*F40)</f>
        <v>165960098.38804132</v>
      </c>
      <c r="I40" s="483"/>
      <c r="L40" s="67"/>
      <c r="M40" s="67"/>
      <c r="N40" s="90"/>
    </row>
    <row r="41" spans="1:14" ht="27" customHeight="1" x14ac:dyDescent="0.45">
      <c r="A41" s="74" t="s">
        <v>60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5">
      <c r="A42" s="74" t="s">
        <v>61</v>
      </c>
      <c r="B42" s="75">
        <v>1</v>
      </c>
      <c r="C42" s="96" t="s">
        <v>62</v>
      </c>
      <c r="D42" s="97">
        <f>AVERAGE(D38:D41)</f>
        <v>140267822.66666666</v>
      </c>
      <c r="E42" s="98">
        <f>AVERAGE(E38:E41)</f>
        <v>162678881.89437315</v>
      </c>
      <c r="F42" s="97">
        <f>AVERAGE(F38:F41)</f>
        <v>151276715.66666666</v>
      </c>
      <c r="G42" s="99">
        <f>AVERAGE(G38:G41)</f>
        <v>165977720.92046985</v>
      </c>
      <c r="H42" s="100"/>
    </row>
    <row r="43" spans="1:14" ht="26.25" customHeight="1" x14ac:dyDescent="0.45">
      <c r="A43" s="74" t="s">
        <v>63</v>
      </c>
      <c r="B43" s="75">
        <v>1</v>
      </c>
      <c r="C43" s="101" t="s">
        <v>64</v>
      </c>
      <c r="D43" s="102">
        <v>24.54</v>
      </c>
      <c r="E43" s="90"/>
      <c r="F43" s="102">
        <v>25.94</v>
      </c>
      <c r="H43" s="100"/>
    </row>
    <row r="44" spans="1:14" ht="26.25" customHeight="1" x14ac:dyDescent="0.45">
      <c r="A44" s="74" t="s">
        <v>65</v>
      </c>
      <c r="B44" s="75">
        <v>1</v>
      </c>
      <c r="C44" s="103" t="s">
        <v>66</v>
      </c>
      <c r="D44" s="104">
        <f>D43*$B$34</f>
        <v>24.54</v>
      </c>
      <c r="E44" s="105"/>
      <c r="F44" s="104">
        <f>F43*$B$34</f>
        <v>25.94</v>
      </c>
      <c r="H44" s="100"/>
    </row>
    <row r="45" spans="1:14" ht="19.5" customHeight="1" x14ac:dyDescent="0.35">
      <c r="A45" s="74" t="s">
        <v>67</v>
      </c>
      <c r="B45" s="106">
        <f>(B44/B43)*(B42/B41)*(B40/B39)*(B38/B37)*B36</f>
        <v>50</v>
      </c>
      <c r="C45" s="103" t="s">
        <v>68</v>
      </c>
      <c r="D45" s="107">
        <f>D44*$B$30/100</f>
        <v>21.555936000000003</v>
      </c>
      <c r="E45" s="108"/>
      <c r="F45" s="107">
        <f>F44*$B$30/100</f>
        <v>22.785696000000002</v>
      </c>
      <c r="H45" s="100"/>
    </row>
    <row r="46" spans="1:14" ht="19.5" customHeight="1" x14ac:dyDescent="0.35">
      <c r="A46" s="484" t="s">
        <v>69</v>
      </c>
      <c r="B46" s="485"/>
      <c r="C46" s="103" t="s">
        <v>70</v>
      </c>
      <c r="D46" s="109">
        <f>D45/$B$45</f>
        <v>0.43111872000000007</v>
      </c>
      <c r="E46" s="110"/>
      <c r="F46" s="111">
        <f>F45/$B$45</f>
        <v>0.45571392000000005</v>
      </c>
      <c r="H46" s="100"/>
    </row>
    <row r="47" spans="1:14" ht="27" customHeight="1" x14ac:dyDescent="0.45">
      <c r="A47" s="486"/>
      <c r="B47" s="487"/>
      <c r="C47" s="112" t="s">
        <v>71</v>
      </c>
      <c r="D47" s="113">
        <v>0.5</v>
      </c>
      <c r="E47" s="114"/>
      <c r="F47" s="110"/>
      <c r="H47" s="100"/>
    </row>
    <row r="48" spans="1:14" ht="18" x14ac:dyDescent="0.35">
      <c r="C48" s="115" t="s">
        <v>72</v>
      </c>
      <c r="D48" s="107">
        <f>D47*$B$45</f>
        <v>25</v>
      </c>
      <c r="F48" s="116"/>
      <c r="H48" s="100"/>
    </row>
    <row r="49" spans="1:12" ht="19.5" customHeight="1" x14ac:dyDescent="0.35">
      <c r="C49" s="117" t="s">
        <v>73</v>
      </c>
      <c r="D49" s="118">
        <f>D48/B34</f>
        <v>25</v>
      </c>
      <c r="F49" s="116"/>
      <c r="H49" s="100"/>
    </row>
    <row r="50" spans="1:12" ht="18" x14ac:dyDescent="0.35">
      <c r="C50" s="72" t="s">
        <v>74</v>
      </c>
      <c r="D50" s="119">
        <f>AVERAGE(E38:E41,G38:G41)</f>
        <v>164328301.4074215</v>
      </c>
      <c r="F50" s="120"/>
      <c r="H50" s="100"/>
    </row>
    <row r="51" spans="1:12" ht="18" x14ac:dyDescent="0.35">
      <c r="C51" s="74" t="s">
        <v>75</v>
      </c>
      <c r="D51" s="121">
        <f>STDEV(E38:E41,G38:G41)/D50</f>
        <v>1.1005083595103561E-2</v>
      </c>
      <c r="F51" s="120"/>
      <c r="H51" s="100"/>
    </row>
    <row r="52" spans="1:12" ht="19.5" customHeight="1" x14ac:dyDescent="0.35">
      <c r="C52" s="122" t="s">
        <v>19</v>
      </c>
      <c r="D52" s="123">
        <f>COUNT(E38:E41,G38:G41)</f>
        <v>6</v>
      </c>
      <c r="F52" s="120"/>
    </row>
    <row r="54" spans="1:12" ht="18" x14ac:dyDescent="0.35">
      <c r="A54" s="124" t="s">
        <v>1</v>
      </c>
      <c r="B54" s="125" t="s">
        <v>76</v>
      </c>
    </row>
    <row r="55" spans="1:12" ht="18" x14ac:dyDescent="0.35">
      <c r="A55" s="50" t="s">
        <v>77</v>
      </c>
      <c r="B55" s="126" t="str">
        <f>B21</f>
        <v>Each film coated tablet contains Amoxicillin Trihydrate USP equivalent to amoxicillin 500 mg and Clavulanate Potassium USP equivalent to Clavulanic acid 125 mg.</v>
      </c>
    </row>
    <row r="56" spans="1:12" ht="26.25" customHeight="1" x14ac:dyDescent="0.45">
      <c r="A56" s="127" t="s">
        <v>78</v>
      </c>
      <c r="B56" s="128">
        <v>500</v>
      </c>
      <c r="C56" s="50" t="str">
        <f>B20</f>
        <v>Amoxicillin &amp; Clavulanate Potassium</v>
      </c>
      <c r="H56" s="129"/>
    </row>
    <row r="57" spans="1:12" ht="18" x14ac:dyDescent="0.35">
      <c r="A57" s="126" t="s">
        <v>79</v>
      </c>
      <c r="B57" s="214">
        <v>1025.1210000000001</v>
      </c>
      <c r="H57" s="129"/>
    </row>
    <row r="58" spans="1:12" ht="19.5" customHeight="1" x14ac:dyDescent="0.35">
      <c r="H58" s="129"/>
    </row>
    <row r="59" spans="1:12" s="13" customFormat="1" ht="27" customHeight="1" x14ac:dyDescent="0.45">
      <c r="A59" s="72" t="s">
        <v>80</v>
      </c>
      <c r="B59" s="73">
        <v>100</v>
      </c>
      <c r="C59" s="50"/>
      <c r="D59" s="130" t="s">
        <v>81</v>
      </c>
      <c r="E59" s="131" t="s">
        <v>53</v>
      </c>
      <c r="F59" s="131" t="s">
        <v>54</v>
      </c>
      <c r="G59" s="131" t="s">
        <v>82</v>
      </c>
      <c r="H59" s="76" t="s">
        <v>83</v>
      </c>
      <c r="L59" s="62"/>
    </row>
    <row r="60" spans="1:12" s="13" customFormat="1" ht="26.25" customHeight="1" x14ac:dyDescent="0.45">
      <c r="A60" s="74" t="s">
        <v>84</v>
      </c>
      <c r="B60" s="75">
        <v>4</v>
      </c>
      <c r="C60" s="488" t="s">
        <v>85</v>
      </c>
      <c r="D60" s="491">
        <v>502.76</v>
      </c>
      <c r="E60" s="132">
        <v>1</v>
      </c>
      <c r="F60" s="133">
        <v>133748140</v>
      </c>
      <c r="G60" s="215">
        <f>IF(ISBLANK(F60),"-",(F60/$D$50*$D$47*$B$68)*($B$57/$D$60))</f>
        <v>518.60872545173561</v>
      </c>
      <c r="H60" s="134">
        <f t="shared" ref="H60:H71" si="0">IF(ISBLANK(F60),"-",G60/$B$56)</f>
        <v>1.0372174509034713</v>
      </c>
      <c r="L60" s="62"/>
    </row>
    <row r="61" spans="1:12" s="13" customFormat="1" ht="26.25" customHeight="1" x14ac:dyDescent="0.45">
      <c r="A61" s="74" t="s">
        <v>86</v>
      </c>
      <c r="B61" s="75">
        <v>25</v>
      </c>
      <c r="C61" s="489"/>
      <c r="D61" s="492"/>
      <c r="E61" s="135">
        <v>2</v>
      </c>
      <c r="F61" s="87">
        <v>132494856</v>
      </c>
      <c r="G61" s="216">
        <f>IF(ISBLANK(F61),"-",(F61/$D$50*$D$47*$B$68)*($B$57/$D$60))</f>
        <v>513.74911381250786</v>
      </c>
      <c r="H61" s="136">
        <f t="shared" si="0"/>
        <v>1.0274982276250157</v>
      </c>
      <c r="L61" s="62"/>
    </row>
    <row r="62" spans="1:12" s="13" customFormat="1" ht="26.25" customHeight="1" x14ac:dyDescent="0.45">
      <c r="A62" s="74" t="s">
        <v>87</v>
      </c>
      <c r="B62" s="75">
        <v>1</v>
      </c>
      <c r="C62" s="489"/>
      <c r="D62" s="492"/>
      <c r="E62" s="135">
        <v>3</v>
      </c>
      <c r="F62" s="137">
        <v>131381185</v>
      </c>
      <c r="G62" s="216">
        <f>IF(ISBLANK(F62),"-",(F62/$D$50*$D$47*$B$68)*($B$57/$D$60))</f>
        <v>509.43085190708945</v>
      </c>
      <c r="H62" s="136">
        <f t="shared" si="0"/>
        <v>1.018861703814179</v>
      </c>
      <c r="L62" s="62"/>
    </row>
    <row r="63" spans="1:12" ht="27" customHeight="1" x14ac:dyDescent="0.45">
      <c r="A63" s="74" t="s">
        <v>88</v>
      </c>
      <c r="B63" s="75">
        <v>1</v>
      </c>
      <c r="C63" s="490"/>
      <c r="D63" s="493"/>
      <c r="E63" s="138">
        <v>4</v>
      </c>
      <c r="F63" s="139"/>
      <c r="G63" s="216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5">
      <c r="A64" s="74" t="s">
        <v>89</v>
      </c>
      <c r="B64" s="75">
        <v>1</v>
      </c>
      <c r="C64" s="488" t="s">
        <v>90</v>
      </c>
      <c r="D64" s="491">
        <v>517.57000000000005</v>
      </c>
      <c r="E64" s="132">
        <v>1</v>
      </c>
      <c r="F64" s="133">
        <v>140162193</v>
      </c>
      <c r="G64" s="217">
        <f>IF(ISBLANK(F64),"-",(F64/$D$50*$D$47*$B$68)*($B$57/$D$64))</f>
        <v>527.92785160004848</v>
      </c>
      <c r="H64" s="140">
        <f t="shared" si="0"/>
        <v>1.055855703200097</v>
      </c>
    </row>
    <row r="65" spans="1:8" ht="26.25" customHeight="1" x14ac:dyDescent="0.45">
      <c r="A65" s="74" t="s">
        <v>91</v>
      </c>
      <c r="B65" s="75">
        <v>1</v>
      </c>
      <c r="C65" s="489"/>
      <c r="D65" s="492"/>
      <c r="E65" s="135">
        <v>2</v>
      </c>
      <c r="F65" s="87">
        <v>140737081</v>
      </c>
      <c r="G65" s="218">
        <f>IF(ISBLANK(F65),"-",(F65/$D$50*$D$47*$B$68)*($B$57/$D$64))</f>
        <v>530.09319576493795</v>
      </c>
      <c r="H65" s="141">
        <f t="shared" si="0"/>
        <v>1.0601863915298759</v>
      </c>
    </row>
    <row r="66" spans="1:8" ht="26.25" customHeight="1" x14ac:dyDescent="0.45">
      <c r="A66" s="74" t="s">
        <v>92</v>
      </c>
      <c r="B66" s="75">
        <v>1</v>
      </c>
      <c r="C66" s="489"/>
      <c r="D66" s="492"/>
      <c r="E66" s="135">
        <v>3</v>
      </c>
      <c r="F66" s="87">
        <v>139071240</v>
      </c>
      <c r="G66" s="218">
        <f>IF(ISBLANK(F66),"-",(F66/$D$50*$D$47*$B$68)*($B$57/$D$64))</f>
        <v>523.81872301723138</v>
      </c>
      <c r="H66" s="141">
        <f t="shared" si="0"/>
        <v>1.0476374460344628</v>
      </c>
    </row>
    <row r="67" spans="1:8" ht="27" customHeight="1" x14ac:dyDescent="0.45">
      <c r="A67" s="74" t="s">
        <v>93</v>
      </c>
      <c r="B67" s="75">
        <v>1</v>
      </c>
      <c r="C67" s="490"/>
      <c r="D67" s="493"/>
      <c r="E67" s="138">
        <v>4</v>
      </c>
      <c r="F67" s="139"/>
      <c r="G67" s="219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5">
      <c r="A68" s="74" t="s">
        <v>94</v>
      </c>
      <c r="B68" s="143">
        <f>(B67/B66)*(B65/B64)*(B63/B62)*(B61/B60)*B59</f>
        <v>625</v>
      </c>
      <c r="C68" s="488" t="s">
        <v>95</v>
      </c>
      <c r="D68" s="491">
        <v>499.83</v>
      </c>
      <c r="E68" s="132">
        <v>1</v>
      </c>
      <c r="F68" s="133">
        <v>133701726</v>
      </c>
      <c r="G68" s="217">
        <f>IF(ISBLANK(F68),"-",(F68/$D$50*$D$47*$B$68)*($B$57/$D$68))</f>
        <v>521.46778083165907</v>
      </c>
      <c r="H68" s="136">
        <f t="shared" si="0"/>
        <v>1.0429355616633182</v>
      </c>
    </row>
    <row r="69" spans="1:8" ht="27" customHeight="1" x14ac:dyDescent="0.5">
      <c r="A69" s="122" t="s">
        <v>96</v>
      </c>
      <c r="B69" s="144">
        <f>(D47*B68)/B56*B57</f>
        <v>640.70062500000006</v>
      </c>
      <c r="C69" s="489"/>
      <c r="D69" s="492"/>
      <c r="E69" s="135">
        <v>2</v>
      </c>
      <c r="F69" s="87">
        <v>132709813</v>
      </c>
      <c r="G69" s="218">
        <f>IF(ISBLANK(F69),"-",(F69/$D$50*$D$47*$B$68)*($B$57/$D$68))</f>
        <v>517.59908978059468</v>
      </c>
      <c r="H69" s="136">
        <f t="shared" si="0"/>
        <v>1.0351981795611893</v>
      </c>
    </row>
    <row r="70" spans="1:8" ht="26.25" customHeight="1" x14ac:dyDescent="0.45">
      <c r="A70" s="501" t="s">
        <v>69</v>
      </c>
      <c r="B70" s="502"/>
      <c r="C70" s="489"/>
      <c r="D70" s="492"/>
      <c r="E70" s="135">
        <v>3</v>
      </c>
      <c r="F70" s="87">
        <v>131159655</v>
      </c>
      <c r="G70" s="218">
        <f>IF(ISBLANK(F70),"-",(F70/$D$50*$D$47*$B$68)*($B$57/$D$68))</f>
        <v>511.55311358879561</v>
      </c>
      <c r="H70" s="136">
        <f t="shared" si="0"/>
        <v>1.0231062271775913</v>
      </c>
    </row>
    <row r="71" spans="1:8" ht="27" customHeight="1" x14ac:dyDescent="0.45">
      <c r="A71" s="503"/>
      <c r="B71" s="504"/>
      <c r="C71" s="500"/>
      <c r="D71" s="493"/>
      <c r="E71" s="138">
        <v>4</v>
      </c>
      <c r="F71" s="139"/>
      <c r="G71" s="219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5">
      <c r="A72" s="146"/>
      <c r="B72" s="146"/>
      <c r="C72" s="146"/>
      <c r="D72" s="146"/>
      <c r="E72" s="146"/>
      <c r="F72" s="148" t="s">
        <v>62</v>
      </c>
      <c r="G72" s="224">
        <f>AVERAGE(G60:G71)</f>
        <v>519.36093841717786</v>
      </c>
      <c r="H72" s="149">
        <f>AVERAGE(H60:H71)</f>
        <v>1.0387218768343556</v>
      </c>
    </row>
    <row r="73" spans="1:8" ht="26.25" customHeight="1" x14ac:dyDescent="0.45">
      <c r="C73" s="146"/>
      <c r="D73" s="146"/>
      <c r="E73" s="146"/>
      <c r="F73" s="150" t="s">
        <v>75</v>
      </c>
      <c r="G73" s="220">
        <f>STDEV(G60:G71)/G72</f>
        <v>1.3743929773948458E-2</v>
      </c>
      <c r="H73" s="220">
        <f>STDEV(H60:H71)/H72</f>
        <v>1.374392977394847E-2</v>
      </c>
    </row>
    <row r="74" spans="1:8" ht="27" customHeight="1" x14ac:dyDescent="0.45">
      <c r="A74" s="146"/>
      <c r="B74" s="146"/>
      <c r="C74" s="147"/>
      <c r="D74" s="147"/>
      <c r="E74" s="151"/>
      <c r="F74" s="152" t="s">
        <v>19</v>
      </c>
      <c r="G74" s="153">
        <f>COUNT(G60:G71)</f>
        <v>9</v>
      </c>
      <c r="H74" s="153">
        <f>COUNT(H60:H71)</f>
        <v>9</v>
      </c>
    </row>
    <row r="76" spans="1:8" ht="26.25" customHeight="1" x14ac:dyDescent="0.45">
      <c r="A76" s="58" t="s">
        <v>97</v>
      </c>
      <c r="B76" s="154" t="s">
        <v>98</v>
      </c>
      <c r="C76" s="496" t="str">
        <f>B20</f>
        <v>Amoxicillin &amp; Clavulanate Potassium</v>
      </c>
      <c r="D76" s="496"/>
      <c r="E76" s="155" t="s">
        <v>99</v>
      </c>
      <c r="F76" s="155"/>
      <c r="G76" s="156">
        <f>H72</f>
        <v>1.0387218768343556</v>
      </c>
      <c r="H76" s="157"/>
    </row>
    <row r="77" spans="1:8" ht="18" x14ac:dyDescent="0.35">
      <c r="A77" s="57" t="s">
        <v>100</v>
      </c>
      <c r="B77" s="57" t="s">
        <v>101</v>
      </c>
    </row>
    <row r="78" spans="1:8" ht="18" x14ac:dyDescent="0.35">
      <c r="A78" s="57"/>
      <c r="B78" s="57"/>
    </row>
    <row r="79" spans="1:8" ht="26.25" customHeight="1" x14ac:dyDescent="0.45">
      <c r="A79" s="58" t="s">
        <v>3</v>
      </c>
      <c r="B79" s="482" t="str">
        <f>B26</f>
        <v>AMOXICILLIN AND CLAVULANIC ACID</v>
      </c>
      <c r="C79" s="482"/>
    </row>
    <row r="80" spans="1:8" ht="26.25" customHeight="1" x14ac:dyDescent="0.45">
      <c r="A80" s="59" t="s">
        <v>39</v>
      </c>
      <c r="B80" s="482" t="str">
        <f>B27</f>
        <v>A1-3</v>
      </c>
      <c r="C80" s="482"/>
    </row>
    <row r="81" spans="1:12" ht="27" customHeight="1" x14ac:dyDescent="0.45">
      <c r="A81" s="59" t="s">
        <v>5</v>
      </c>
      <c r="B81" s="158">
        <f>B28</f>
        <v>87.84</v>
      </c>
    </row>
    <row r="82" spans="1:12" s="13" customFormat="1" ht="27" customHeight="1" x14ac:dyDescent="0.5">
      <c r="A82" s="59" t="s">
        <v>40</v>
      </c>
      <c r="B82" s="61">
        <v>0</v>
      </c>
      <c r="C82" s="473" t="s">
        <v>41</v>
      </c>
      <c r="D82" s="474"/>
      <c r="E82" s="474"/>
      <c r="F82" s="474"/>
      <c r="G82" s="475"/>
      <c r="I82" s="62"/>
      <c r="J82" s="62"/>
      <c r="K82" s="62"/>
      <c r="L82" s="62"/>
    </row>
    <row r="83" spans="1:12" s="13" customFormat="1" ht="19.5" customHeight="1" x14ac:dyDescent="0.35">
      <c r="A83" s="59" t="s">
        <v>42</v>
      </c>
      <c r="B83" s="63">
        <f>B81-B82</f>
        <v>87.84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3" customFormat="1" ht="27" customHeight="1" x14ac:dyDescent="0.45">
      <c r="A84" s="59" t="s">
        <v>43</v>
      </c>
      <c r="B84" s="66">
        <v>1</v>
      </c>
      <c r="C84" s="476" t="s">
        <v>102</v>
      </c>
      <c r="D84" s="477"/>
      <c r="E84" s="477"/>
      <c r="F84" s="477"/>
      <c r="G84" s="477"/>
      <c r="H84" s="478"/>
      <c r="I84" s="62"/>
      <c r="J84" s="62"/>
      <c r="K84" s="62"/>
      <c r="L84" s="62"/>
    </row>
    <row r="85" spans="1:12" s="13" customFormat="1" ht="27" customHeight="1" x14ac:dyDescent="0.45">
      <c r="A85" s="59" t="s">
        <v>45</v>
      </c>
      <c r="B85" s="66">
        <v>1</v>
      </c>
      <c r="C85" s="476" t="s">
        <v>103</v>
      </c>
      <c r="D85" s="477"/>
      <c r="E85" s="477"/>
      <c r="F85" s="477"/>
      <c r="G85" s="477"/>
      <c r="H85" s="478"/>
      <c r="I85" s="62"/>
      <c r="J85" s="62"/>
      <c r="K85" s="62"/>
      <c r="L85" s="62"/>
    </row>
    <row r="86" spans="1:12" s="13" customFormat="1" ht="18" x14ac:dyDescent="0.35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3" customFormat="1" ht="18" x14ac:dyDescent="0.35">
      <c r="A87" s="59" t="s">
        <v>47</v>
      </c>
      <c r="B87" s="71">
        <f>B84/B85</f>
        <v>1</v>
      </c>
      <c r="C87" s="50" t="s">
        <v>48</v>
      </c>
      <c r="D87" s="50"/>
      <c r="E87" s="50"/>
      <c r="F87" s="50"/>
      <c r="G87" s="50"/>
      <c r="I87" s="62"/>
      <c r="J87" s="62"/>
      <c r="K87" s="62"/>
      <c r="L87" s="62"/>
    </row>
    <row r="88" spans="1:12" ht="19.5" customHeight="1" x14ac:dyDescent="0.35">
      <c r="A88" s="57"/>
      <c r="B88" s="57"/>
    </row>
    <row r="89" spans="1:12" ht="27" customHeight="1" x14ac:dyDescent="0.45">
      <c r="A89" s="72" t="s">
        <v>49</v>
      </c>
      <c r="B89" s="73">
        <v>5</v>
      </c>
      <c r="D89" s="159" t="s">
        <v>50</v>
      </c>
      <c r="E89" s="160"/>
      <c r="F89" s="479" t="s">
        <v>51</v>
      </c>
      <c r="G89" s="481"/>
    </row>
    <row r="90" spans="1:12" ht="27" customHeight="1" x14ac:dyDescent="0.45">
      <c r="A90" s="74" t="s">
        <v>52</v>
      </c>
      <c r="B90" s="75">
        <v>3</v>
      </c>
      <c r="C90" s="161" t="s">
        <v>53</v>
      </c>
      <c r="D90" s="77" t="s">
        <v>54</v>
      </c>
      <c r="E90" s="78" t="s">
        <v>55</v>
      </c>
      <c r="F90" s="77" t="s">
        <v>54</v>
      </c>
      <c r="G90" s="162" t="s">
        <v>55</v>
      </c>
      <c r="I90" s="80" t="s">
        <v>56</v>
      </c>
    </row>
    <row r="91" spans="1:12" ht="26.25" customHeight="1" x14ac:dyDescent="0.45">
      <c r="A91" s="74" t="s">
        <v>57</v>
      </c>
      <c r="B91" s="75">
        <v>25</v>
      </c>
      <c r="C91" s="163">
        <v>1</v>
      </c>
      <c r="D91" s="454">
        <v>148308260</v>
      </c>
      <c r="E91" s="83">
        <f>IF(ISBLANK(D91),"-",$D$101/$D$98*D91)</f>
        <v>152311471.42017564</v>
      </c>
      <c r="F91" s="454">
        <v>143778178</v>
      </c>
      <c r="G91" s="84">
        <f>IF(ISBLANK(F91),"-",$D$101/$F$98*F91)</f>
        <v>152902856.83481005</v>
      </c>
      <c r="I91" s="85"/>
    </row>
    <row r="92" spans="1:12" ht="26.25" customHeight="1" x14ac:dyDescent="0.45">
      <c r="A92" s="74" t="s">
        <v>58</v>
      </c>
      <c r="B92" s="75">
        <v>1</v>
      </c>
      <c r="C92" s="147">
        <v>2</v>
      </c>
      <c r="D92" s="455">
        <v>148253368</v>
      </c>
      <c r="E92" s="88">
        <f>IF(ISBLANK(D92),"-",$D$101/$D$98*D92)</f>
        <v>152255097.74760205</v>
      </c>
      <c r="F92" s="455">
        <v>143742231</v>
      </c>
      <c r="G92" s="89">
        <f>IF(ISBLANK(F92),"-",$D$101/$F$98*F92)</f>
        <v>152864628.50926653</v>
      </c>
      <c r="I92" s="483">
        <f>ABS((F96/D96*D95)-F95)/D95</f>
        <v>4.0311910994510775E-3</v>
      </c>
    </row>
    <row r="93" spans="1:12" ht="26.25" customHeight="1" x14ac:dyDescent="0.45">
      <c r="A93" s="74" t="s">
        <v>59</v>
      </c>
      <c r="B93" s="75">
        <v>1</v>
      </c>
      <c r="C93" s="147">
        <v>3</v>
      </c>
      <c r="D93" s="455">
        <v>148208400</v>
      </c>
      <c r="E93" s="88">
        <f>IF(ISBLANK(D93),"-",$D$101/$D$98*D93)</f>
        <v>152208915.94864613</v>
      </c>
      <c r="F93" s="455">
        <v>143789352</v>
      </c>
      <c r="G93" s="89">
        <f>IF(ISBLANK(F93),"-",$D$101/$F$98*F93)</f>
        <v>152914739.97692549</v>
      </c>
      <c r="I93" s="483"/>
    </row>
    <row r="94" spans="1:12" ht="27" customHeight="1" x14ac:dyDescent="0.45">
      <c r="A94" s="74" t="s">
        <v>60</v>
      </c>
      <c r="B94" s="75">
        <v>1</v>
      </c>
      <c r="C94" s="164">
        <v>4</v>
      </c>
      <c r="D94" s="456"/>
      <c r="E94" s="93" t="str">
        <f>IF(ISBLANK(D94),"-",$D$101/$D$98*D94)</f>
        <v>-</v>
      </c>
      <c r="F94" s="456"/>
      <c r="G94" s="94" t="str">
        <f>IF(ISBLANK(F94),"-",$D$101/$F$98*F94)</f>
        <v>-</v>
      </c>
      <c r="I94" s="95"/>
    </row>
    <row r="95" spans="1:12" ht="27" customHeight="1" x14ac:dyDescent="0.45">
      <c r="A95" s="74" t="s">
        <v>61</v>
      </c>
      <c r="B95" s="75">
        <v>1</v>
      </c>
      <c r="C95" s="165" t="s">
        <v>62</v>
      </c>
      <c r="D95" s="166">
        <f>AVERAGE(D91:D94)</f>
        <v>148256676</v>
      </c>
      <c r="E95" s="98">
        <f>AVERAGE(E91:E94)</f>
        <v>152258495.03880793</v>
      </c>
      <c r="F95" s="167">
        <f>AVERAGE(F91:F94)</f>
        <v>143769920.33333334</v>
      </c>
      <c r="G95" s="168">
        <f>AVERAGE(G91:G94)</f>
        <v>152894075.10700068</v>
      </c>
    </row>
    <row r="96" spans="1:12" ht="26.25" customHeight="1" x14ac:dyDescent="0.45">
      <c r="A96" s="74" t="s">
        <v>63</v>
      </c>
      <c r="B96" s="60">
        <v>1</v>
      </c>
      <c r="C96" s="169" t="s">
        <v>104</v>
      </c>
      <c r="D96" s="457">
        <v>25.66</v>
      </c>
      <c r="E96" s="90"/>
      <c r="F96" s="102">
        <v>24.78</v>
      </c>
    </row>
    <row r="97" spans="1:10" ht="26.25" customHeight="1" x14ac:dyDescent="0.45">
      <c r="A97" s="74" t="s">
        <v>65</v>
      </c>
      <c r="B97" s="60">
        <v>1</v>
      </c>
      <c r="C97" s="170" t="s">
        <v>105</v>
      </c>
      <c r="D97" s="171">
        <f>D96*$B$87</f>
        <v>25.66</v>
      </c>
      <c r="E97" s="105"/>
      <c r="F97" s="104">
        <f>F96*$B$87</f>
        <v>24.78</v>
      </c>
    </row>
    <row r="98" spans="1:10" ht="19.5" customHeight="1" x14ac:dyDescent="0.35">
      <c r="A98" s="74" t="s">
        <v>67</v>
      </c>
      <c r="B98" s="172">
        <f>(B97/B96)*(B95/B94)*(B93/B92)*(B91/B90)*B89</f>
        <v>41.666666666666671</v>
      </c>
      <c r="C98" s="170" t="s">
        <v>106</v>
      </c>
      <c r="D98" s="173">
        <f>D97*$B$83/100</f>
        <v>22.539743999999999</v>
      </c>
      <c r="E98" s="108"/>
      <c r="F98" s="107">
        <f>F97*$B$83/100</f>
        <v>21.766752</v>
      </c>
    </row>
    <row r="99" spans="1:10" ht="19.5" customHeight="1" x14ac:dyDescent="0.35">
      <c r="A99" s="484" t="s">
        <v>69</v>
      </c>
      <c r="B99" s="498"/>
      <c r="C99" s="170" t="s">
        <v>107</v>
      </c>
      <c r="D99" s="174">
        <f>D98/$B$98</f>
        <v>0.5409538559999999</v>
      </c>
      <c r="E99" s="108"/>
      <c r="F99" s="111">
        <f>F98/$B$98</f>
        <v>0.5224020479999999</v>
      </c>
      <c r="G99" s="175"/>
      <c r="H99" s="100"/>
    </row>
    <row r="100" spans="1:10" ht="19.5" customHeight="1" x14ac:dyDescent="0.35">
      <c r="A100" s="486"/>
      <c r="B100" s="499"/>
      <c r="C100" s="170" t="s">
        <v>71</v>
      </c>
      <c r="D100" s="176">
        <f>$B$56/$B$116</f>
        <v>0.55555555555555558</v>
      </c>
      <c r="F100" s="116"/>
      <c r="G100" s="177"/>
      <c r="H100" s="100"/>
    </row>
    <row r="101" spans="1:10" ht="18" x14ac:dyDescent="0.35">
      <c r="C101" s="170" t="s">
        <v>72</v>
      </c>
      <c r="D101" s="171">
        <f>D100*$B$98</f>
        <v>23.148148148148152</v>
      </c>
      <c r="F101" s="116"/>
      <c r="G101" s="175"/>
      <c r="H101" s="100"/>
    </row>
    <row r="102" spans="1:10" ht="19.5" customHeight="1" x14ac:dyDescent="0.35">
      <c r="C102" s="178" t="s">
        <v>73</v>
      </c>
      <c r="D102" s="179">
        <f>D101/B34</f>
        <v>23.148148148148152</v>
      </c>
      <c r="F102" s="120"/>
      <c r="G102" s="175"/>
      <c r="H102" s="100"/>
      <c r="J102" s="180"/>
    </row>
    <row r="103" spans="1:10" ht="18" x14ac:dyDescent="0.35">
      <c r="C103" s="181" t="s">
        <v>108</v>
      </c>
      <c r="D103" s="182">
        <f>AVERAGE(E91:E94,G91:G94)</f>
        <v>152576285.07290432</v>
      </c>
      <c r="F103" s="120"/>
      <c r="G103" s="183"/>
      <c r="H103" s="100"/>
      <c r="J103" s="184"/>
    </row>
    <row r="104" spans="1:10" ht="18" x14ac:dyDescent="0.35">
      <c r="C104" s="150" t="s">
        <v>75</v>
      </c>
      <c r="D104" s="185">
        <f>STDEV(E91:E94,G91:G94)/D103</f>
        <v>2.2941037811553128E-3</v>
      </c>
      <c r="F104" s="120"/>
      <c r="G104" s="175"/>
      <c r="H104" s="100"/>
      <c r="J104" s="184"/>
    </row>
    <row r="105" spans="1:10" ht="19.5" customHeight="1" x14ac:dyDescent="0.35">
      <c r="C105" s="152" t="s">
        <v>19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5">
      <c r="A106" s="124"/>
      <c r="B106" s="124"/>
      <c r="C106" s="124"/>
      <c r="D106" s="124"/>
      <c r="E106" s="124"/>
    </row>
    <row r="107" spans="1:10" ht="26.25" customHeight="1" x14ac:dyDescent="0.45">
      <c r="A107" s="72" t="s">
        <v>109</v>
      </c>
      <c r="B107" s="73">
        <v>900</v>
      </c>
      <c r="C107" s="187" t="s">
        <v>110</v>
      </c>
      <c r="D107" s="188" t="s">
        <v>54</v>
      </c>
      <c r="E107" s="189" t="s">
        <v>111</v>
      </c>
      <c r="F107" s="190" t="s">
        <v>112</v>
      </c>
    </row>
    <row r="108" spans="1:10" ht="26.25" customHeight="1" x14ac:dyDescent="0.45">
      <c r="A108" s="74" t="s">
        <v>113</v>
      </c>
      <c r="B108" s="75">
        <v>1</v>
      </c>
      <c r="C108" s="191">
        <v>1</v>
      </c>
      <c r="D108" s="459">
        <v>166165988</v>
      </c>
      <c r="E108" s="221">
        <f t="shared" ref="E108:E113" si="1">IF(ISBLANK(D108),"-",D108/$D$103*$D$100*$B$116)</f>
        <v>544.53412573455375</v>
      </c>
      <c r="F108" s="192">
        <f t="shared" ref="F108:F113" si="2">IF(ISBLANK(D108), "-", E108/$B$56)</f>
        <v>1.0890682514691075</v>
      </c>
    </row>
    <row r="109" spans="1:10" ht="26.25" customHeight="1" x14ac:dyDescent="0.45">
      <c r="A109" s="74" t="s">
        <v>86</v>
      </c>
      <c r="B109" s="75">
        <v>1</v>
      </c>
      <c r="C109" s="191">
        <v>2</v>
      </c>
      <c r="D109" s="459">
        <v>167791511</v>
      </c>
      <c r="E109" s="222">
        <f t="shared" si="1"/>
        <v>549.86104465653204</v>
      </c>
      <c r="F109" s="193">
        <f t="shared" si="2"/>
        <v>1.0997220893130641</v>
      </c>
    </row>
    <row r="110" spans="1:10" ht="26.25" customHeight="1" x14ac:dyDescent="0.45">
      <c r="A110" s="74" t="s">
        <v>87</v>
      </c>
      <c r="B110" s="75">
        <v>1</v>
      </c>
      <c r="C110" s="191">
        <v>3</v>
      </c>
      <c r="D110" s="459">
        <v>162799026</v>
      </c>
      <c r="E110" s="222">
        <f t="shared" si="1"/>
        <v>533.50042545016436</v>
      </c>
      <c r="F110" s="193">
        <f t="shared" si="2"/>
        <v>1.0670008509003288</v>
      </c>
    </row>
    <row r="111" spans="1:10" ht="26.25" customHeight="1" x14ac:dyDescent="0.45">
      <c r="A111" s="74" t="s">
        <v>88</v>
      </c>
      <c r="B111" s="75">
        <v>1</v>
      </c>
      <c r="C111" s="191">
        <v>4</v>
      </c>
      <c r="D111" s="459">
        <v>166700473</v>
      </c>
      <c r="E111" s="222">
        <f t="shared" si="1"/>
        <v>546.28565940095757</v>
      </c>
      <c r="F111" s="193">
        <f t="shared" si="2"/>
        <v>1.092571318801915</v>
      </c>
    </row>
    <row r="112" spans="1:10" ht="26.25" customHeight="1" x14ac:dyDescent="0.45">
      <c r="A112" s="74" t="s">
        <v>89</v>
      </c>
      <c r="B112" s="75">
        <v>1</v>
      </c>
      <c r="C112" s="191">
        <v>5</v>
      </c>
      <c r="D112" s="459">
        <v>160010098</v>
      </c>
      <c r="E112" s="222">
        <f t="shared" si="1"/>
        <v>524.36097104980524</v>
      </c>
      <c r="F112" s="193">
        <f t="shared" si="2"/>
        <v>1.0487219420996106</v>
      </c>
    </row>
    <row r="113" spans="1:10" ht="26.25" customHeight="1" x14ac:dyDescent="0.45">
      <c r="A113" s="74" t="s">
        <v>91</v>
      </c>
      <c r="B113" s="75">
        <v>1</v>
      </c>
      <c r="C113" s="194">
        <v>6</v>
      </c>
      <c r="D113" s="460">
        <v>164535602</v>
      </c>
      <c r="E113" s="223">
        <f t="shared" si="1"/>
        <v>539.1912705220908</v>
      </c>
      <c r="F113" s="195">
        <f t="shared" si="2"/>
        <v>1.0783825410441816</v>
      </c>
    </row>
    <row r="114" spans="1:10" ht="26.25" customHeight="1" x14ac:dyDescent="0.45">
      <c r="A114" s="74" t="s">
        <v>92</v>
      </c>
      <c r="B114" s="75">
        <v>1</v>
      </c>
      <c r="C114" s="191"/>
      <c r="D114" s="147"/>
      <c r="E114" s="49"/>
      <c r="F114" s="196"/>
    </row>
    <row r="115" spans="1:10" ht="26.25" customHeight="1" x14ac:dyDescent="0.45">
      <c r="A115" s="74" t="s">
        <v>93</v>
      </c>
      <c r="B115" s="75">
        <v>1</v>
      </c>
      <c r="C115" s="191"/>
      <c r="D115" s="197" t="s">
        <v>62</v>
      </c>
      <c r="E115" s="225">
        <f>AVERAGE(E108:E113)</f>
        <v>539.62224946901722</v>
      </c>
      <c r="F115" s="198">
        <f>AVERAGE(F108:F113)</f>
        <v>1.0792444989380345</v>
      </c>
    </row>
    <row r="116" spans="1:10" ht="27" customHeight="1" x14ac:dyDescent="0.45">
      <c r="A116" s="74" t="s">
        <v>94</v>
      </c>
      <c r="B116" s="106">
        <f>(B115/B114)*(B113/B112)*(B111/B110)*(B109/B108)*B107</f>
        <v>900</v>
      </c>
      <c r="C116" s="199"/>
      <c r="D116" s="165" t="s">
        <v>75</v>
      </c>
      <c r="E116" s="200">
        <f>STDEV(E108:E113)/E115</f>
        <v>1.7461525842849636E-2</v>
      </c>
      <c r="F116" s="200">
        <f>STDEV(F108:F113)/F115</f>
        <v>1.7461525842849591E-2</v>
      </c>
      <c r="I116" s="49"/>
    </row>
    <row r="117" spans="1:10" ht="27" customHeight="1" x14ac:dyDescent="0.45">
      <c r="A117" s="484" t="s">
        <v>69</v>
      </c>
      <c r="B117" s="485"/>
      <c r="C117" s="201"/>
      <c r="D117" s="202" t="s">
        <v>19</v>
      </c>
      <c r="E117" s="203">
        <f>COUNT(E108:E113)</f>
        <v>6</v>
      </c>
      <c r="F117" s="203">
        <f>COUNT(F108:F113)</f>
        <v>6</v>
      </c>
      <c r="I117" s="49"/>
      <c r="J117" s="184"/>
    </row>
    <row r="118" spans="1:10" ht="19.5" customHeight="1" x14ac:dyDescent="0.35">
      <c r="A118" s="486"/>
      <c r="B118" s="487"/>
      <c r="C118" s="49"/>
      <c r="D118" s="49"/>
      <c r="E118" s="49"/>
      <c r="F118" s="147"/>
      <c r="G118" s="49"/>
      <c r="H118" s="49"/>
      <c r="I118" s="49"/>
    </row>
    <row r="119" spans="1:10" ht="18" x14ac:dyDescent="0.35">
      <c r="A119" s="212"/>
      <c r="B119" s="70"/>
      <c r="C119" s="49"/>
      <c r="D119" s="49"/>
      <c r="E119" s="49"/>
      <c r="F119" s="147"/>
      <c r="G119" s="49"/>
      <c r="H119" s="49"/>
      <c r="I119" s="49"/>
    </row>
    <row r="120" spans="1:10" ht="26.25" customHeight="1" x14ac:dyDescent="0.45">
      <c r="A120" s="58" t="s">
        <v>97</v>
      </c>
      <c r="B120" s="154" t="s">
        <v>114</v>
      </c>
      <c r="C120" s="496" t="str">
        <f>B20</f>
        <v>Amoxicillin &amp; Clavulanate Potassium</v>
      </c>
      <c r="D120" s="496"/>
      <c r="E120" s="155" t="s">
        <v>115</v>
      </c>
      <c r="F120" s="155"/>
      <c r="G120" s="156">
        <f>F115</f>
        <v>1.0792444989380345</v>
      </c>
      <c r="H120" s="49"/>
      <c r="I120" s="49"/>
    </row>
    <row r="121" spans="1:10" ht="19.5" customHeight="1" x14ac:dyDescent="0.35">
      <c r="A121" s="204"/>
      <c r="B121" s="204"/>
      <c r="C121" s="205"/>
      <c r="D121" s="205"/>
      <c r="E121" s="205"/>
      <c r="F121" s="205"/>
      <c r="G121" s="205"/>
      <c r="H121" s="205"/>
    </row>
    <row r="122" spans="1:10" ht="18" x14ac:dyDescent="0.35">
      <c r="B122" s="497" t="s">
        <v>24</v>
      </c>
      <c r="C122" s="497"/>
      <c r="E122" s="161" t="s">
        <v>25</v>
      </c>
      <c r="F122" s="206"/>
      <c r="G122" s="497" t="s">
        <v>26</v>
      </c>
      <c r="H122" s="497"/>
    </row>
    <row r="123" spans="1:10" ht="69.900000000000006" customHeight="1" x14ac:dyDescent="0.35">
      <c r="A123" s="207" t="s">
        <v>27</v>
      </c>
      <c r="B123" s="208"/>
      <c r="C123" s="208"/>
      <c r="E123" s="208"/>
      <c r="F123" s="49"/>
      <c r="G123" s="209"/>
      <c r="H123" s="209"/>
    </row>
    <row r="124" spans="1:10" ht="69.900000000000006" customHeight="1" x14ac:dyDescent="0.35">
      <c r="A124" s="207" t="s">
        <v>28</v>
      </c>
      <c r="B124" s="210"/>
      <c r="C124" s="210"/>
      <c r="E124" s="210"/>
      <c r="F124" s="49"/>
      <c r="G124" s="211"/>
      <c r="H124" s="211"/>
    </row>
    <row r="125" spans="1:10" ht="18" x14ac:dyDescent="0.35">
      <c r="A125" s="146"/>
      <c r="B125" s="146"/>
      <c r="C125" s="147"/>
      <c r="D125" s="147"/>
      <c r="E125" s="147"/>
      <c r="F125" s="151"/>
      <c r="G125" s="147"/>
      <c r="H125" s="147"/>
      <c r="I125" s="49"/>
    </row>
    <row r="126" spans="1:10" ht="18" x14ac:dyDescent="0.35">
      <c r="A126" s="146"/>
      <c r="B126" s="146"/>
      <c r="C126" s="147"/>
      <c r="D126" s="147"/>
      <c r="E126" s="147"/>
      <c r="F126" s="151"/>
      <c r="G126" s="147"/>
      <c r="H126" s="147"/>
      <c r="I126" s="49"/>
    </row>
    <row r="127" spans="1:10" ht="18" x14ac:dyDescent="0.35">
      <c r="A127" s="146"/>
      <c r="B127" s="146"/>
      <c r="C127" s="147"/>
      <c r="D127" s="147"/>
      <c r="E127" s="147"/>
      <c r="F127" s="151"/>
      <c r="G127" s="147"/>
      <c r="H127" s="147"/>
      <c r="I127" s="49"/>
    </row>
    <row r="128" spans="1:10" ht="18" x14ac:dyDescent="0.35">
      <c r="A128" s="146"/>
      <c r="B128" s="146"/>
      <c r="C128" s="147"/>
      <c r="D128" s="147"/>
      <c r="E128" s="147"/>
      <c r="F128" s="151"/>
      <c r="G128" s="147"/>
      <c r="H128" s="147"/>
      <c r="I128" s="49"/>
    </row>
    <row r="129" spans="1:9" ht="18" x14ac:dyDescent="0.35">
      <c r="A129" s="146"/>
      <c r="B129" s="146"/>
      <c r="C129" s="147"/>
      <c r="D129" s="147"/>
      <c r="E129" s="147"/>
      <c r="F129" s="151"/>
      <c r="G129" s="147"/>
      <c r="H129" s="147"/>
      <c r="I129" s="49"/>
    </row>
    <row r="130" spans="1:9" ht="18" x14ac:dyDescent="0.35">
      <c r="A130" s="146"/>
      <c r="B130" s="146"/>
      <c r="C130" s="147"/>
      <c r="D130" s="147"/>
      <c r="E130" s="147"/>
      <c r="F130" s="151"/>
      <c r="G130" s="147"/>
      <c r="H130" s="147"/>
      <c r="I130" s="49"/>
    </row>
    <row r="131" spans="1:9" ht="18" x14ac:dyDescent="0.35">
      <c r="A131" s="146"/>
      <c r="B131" s="146"/>
      <c r="C131" s="147"/>
      <c r="D131" s="147"/>
      <c r="E131" s="147"/>
      <c r="F131" s="151"/>
      <c r="G131" s="147"/>
      <c r="H131" s="147"/>
      <c r="I131" s="49"/>
    </row>
    <row r="132" spans="1:9" ht="18" x14ac:dyDescent="0.35">
      <c r="A132" s="146"/>
      <c r="B132" s="146"/>
      <c r="C132" s="147"/>
      <c r="D132" s="147"/>
      <c r="E132" s="147"/>
      <c r="F132" s="151"/>
      <c r="G132" s="147"/>
      <c r="H132" s="147"/>
      <c r="I132" s="49"/>
    </row>
    <row r="133" spans="1:9" ht="18" x14ac:dyDescent="0.35">
      <c r="A133" s="146"/>
      <c r="B133" s="146"/>
      <c r="C133" s="147"/>
      <c r="D133" s="147"/>
      <c r="E133" s="147"/>
      <c r="F133" s="151"/>
      <c r="G133" s="147"/>
      <c r="H133" s="147"/>
      <c r="I133" s="49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92" zoomScale="60" zoomScaleNormal="60" zoomScalePageLayoutView="48" workbookViewId="0">
      <selection activeCell="F102" sqref="F10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4" t="s">
        <v>29</v>
      </c>
      <c r="B1" s="494"/>
      <c r="C1" s="494"/>
      <c r="D1" s="494"/>
      <c r="E1" s="494"/>
      <c r="F1" s="494"/>
      <c r="G1" s="494"/>
      <c r="H1" s="494"/>
      <c r="I1" s="494"/>
    </row>
    <row r="2" spans="1:9" ht="18.75" customHeight="1" x14ac:dyDescent="0.3">
      <c r="A2" s="494"/>
      <c r="B2" s="494"/>
      <c r="C2" s="494"/>
      <c r="D2" s="494"/>
      <c r="E2" s="494"/>
      <c r="F2" s="494"/>
      <c r="G2" s="494"/>
      <c r="H2" s="494"/>
      <c r="I2" s="494"/>
    </row>
    <row r="3" spans="1:9" ht="18.75" customHeight="1" x14ac:dyDescent="0.3">
      <c r="A3" s="494"/>
      <c r="B3" s="494"/>
      <c r="C3" s="494"/>
      <c r="D3" s="494"/>
      <c r="E3" s="494"/>
      <c r="F3" s="494"/>
      <c r="G3" s="494"/>
      <c r="H3" s="494"/>
      <c r="I3" s="494"/>
    </row>
    <row r="4" spans="1:9" ht="18.75" customHeight="1" x14ac:dyDescent="0.3">
      <c r="A4" s="494"/>
      <c r="B4" s="494"/>
      <c r="C4" s="494"/>
      <c r="D4" s="494"/>
      <c r="E4" s="494"/>
      <c r="F4" s="494"/>
      <c r="G4" s="494"/>
      <c r="H4" s="494"/>
      <c r="I4" s="494"/>
    </row>
    <row r="5" spans="1:9" ht="18.75" customHeight="1" x14ac:dyDescent="0.3">
      <c r="A5" s="494"/>
      <c r="B5" s="494"/>
      <c r="C5" s="494"/>
      <c r="D5" s="494"/>
      <c r="E5" s="494"/>
      <c r="F5" s="494"/>
      <c r="G5" s="494"/>
      <c r="H5" s="494"/>
      <c r="I5" s="494"/>
    </row>
    <row r="6" spans="1:9" ht="18.75" customHeight="1" x14ac:dyDescent="0.3">
      <c r="A6" s="494"/>
      <c r="B6" s="494"/>
      <c r="C6" s="494"/>
      <c r="D6" s="494"/>
      <c r="E6" s="494"/>
      <c r="F6" s="494"/>
      <c r="G6" s="494"/>
      <c r="H6" s="494"/>
      <c r="I6" s="494"/>
    </row>
    <row r="7" spans="1:9" ht="18.75" customHeight="1" x14ac:dyDescent="0.3">
      <c r="A7" s="494"/>
      <c r="B7" s="494"/>
      <c r="C7" s="494"/>
      <c r="D7" s="494"/>
      <c r="E7" s="494"/>
      <c r="F7" s="494"/>
      <c r="G7" s="494"/>
      <c r="H7" s="494"/>
      <c r="I7" s="494"/>
    </row>
    <row r="8" spans="1:9" x14ac:dyDescent="0.3">
      <c r="A8" s="495" t="s">
        <v>30</v>
      </c>
      <c r="B8" s="495"/>
      <c r="C8" s="495"/>
      <c r="D8" s="495"/>
      <c r="E8" s="495"/>
      <c r="F8" s="495"/>
      <c r="G8" s="495"/>
      <c r="H8" s="495"/>
      <c r="I8" s="495"/>
    </row>
    <row r="9" spans="1:9" x14ac:dyDescent="0.3">
      <c r="A9" s="495"/>
      <c r="B9" s="495"/>
      <c r="C9" s="495"/>
      <c r="D9" s="495"/>
      <c r="E9" s="495"/>
      <c r="F9" s="495"/>
      <c r="G9" s="495"/>
      <c r="H9" s="495"/>
      <c r="I9" s="495"/>
    </row>
    <row r="10" spans="1:9" x14ac:dyDescent="0.3">
      <c r="A10" s="495"/>
      <c r="B10" s="495"/>
      <c r="C10" s="495"/>
      <c r="D10" s="495"/>
      <c r="E10" s="495"/>
      <c r="F10" s="495"/>
      <c r="G10" s="495"/>
      <c r="H10" s="495"/>
      <c r="I10" s="495"/>
    </row>
    <row r="11" spans="1:9" x14ac:dyDescent="0.3">
      <c r="A11" s="495"/>
      <c r="B11" s="495"/>
      <c r="C11" s="495"/>
      <c r="D11" s="495"/>
      <c r="E11" s="495"/>
      <c r="F11" s="495"/>
      <c r="G11" s="495"/>
      <c r="H11" s="495"/>
      <c r="I11" s="495"/>
    </row>
    <row r="12" spans="1:9" x14ac:dyDescent="0.3">
      <c r="A12" s="495"/>
      <c r="B12" s="495"/>
      <c r="C12" s="495"/>
      <c r="D12" s="495"/>
      <c r="E12" s="495"/>
      <c r="F12" s="495"/>
      <c r="G12" s="495"/>
      <c r="H12" s="495"/>
      <c r="I12" s="495"/>
    </row>
    <row r="13" spans="1:9" x14ac:dyDescent="0.3">
      <c r="A13" s="495"/>
      <c r="B13" s="495"/>
      <c r="C13" s="495"/>
      <c r="D13" s="495"/>
      <c r="E13" s="495"/>
      <c r="F13" s="495"/>
      <c r="G13" s="495"/>
      <c r="H13" s="495"/>
      <c r="I13" s="495"/>
    </row>
    <row r="14" spans="1:9" x14ac:dyDescent="0.3">
      <c r="A14" s="495"/>
      <c r="B14" s="495"/>
      <c r="C14" s="495"/>
      <c r="D14" s="495"/>
      <c r="E14" s="495"/>
      <c r="F14" s="495"/>
      <c r="G14" s="495"/>
      <c r="H14" s="495"/>
      <c r="I14" s="495"/>
    </row>
    <row r="15" spans="1:9" ht="19.5" customHeight="1" x14ac:dyDescent="0.35">
      <c r="A15" s="227"/>
    </row>
    <row r="16" spans="1:9" ht="19.5" customHeight="1" x14ac:dyDescent="0.35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3">
      <c r="A17" s="470" t="s">
        <v>32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5">
      <c r="A18" s="229" t="s">
        <v>33</v>
      </c>
      <c r="B18" s="466" t="s">
        <v>135</v>
      </c>
      <c r="C18" s="466"/>
      <c r="D18" s="394"/>
      <c r="E18" s="230"/>
      <c r="F18" s="231"/>
      <c r="G18" s="231"/>
      <c r="H18" s="231"/>
    </row>
    <row r="19" spans="1:14" ht="26.25" customHeight="1" x14ac:dyDescent="0.5">
      <c r="A19" s="229" t="s">
        <v>34</v>
      </c>
      <c r="B19" s="232" t="s">
        <v>127</v>
      </c>
      <c r="C19" s="407">
        <v>29</v>
      </c>
      <c r="D19" s="231"/>
      <c r="E19" s="231"/>
      <c r="F19" s="231"/>
      <c r="G19" s="231"/>
      <c r="H19" s="231"/>
    </row>
    <row r="20" spans="1:14" ht="26.25" customHeight="1" x14ac:dyDescent="0.5">
      <c r="A20" s="229" t="s">
        <v>136</v>
      </c>
      <c r="B20" s="471" t="s">
        <v>8</v>
      </c>
      <c r="C20" s="471"/>
      <c r="D20" s="231"/>
      <c r="E20" s="231"/>
      <c r="F20" s="231"/>
      <c r="G20" s="231"/>
      <c r="H20" s="231"/>
    </row>
    <row r="21" spans="1:14" ht="26.25" customHeight="1" x14ac:dyDescent="0.5">
      <c r="A21" s="229" t="s">
        <v>36</v>
      </c>
      <c r="B21" s="513" t="s">
        <v>131</v>
      </c>
      <c r="C21" s="513"/>
      <c r="D21" s="513"/>
      <c r="E21" s="513"/>
      <c r="F21" s="513"/>
      <c r="G21" s="513"/>
      <c r="H21" s="513"/>
      <c r="I21" s="233"/>
    </row>
    <row r="22" spans="1:14" ht="26.25" customHeight="1" x14ac:dyDescent="0.5">
      <c r="A22" s="229" t="s">
        <v>37</v>
      </c>
      <c r="B22" s="234" t="s">
        <v>11</v>
      </c>
      <c r="C22" s="231"/>
      <c r="D22" s="231"/>
      <c r="E22" s="231"/>
      <c r="F22" s="231"/>
      <c r="G22" s="231"/>
      <c r="H22" s="231"/>
    </row>
    <row r="23" spans="1:14" ht="26.25" customHeight="1" x14ac:dyDescent="0.5">
      <c r="A23" s="229" t="s">
        <v>38</v>
      </c>
      <c r="B23" s="234"/>
      <c r="C23" s="231"/>
      <c r="D23" s="231"/>
      <c r="E23" s="231"/>
      <c r="F23" s="231"/>
      <c r="G23" s="231"/>
      <c r="H23" s="231"/>
    </row>
    <row r="24" spans="1:14" ht="18" x14ac:dyDescent="0.35">
      <c r="A24" s="229"/>
      <c r="B24" s="235"/>
    </row>
    <row r="25" spans="1:14" ht="18" x14ac:dyDescent="0.35">
      <c r="A25" s="236" t="s">
        <v>1</v>
      </c>
      <c r="B25" s="235"/>
    </row>
    <row r="26" spans="1:14" ht="26.25" customHeight="1" x14ac:dyDescent="0.45">
      <c r="A26" s="237" t="s">
        <v>3</v>
      </c>
      <c r="B26" s="466" t="s">
        <v>132</v>
      </c>
      <c r="C26" s="466"/>
    </row>
    <row r="27" spans="1:14" ht="26.25" customHeight="1" x14ac:dyDescent="0.5">
      <c r="A27" s="238" t="s">
        <v>39</v>
      </c>
      <c r="B27" s="240" t="s">
        <v>125</v>
      </c>
      <c r="C27" s="458"/>
    </row>
    <row r="28" spans="1:14" ht="27" customHeight="1" x14ac:dyDescent="0.45">
      <c r="A28" s="238" t="s">
        <v>5</v>
      </c>
      <c r="B28" s="239">
        <v>96.96</v>
      </c>
      <c r="C28" s="306" t="s">
        <v>133</v>
      </c>
    </row>
    <row r="29" spans="1:14" s="13" customFormat="1" ht="27" customHeight="1" x14ac:dyDescent="0.5">
      <c r="A29" s="238" t="s">
        <v>40</v>
      </c>
      <c r="B29" s="240">
        <v>0</v>
      </c>
      <c r="C29" s="473" t="s">
        <v>41</v>
      </c>
      <c r="D29" s="474"/>
      <c r="E29" s="474"/>
      <c r="F29" s="474"/>
      <c r="G29" s="475"/>
      <c r="I29" s="241"/>
      <c r="J29" s="241"/>
      <c r="K29" s="241"/>
      <c r="L29" s="241"/>
    </row>
    <row r="30" spans="1:14" s="13" customFormat="1" ht="19.5" customHeight="1" x14ac:dyDescent="0.35">
      <c r="A30" s="238" t="s">
        <v>42</v>
      </c>
      <c r="B30" s="242">
        <f>B28-B29</f>
        <v>96.96</v>
      </c>
      <c r="C30" s="243"/>
      <c r="D30" s="243"/>
      <c r="E30" s="243"/>
      <c r="F30" s="243"/>
      <c r="G30" s="244"/>
      <c r="I30" s="241"/>
      <c r="J30" s="241"/>
      <c r="K30" s="241"/>
      <c r="L30" s="241"/>
    </row>
    <row r="31" spans="1:14" s="13" customFormat="1" ht="27" customHeight="1" x14ac:dyDescent="0.45">
      <c r="A31" s="238" t="s">
        <v>43</v>
      </c>
      <c r="B31" s="245">
        <v>1</v>
      </c>
      <c r="C31" s="476" t="s">
        <v>44</v>
      </c>
      <c r="D31" s="477"/>
      <c r="E31" s="477"/>
      <c r="F31" s="477"/>
      <c r="G31" s="477"/>
      <c r="H31" s="478"/>
      <c r="I31" s="241"/>
      <c r="J31" s="241"/>
      <c r="K31" s="241"/>
      <c r="L31" s="241"/>
    </row>
    <row r="32" spans="1:14" s="13" customFormat="1" ht="27" customHeight="1" x14ac:dyDescent="0.45">
      <c r="A32" s="238" t="s">
        <v>45</v>
      </c>
      <c r="B32" s="245">
        <v>1</v>
      </c>
      <c r="C32" s="476" t="s">
        <v>46</v>
      </c>
      <c r="D32" s="477"/>
      <c r="E32" s="477"/>
      <c r="F32" s="477"/>
      <c r="G32" s="477"/>
      <c r="H32" s="478"/>
      <c r="I32" s="241"/>
      <c r="J32" s="241"/>
      <c r="K32" s="241"/>
      <c r="L32" s="246"/>
      <c r="M32" s="246"/>
      <c r="N32" s="247"/>
    </row>
    <row r="33" spans="1:14" s="13" customFormat="1" ht="17.25" customHeight="1" x14ac:dyDescent="0.35">
      <c r="A33" s="238"/>
      <c r="B33" s="248"/>
      <c r="C33" s="249"/>
      <c r="D33" s="249"/>
      <c r="E33" s="249"/>
      <c r="F33" s="249"/>
      <c r="G33" s="249"/>
      <c r="H33" s="249"/>
      <c r="I33" s="241"/>
      <c r="J33" s="241"/>
      <c r="K33" s="241"/>
      <c r="L33" s="246"/>
      <c r="M33" s="246"/>
      <c r="N33" s="247"/>
    </row>
    <row r="34" spans="1:14" s="13" customFormat="1" ht="18" x14ac:dyDescent="0.35">
      <c r="A34" s="238" t="s">
        <v>47</v>
      </c>
      <c r="B34" s="250">
        <f>B31/B32</f>
        <v>1</v>
      </c>
      <c r="C34" s="228" t="s">
        <v>48</v>
      </c>
      <c r="D34" s="228"/>
      <c r="E34" s="228"/>
      <c r="F34" s="228"/>
      <c r="G34" s="228"/>
      <c r="H34" s="458"/>
      <c r="I34" s="241"/>
      <c r="J34" s="241"/>
      <c r="K34" s="241"/>
      <c r="L34" s="246"/>
      <c r="M34" s="246"/>
      <c r="N34" s="247"/>
    </row>
    <row r="35" spans="1:14" s="13" customFormat="1" ht="19.5" customHeight="1" x14ac:dyDescent="0.35">
      <c r="A35" s="238"/>
      <c r="B35" s="242"/>
      <c r="C35" s="334"/>
      <c r="D35" s="334"/>
      <c r="E35" s="334"/>
      <c r="F35" s="334"/>
      <c r="G35" s="228"/>
      <c r="H35" s="458"/>
      <c r="I35" s="241"/>
      <c r="J35" s="241"/>
      <c r="K35" s="241"/>
      <c r="L35" s="246"/>
      <c r="M35" s="246"/>
      <c r="N35" s="247"/>
    </row>
    <row r="36" spans="1:14" s="13" customFormat="1" ht="27" customHeight="1" x14ac:dyDescent="0.45">
      <c r="A36" s="251" t="s">
        <v>49</v>
      </c>
      <c r="B36" s="252">
        <v>50</v>
      </c>
      <c r="C36" s="228"/>
      <c r="D36" s="479" t="s">
        <v>50</v>
      </c>
      <c r="E36" s="480"/>
      <c r="F36" s="479" t="s">
        <v>51</v>
      </c>
      <c r="G36" s="481"/>
      <c r="H36" s="458"/>
      <c r="J36" s="241"/>
      <c r="K36" s="241"/>
      <c r="L36" s="246"/>
      <c r="M36" s="246"/>
      <c r="N36" s="247"/>
    </row>
    <row r="37" spans="1:14" s="13" customFormat="1" ht="27" customHeight="1" x14ac:dyDescent="0.45">
      <c r="A37" s="253" t="s">
        <v>52</v>
      </c>
      <c r="B37" s="254">
        <v>1</v>
      </c>
      <c r="C37" s="255" t="s">
        <v>53</v>
      </c>
      <c r="D37" s="256" t="s">
        <v>54</v>
      </c>
      <c r="E37" s="257" t="s">
        <v>55</v>
      </c>
      <c r="F37" s="256" t="s">
        <v>54</v>
      </c>
      <c r="G37" s="258" t="s">
        <v>55</v>
      </c>
      <c r="H37" s="458"/>
      <c r="I37" s="259" t="s">
        <v>56</v>
      </c>
      <c r="J37" s="241"/>
      <c r="K37" s="241"/>
      <c r="L37" s="246"/>
      <c r="M37" s="246"/>
      <c r="N37" s="247"/>
    </row>
    <row r="38" spans="1:14" s="13" customFormat="1" ht="26.25" customHeight="1" x14ac:dyDescent="0.45">
      <c r="A38" s="253" t="s">
        <v>57</v>
      </c>
      <c r="B38" s="254">
        <v>1</v>
      </c>
      <c r="C38" s="260">
        <v>1</v>
      </c>
      <c r="D38" s="261">
        <v>92591702</v>
      </c>
      <c r="E38" s="262">
        <f>IF(ISBLANK(D38),"-",$D$48/$D$45*D38)</f>
        <v>80180304.082045481</v>
      </c>
      <c r="F38" s="261">
        <v>70149053</v>
      </c>
      <c r="G38" s="263">
        <f>IF(ISBLANK(F38),"-",$D$48/$F$45*F38)</f>
        <v>79069339.618388072</v>
      </c>
      <c r="H38" s="458"/>
      <c r="I38" s="264"/>
      <c r="J38" s="241"/>
      <c r="K38" s="241"/>
      <c r="L38" s="246"/>
      <c r="M38" s="246"/>
      <c r="N38" s="247"/>
    </row>
    <row r="39" spans="1:14" s="13" customFormat="1" ht="26.25" customHeight="1" x14ac:dyDescent="0.45">
      <c r="A39" s="253" t="s">
        <v>58</v>
      </c>
      <c r="B39" s="254">
        <v>1</v>
      </c>
      <c r="C39" s="265">
        <v>2</v>
      </c>
      <c r="D39" s="266">
        <v>92578399</v>
      </c>
      <c r="E39" s="267">
        <f>IF(ISBLANK(D39),"-",$D$48/$D$45*D39)</f>
        <v>80168784.274523169</v>
      </c>
      <c r="F39" s="266">
        <v>70231539</v>
      </c>
      <c r="G39" s="268">
        <f>IF(ISBLANK(F39),"-",$D$48/$F$45*F39)</f>
        <v>79162314.694584221</v>
      </c>
      <c r="H39" s="458"/>
      <c r="I39" s="483">
        <f>ABS((F43/D43*D42)-F42)/D42</f>
        <v>1.0387983713149493E-2</v>
      </c>
      <c r="J39" s="241"/>
      <c r="K39" s="241"/>
      <c r="L39" s="246"/>
      <c r="M39" s="246"/>
      <c r="N39" s="247"/>
    </row>
    <row r="40" spans="1:14" ht="26.25" customHeight="1" x14ac:dyDescent="0.45">
      <c r="A40" s="253" t="s">
        <v>59</v>
      </c>
      <c r="B40" s="254">
        <v>1</v>
      </c>
      <c r="C40" s="265">
        <v>3</v>
      </c>
      <c r="D40" s="266">
        <v>92654324</v>
      </c>
      <c r="E40" s="267">
        <f>IF(ISBLANK(D40),"-",$D$48/$D$45*D40)</f>
        <v>80234531.954454899</v>
      </c>
      <c r="F40" s="266">
        <v>70175311</v>
      </c>
      <c r="G40" s="268">
        <f>IF(ISBLANK(F40),"-",$D$48/$F$45*F40)</f>
        <v>79098936.635466829</v>
      </c>
      <c r="I40" s="483"/>
      <c r="L40" s="246"/>
      <c r="M40" s="246"/>
      <c r="N40" s="269"/>
    </row>
    <row r="41" spans="1:14" ht="27" customHeight="1" x14ac:dyDescent="0.45">
      <c r="A41" s="253" t="s">
        <v>60</v>
      </c>
      <c r="B41" s="254">
        <v>1</v>
      </c>
      <c r="C41" s="270">
        <v>4</v>
      </c>
      <c r="D41" s="271"/>
      <c r="E41" s="272" t="str">
        <f>IF(ISBLANK(D41),"-",$D$48/$D$45*D41)</f>
        <v>-</v>
      </c>
      <c r="F41" s="271"/>
      <c r="G41" s="273" t="str">
        <f>IF(ISBLANK(F41),"-",$D$48/$F$45*F41)</f>
        <v>-</v>
      </c>
      <c r="I41" s="274"/>
      <c r="L41" s="246"/>
      <c r="M41" s="246"/>
      <c r="N41" s="269"/>
    </row>
    <row r="42" spans="1:14" ht="27" customHeight="1" x14ac:dyDescent="0.45">
      <c r="A42" s="253" t="s">
        <v>61</v>
      </c>
      <c r="B42" s="254">
        <v>1</v>
      </c>
      <c r="C42" s="275" t="s">
        <v>62</v>
      </c>
      <c r="D42" s="276">
        <f>AVERAGE(D38:D41)</f>
        <v>92608141.666666672</v>
      </c>
      <c r="E42" s="277">
        <f>AVERAGE(E38:E41)</f>
        <v>80194540.103674516</v>
      </c>
      <c r="F42" s="276">
        <f>AVERAGE(F38:F41)</f>
        <v>70185301</v>
      </c>
      <c r="G42" s="278">
        <f>AVERAGE(G38:G41)</f>
        <v>79110196.982813045</v>
      </c>
      <c r="H42" s="279"/>
    </row>
    <row r="43" spans="1:14" ht="26.25" customHeight="1" x14ac:dyDescent="0.45">
      <c r="A43" s="253" t="s">
        <v>63</v>
      </c>
      <c r="B43" s="254">
        <v>1</v>
      </c>
      <c r="C43" s="280" t="s">
        <v>64</v>
      </c>
      <c r="D43" s="281">
        <v>11.91</v>
      </c>
      <c r="E43" s="269"/>
      <c r="F43" s="281">
        <v>9.15</v>
      </c>
      <c r="H43" s="279"/>
    </row>
    <row r="44" spans="1:14" ht="26.25" customHeight="1" x14ac:dyDescent="0.45">
      <c r="A44" s="253" t="s">
        <v>65</v>
      </c>
      <c r="B44" s="254">
        <v>1</v>
      </c>
      <c r="C44" s="282" t="s">
        <v>66</v>
      </c>
      <c r="D44" s="283">
        <f>D43*$B$34</f>
        <v>11.91</v>
      </c>
      <c r="E44" s="284"/>
      <c r="F44" s="283">
        <f>F43*$B$34</f>
        <v>9.15</v>
      </c>
      <c r="H44" s="279"/>
    </row>
    <row r="45" spans="1:14" ht="19.5" customHeight="1" x14ac:dyDescent="0.35">
      <c r="A45" s="253" t="s">
        <v>67</v>
      </c>
      <c r="B45" s="285">
        <f>(B44/B43)*(B42/B41)*(B40/B39)*(B38/B37)*B36</f>
        <v>50</v>
      </c>
      <c r="C45" s="282" t="s">
        <v>68</v>
      </c>
      <c r="D45" s="286">
        <f>D44*$B$30/100</f>
        <v>11.547936</v>
      </c>
      <c r="E45" s="287"/>
      <c r="F45" s="286">
        <f>F44*$B$30/100</f>
        <v>8.8718399999999988</v>
      </c>
      <c r="H45" s="279"/>
    </row>
    <row r="46" spans="1:14" ht="19.5" customHeight="1" x14ac:dyDescent="0.35">
      <c r="A46" s="484" t="s">
        <v>69</v>
      </c>
      <c r="B46" s="485"/>
      <c r="C46" s="282" t="s">
        <v>70</v>
      </c>
      <c r="D46" s="288">
        <f>D45/$B$45</f>
        <v>0.23095872000000001</v>
      </c>
      <c r="E46" s="289"/>
      <c r="F46" s="290">
        <f>F45/$B$45</f>
        <v>0.17743679999999998</v>
      </c>
      <c r="H46" s="279"/>
    </row>
    <row r="47" spans="1:14" ht="27" customHeight="1" x14ac:dyDescent="0.45">
      <c r="A47" s="486"/>
      <c r="B47" s="487"/>
      <c r="C47" s="291" t="s">
        <v>71</v>
      </c>
      <c r="D47" s="292">
        <v>0.2</v>
      </c>
      <c r="E47" s="293"/>
      <c r="F47" s="289"/>
      <c r="H47" s="279"/>
    </row>
    <row r="48" spans="1:14" ht="18" x14ac:dyDescent="0.35">
      <c r="C48" s="294" t="s">
        <v>72</v>
      </c>
      <c r="D48" s="286">
        <f>D47*$B$45</f>
        <v>10</v>
      </c>
      <c r="F48" s="295"/>
      <c r="H48" s="279"/>
    </row>
    <row r="49" spans="1:12" ht="19.5" customHeight="1" x14ac:dyDescent="0.35">
      <c r="C49" s="296" t="s">
        <v>73</v>
      </c>
      <c r="D49" s="297">
        <f>D48/B34</f>
        <v>10</v>
      </c>
      <c r="F49" s="295"/>
      <c r="H49" s="279"/>
    </row>
    <row r="50" spans="1:12" ht="18" x14ac:dyDescent="0.35">
      <c r="C50" s="251" t="s">
        <v>74</v>
      </c>
      <c r="D50" s="298">
        <f>AVERAGE(E38:E41,G38:G41)</f>
        <v>79652368.543243766</v>
      </c>
      <c r="F50" s="299"/>
      <c r="H50" s="279"/>
    </row>
    <row r="51" spans="1:12" ht="18" x14ac:dyDescent="0.35">
      <c r="C51" s="253" t="s">
        <v>75</v>
      </c>
      <c r="D51" s="300">
        <f>STDEV(E38:E41,G38:G41)/D50</f>
        <v>7.4711261429940175E-3</v>
      </c>
      <c r="F51" s="299"/>
      <c r="H51" s="279"/>
    </row>
    <row r="52" spans="1:12" ht="19.5" customHeight="1" x14ac:dyDescent="0.35">
      <c r="C52" s="301" t="s">
        <v>19</v>
      </c>
      <c r="D52" s="302">
        <f>COUNT(E38:E41,G38:G41)</f>
        <v>6</v>
      </c>
      <c r="F52" s="299"/>
    </row>
    <row r="54" spans="1:12" ht="18" x14ac:dyDescent="0.35">
      <c r="A54" s="303" t="s">
        <v>1</v>
      </c>
      <c r="B54" s="304" t="s">
        <v>76</v>
      </c>
    </row>
    <row r="55" spans="1:12" ht="18" x14ac:dyDescent="0.35">
      <c r="A55" s="228" t="s">
        <v>77</v>
      </c>
      <c r="B55" s="305" t="str">
        <f>B21</f>
        <v>Each film coated tablet contains Amoxicillin Trihydrate USP equivalent to amoxicillin 500 mg and Clavulanate Potassium USP equivalent to Clavulanic acid 125 mg.</v>
      </c>
    </row>
    <row r="56" spans="1:12" ht="26.25" customHeight="1" x14ac:dyDescent="0.45">
      <c r="A56" s="306" t="s">
        <v>78</v>
      </c>
      <c r="B56" s="307">
        <v>125</v>
      </c>
      <c r="C56" s="228" t="s">
        <v>137</v>
      </c>
      <c r="H56" s="308"/>
    </row>
    <row r="57" spans="1:12" ht="22.2" customHeight="1" x14ac:dyDescent="0.35">
      <c r="A57" s="305" t="s">
        <v>134</v>
      </c>
      <c r="B57" s="395">
        <f>Uniformity!C46</f>
        <v>1025.1210000000001</v>
      </c>
      <c r="D57" s="408"/>
      <c r="E57" s="408">
        <f>B69/B57*500</f>
        <v>320</v>
      </c>
      <c r="F57" s="2">
        <f>E57/100*4/25</f>
        <v>0.51200000000000001</v>
      </c>
      <c r="H57" s="514"/>
    </row>
    <row r="58" spans="1:12" ht="19.5" customHeight="1" x14ac:dyDescent="0.35">
      <c r="H58" s="308"/>
      <c r="J58" s="458"/>
    </row>
    <row r="59" spans="1:12" s="13" customFormat="1" ht="27" customHeight="1" x14ac:dyDescent="0.45">
      <c r="A59" s="251" t="s">
        <v>80</v>
      </c>
      <c r="B59" s="252">
        <v>100</v>
      </c>
      <c r="C59" s="228"/>
      <c r="D59" s="309" t="s">
        <v>81</v>
      </c>
      <c r="E59" s="310" t="s">
        <v>53</v>
      </c>
      <c r="F59" s="310" t="s">
        <v>54</v>
      </c>
      <c r="G59" s="310" t="s">
        <v>82</v>
      </c>
      <c r="H59" s="255" t="s">
        <v>83</v>
      </c>
      <c r="J59" s="458"/>
      <c r="K59" s="458"/>
      <c r="L59" s="241"/>
    </row>
    <row r="60" spans="1:12" s="13" customFormat="1" ht="26.25" customHeight="1" x14ac:dyDescent="0.45">
      <c r="A60" s="253" t="s">
        <v>84</v>
      </c>
      <c r="B60" s="254">
        <v>5</v>
      </c>
      <c r="C60" s="488" t="s">
        <v>85</v>
      </c>
      <c r="D60" s="491">
        <v>502.76</v>
      </c>
      <c r="E60" s="311">
        <v>1</v>
      </c>
      <c r="F60" s="312">
        <v>70965712</v>
      </c>
      <c r="G60" s="396">
        <f>IF(ISBLANK(F60),"-",(F60/$D$50*$D$47*$B$68)*($B$57/$D$60))</f>
        <v>145.32966405227518</v>
      </c>
      <c r="H60" s="313">
        <f t="shared" ref="H60:H71" si="0">IF(ISBLANK(F60),"-",G60/$B$56)</f>
        <v>1.1626373124182015</v>
      </c>
      <c r="J60" s="458"/>
      <c r="K60" s="458"/>
      <c r="L60" s="241"/>
    </row>
    <row r="61" spans="1:12" s="13" customFormat="1" ht="26.25" customHeight="1" x14ac:dyDescent="0.45">
      <c r="A61" s="253" t="s">
        <v>86</v>
      </c>
      <c r="B61" s="254">
        <v>20</v>
      </c>
      <c r="C61" s="489"/>
      <c r="D61" s="492"/>
      <c r="E61" s="314">
        <v>2</v>
      </c>
      <c r="F61" s="266">
        <v>71000510</v>
      </c>
      <c r="G61" s="397">
        <f>IF(ISBLANK(F61),"-",(F61/$D$50*$D$47*$B$68)*($B$57/$D$60))</f>
        <v>145.40092637751883</v>
      </c>
      <c r="H61" s="315">
        <f t="shared" si="0"/>
        <v>1.1632074110201507</v>
      </c>
      <c r="J61" s="458"/>
      <c r="K61" s="458"/>
      <c r="L61" s="241"/>
    </row>
    <row r="62" spans="1:12" s="13" customFormat="1" ht="26.25" customHeight="1" x14ac:dyDescent="0.45">
      <c r="A62" s="253" t="s">
        <v>87</v>
      </c>
      <c r="B62" s="254">
        <v>1</v>
      </c>
      <c r="C62" s="489"/>
      <c r="D62" s="492"/>
      <c r="E62" s="314">
        <v>3</v>
      </c>
      <c r="F62" s="316">
        <v>70985373</v>
      </c>
      <c r="G62" s="397">
        <f>IF(ISBLANK(F62),"-",(F62/$D$50*$D$47*$B$68)*($B$57/$D$60))</f>
        <v>145.36992753226298</v>
      </c>
      <c r="H62" s="315">
        <f t="shared" si="0"/>
        <v>1.1629594202581037</v>
      </c>
      <c r="J62" s="458"/>
      <c r="K62" s="458"/>
      <c r="L62" s="241"/>
    </row>
    <row r="63" spans="1:12" ht="27" customHeight="1" x14ac:dyDescent="0.45">
      <c r="A63" s="253" t="s">
        <v>88</v>
      </c>
      <c r="B63" s="254">
        <v>1</v>
      </c>
      <c r="C63" s="490"/>
      <c r="D63" s="493"/>
      <c r="E63" s="317">
        <v>4</v>
      </c>
      <c r="F63" s="318"/>
      <c r="G63" s="397" t="str">
        <f>IF(ISBLANK(F63),"-",(F63/$D$50*$D$47*$B$68)*($B$57/$D$60))</f>
        <v>-</v>
      </c>
      <c r="H63" s="315" t="str">
        <f t="shared" si="0"/>
        <v>-</v>
      </c>
      <c r="J63" s="458"/>
      <c r="K63" s="458"/>
    </row>
    <row r="64" spans="1:12" ht="26.25" customHeight="1" x14ac:dyDescent="0.45">
      <c r="A64" s="253" t="s">
        <v>89</v>
      </c>
      <c r="B64" s="254">
        <v>1</v>
      </c>
      <c r="C64" s="488" t="s">
        <v>90</v>
      </c>
      <c r="D64" s="491">
        <v>517.57000000000005</v>
      </c>
      <c r="E64" s="311">
        <v>1</v>
      </c>
      <c r="F64" s="312"/>
      <c r="G64" s="398" t="str">
        <f>IF(ISBLANK(F64),"-",(F64/$D$50*$D$47*$B$68)*($B$57/$D$64))</f>
        <v>-</v>
      </c>
      <c r="H64" s="319" t="str">
        <f t="shared" si="0"/>
        <v>-</v>
      </c>
      <c r="J64" s="458"/>
    </row>
    <row r="65" spans="1:8" ht="26.25" customHeight="1" x14ac:dyDescent="0.45">
      <c r="A65" s="253" t="s">
        <v>91</v>
      </c>
      <c r="B65" s="254">
        <v>1</v>
      </c>
      <c r="C65" s="489"/>
      <c r="D65" s="492"/>
      <c r="E65" s="314">
        <v>2</v>
      </c>
      <c r="F65" s="266"/>
      <c r="G65" s="399" t="str">
        <f>IF(ISBLANK(F65),"-",(F65/$D$50*$D$47*$B$68)*($B$57/$D$64))</f>
        <v>-</v>
      </c>
      <c r="H65" s="320" t="str">
        <f t="shared" si="0"/>
        <v>-</v>
      </c>
    </row>
    <row r="66" spans="1:8" ht="26.25" customHeight="1" x14ac:dyDescent="0.45">
      <c r="A66" s="253" t="s">
        <v>92</v>
      </c>
      <c r="B66" s="254">
        <v>1</v>
      </c>
      <c r="C66" s="489"/>
      <c r="D66" s="492"/>
      <c r="E66" s="314">
        <v>3</v>
      </c>
      <c r="F66" s="266"/>
      <c r="G66" s="399" t="str">
        <f>IF(ISBLANK(F66),"-",(F66/$D$50*$D$47*$B$68)*($B$57/$D$64))</f>
        <v>-</v>
      </c>
      <c r="H66" s="320" t="str">
        <f t="shared" si="0"/>
        <v>-</v>
      </c>
    </row>
    <row r="67" spans="1:8" ht="27" customHeight="1" x14ac:dyDescent="0.45">
      <c r="A67" s="253" t="s">
        <v>93</v>
      </c>
      <c r="B67" s="254">
        <v>1</v>
      </c>
      <c r="C67" s="490"/>
      <c r="D67" s="493"/>
      <c r="E67" s="317">
        <v>4</v>
      </c>
      <c r="F67" s="318"/>
      <c r="G67" s="400" t="str">
        <f>IF(ISBLANK(F67),"-",(F67/$D$50*$D$47*$B$68)*($B$57/$D$64))</f>
        <v>-</v>
      </c>
      <c r="H67" s="321" t="str">
        <f t="shared" si="0"/>
        <v>-</v>
      </c>
    </row>
    <row r="68" spans="1:8" ht="26.25" customHeight="1" x14ac:dyDescent="0.5">
      <c r="A68" s="253" t="s">
        <v>94</v>
      </c>
      <c r="B68" s="322">
        <f>(B67/B66)*(B65/B64)*(B63/B62)*(B61/B60)*B59</f>
        <v>400</v>
      </c>
      <c r="C68" s="488" t="s">
        <v>95</v>
      </c>
      <c r="D68" s="491">
        <v>499.83</v>
      </c>
      <c r="E68" s="311">
        <v>1</v>
      </c>
      <c r="F68" s="312">
        <v>71896380</v>
      </c>
      <c r="G68" s="398">
        <f>IF(ISBLANK(F68),"-",(F68/$D$50*$D$47*$B$68)*($B$57/$D$68))</f>
        <v>148.09865957189797</v>
      </c>
      <c r="H68" s="315">
        <f t="shared" si="0"/>
        <v>1.1847892765751837</v>
      </c>
    </row>
    <row r="69" spans="1:8" ht="27" customHeight="1" x14ac:dyDescent="0.5">
      <c r="A69" s="301" t="s">
        <v>96</v>
      </c>
      <c r="B69" s="323">
        <f>(D47*B68)/B56*B57</f>
        <v>656.07744000000002</v>
      </c>
      <c r="C69" s="489"/>
      <c r="D69" s="492"/>
      <c r="E69" s="314">
        <v>2</v>
      </c>
      <c r="F69" s="266">
        <v>71846083</v>
      </c>
      <c r="G69" s="399">
        <f>IF(ISBLANK(F69),"-",(F69/$D$50*$D$47*$B$68)*($B$57/$D$68))</f>
        <v>147.99505326681717</v>
      </c>
      <c r="H69" s="315">
        <f t="shared" si="0"/>
        <v>1.1839604261345373</v>
      </c>
    </row>
    <row r="70" spans="1:8" ht="26.25" customHeight="1" x14ac:dyDescent="0.45">
      <c r="A70" s="501" t="s">
        <v>69</v>
      </c>
      <c r="B70" s="502"/>
      <c r="C70" s="489"/>
      <c r="D70" s="492"/>
      <c r="E70" s="314">
        <v>3</v>
      </c>
      <c r="F70" s="266">
        <v>71852724</v>
      </c>
      <c r="G70" s="399">
        <f>IF(ISBLANK(F70),"-",(F70/$D$50*$D$47*$B$68)*($B$57/$D$68))</f>
        <v>148.00873299865088</v>
      </c>
      <c r="H70" s="315">
        <f t="shared" si="0"/>
        <v>1.1840698639892071</v>
      </c>
    </row>
    <row r="71" spans="1:8" ht="27" customHeight="1" x14ac:dyDescent="0.45">
      <c r="A71" s="503"/>
      <c r="B71" s="504"/>
      <c r="C71" s="500"/>
      <c r="D71" s="493"/>
      <c r="E71" s="317">
        <v>4</v>
      </c>
      <c r="F71" s="318"/>
      <c r="G71" s="400" t="str">
        <f>IF(ISBLANK(F71),"-",(F71/$D$50*$D$47*$B$68)*($B$57/$D$68))</f>
        <v>-</v>
      </c>
      <c r="H71" s="324" t="str">
        <f t="shared" si="0"/>
        <v>-</v>
      </c>
    </row>
    <row r="72" spans="1:8" ht="26.25" customHeight="1" x14ac:dyDescent="0.45">
      <c r="A72" s="325"/>
      <c r="B72" s="325"/>
      <c r="C72" s="325"/>
      <c r="D72" s="325"/>
      <c r="E72" s="325"/>
      <c r="F72" s="327" t="s">
        <v>62</v>
      </c>
      <c r="G72" s="405">
        <f>AVERAGE(G60:G71)</f>
        <v>146.70049396657052</v>
      </c>
      <c r="H72" s="328">
        <f>AVERAGE(H60:H71)</f>
        <v>1.173603951732564</v>
      </c>
    </row>
    <row r="73" spans="1:8" ht="26.25" customHeight="1" x14ac:dyDescent="0.45">
      <c r="B73" s="2">
        <f>B69/B57*125</f>
        <v>80</v>
      </c>
      <c r="C73" s="325">
        <f>B73/B68</f>
        <v>0.2</v>
      </c>
      <c r="D73" s="325"/>
      <c r="E73" s="325"/>
      <c r="F73" s="329" t="s">
        <v>75</v>
      </c>
      <c r="G73" s="401">
        <f>STDEV(G60:G71)/G72</f>
        <v>9.962841831942083E-3</v>
      </c>
      <c r="H73" s="401">
        <f>STDEV(H60:H71)/H72</f>
        <v>9.9628418319420882E-3</v>
      </c>
    </row>
    <row r="74" spans="1:8" ht="27" customHeight="1" x14ac:dyDescent="0.45">
      <c r="A74" s="325"/>
      <c r="B74" s="325"/>
      <c r="C74" s="326"/>
      <c r="D74" s="326"/>
      <c r="E74" s="330"/>
      <c r="F74" s="331" t="s">
        <v>19</v>
      </c>
      <c r="G74" s="332">
        <f>COUNT(G60:G71)</f>
        <v>6</v>
      </c>
      <c r="H74" s="332">
        <f>COUNT(H60:H71)</f>
        <v>6</v>
      </c>
    </row>
    <row r="76" spans="1:8" ht="26.25" customHeight="1" x14ac:dyDescent="0.45">
      <c r="A76" s="237" t="s">
        <v>97</v>
      </c>
      <c r="B76" s="333" t="s">
        <v>98</v>
      </c>
      <c r="C76" s="496" t="str">
        <f>B20</f>
        <v>Amoxicillin &amp; Clavulanate Potassium</v>
      </c>
      <c r="D76" s="496"/>
      <c r="E76" s="334" t="s">
        <v>99</v>
      </c>
      <c r="F76" s="334"/>
      <c r="G76" s="335">
        <f>H72</f>
        <v>1.173603951732564</v>
      </c>
      <c r="H76" s="336"/>
    </row>
    <row r="77" spans="1:8" ht="18" x14ac:dyDescent="0.35">
      <c r="A77" s="236" t="s">
        <v>100</v>
      </c>
      <c r="B77" s="236" t="s">
        <v>101</v>
      </c>
    </row>
    <row r="78" spans="1:8" ht="18" x14ac:dyDescent="0.35">
      <c r="A78" s="236"/>
      <c r="B78" s="236"/>
    </row>
    <row r="79" spans="1:8" ht="26.25" customHeight="1" x14ac:dyDescent="0.45">
      <c r="A79" s="237" t="s">
        <v>3</v>
      </c>
      <c r="B79" s="482" t="str">
        <f>B26</f>
        <v xml:space="preserve"> CLAVULANATE LITHIUM</v>
      </c>
      <c r="C79" s="482"/>
    </row>
    <row r="80" spans="1:8" ht="26.25" customHeight="1" x14ac:dyDescent="0.45">
      <c r="A80" s="238" t="s">
        <v>39</v>
      </c>
      <c r="B80" s="482" t="str">
        <f>B27</f>
        <v>C62-4</v>
      </c>
      <c r="C80" s="482"/>
    </row>
    <row r="81" spans="1:12" ht="27" customHeight="1" x14ac:dyDescent="0.45">
      <c r="A81" s="238" t="s">
        <v>5</v>
      </c>
      <c r="B81" s="337">
        <f>B28</f>
        <v>96.96</v>
      </c>
    </row>
    <row r="82" spans="1:12" s="13" customFormat="1" ht="27" customHeight="1" x14ac:dyDescent="0.5">
      <c r="A82" s="238" t="s">
        <v>40</v>
      </c>
      <c r="B82" s="240">
        <v>0</v>
      </c>
      <c r="C82" s="473" t="s">
        <v>41</v>
      </c>
      <c r="D82" s="474"/>
      <c r="E82" s="474"/>
      <c r="F82" s="474"/>
      <c r="G82" s="475"/>
      <c r="I82" s="241"/>
      <c r="J82" s="241"/>
      <c r="K82" s="241"/>
      <c r="L82" s="241"/>
    </row>
    <row r="83" spans="1:12" s="13" customFormat="1" ht="19.5" customHeight="1" x14ac:dyDescent="0.35">
      <c r="A83" s="238" t="s">
        <v>42</v>
      </c>
      <c r="B83" s="242">
        <f>B81-B82</f>
        <v>96.96</v>
      </c>
      <c r="C83" s="243"/>
      <c r="D83" s="243"/>
      <c r="E83" s="243"/>
      <c r="F83" s="243"/>
      <c r="G83" s="244"/>
      <c r="I83" s="241"/>
      <c r="J83" s="241"/>
      <c r="K83" s="241"/>
      <c r="L83" s="241"/>
    </row>
    <row r="84" spans="1:12" s="13" customFormat="1" ht="27" customHeight="1" x14ac:dyDescent="0.45">
      <c r="A84" s="238" t="s">
        <v>43</v>
      </c>
      <c r="B84" s="245">
        <v>1</v>
      </c>
      <c r="C84" s="476" t="s">
        <v>102</v>
      </c>
      <c r="D84" s="477"/>
      <c r="E84" s="477"/>
      <c r="F84" s="477"/>
      <c r="G84" s="477"/>
      <c r="H84" s="478"/>
      <c r="I84" s="241"/>
      <c r="J84" s="241"/>
      <c r="K84" s="241"/>
      <c r="L84" s="241"/>
    </row>
    <row r="85" spans="1:12" s="13" customFormat="1" ht="27" customHeight="1" x14ac:dyDescent="0.45">
      <c r="A85" s="238" t="s">
        <v>45</v>
      </c>
      <c r="B85" s="245">
        <v>1</v>
      </c>
      <c r="C85" s="476" t="s">
        <v>103</v>
      </c>
      <c r="D85" s="477"/>
      <c r="E85" s="477"/>
      <c r="F85" s="477"/>
      <c r="G85" s="477"/>
      <c r="H85" s="478"/>
      <c r="I85" s="241"/>
      <c r="J85" s="241"/>
      <c r="K85" s="241"/>
      <c r="L85" s="241"/>
    </row>
    <row r="86" spans="1:12" s="13" customFormat="1" ht="18" x14ac:dyDescent="0.35">
      <c r="A86" s="238"/>
      <c r="B86" s="248"/>
      <c r="C86" s="249"/>
      <c r="D86" s="249"/>
      <c r="E86" s="249"/>
      <c r="F86" s="249"/>
      <c r="G86" s="249"/>
      <c r="H86" s="249"/>
      <c r="I86" s="241"/>
      <c r="J86" s="241"/>
      <c r="K86" s="241"/>
      <c r="L86" s="241"/>
    </row>
    <row r="87" spans="1:12" s="13" customFormat="1" ht="18" x14ac:dyDescent="0.35">
      <c r="A87" s="238" t="s">
        <v>47</v>
      </c>
      <c r="B87" s="250">
        <f>B84/B85</f>
        <v>1</v>
      </c>
      <c r="C87" s="228" t="s">
        <v>48</v>
      </c>
      <c r="D87" s="228"/>
      <c r="E87" s="228"/>
      <c r="F87" s="228"/>
      <c r="G87" s="228"/>
      <c r="I87" s="241"/>
      <c r="J87" s="241"/>
      <c r="K87" s="241"/>
      <c r="L87" s="241"/>
    </row>
    <row r="88" spans="1:12" ht="19.5" customHeight="1" x14ac:dyDescent="0.35">
      <c r="A88" s="236"/>
      <c r="B88" s="236"/>
    </row>
    <row r="89" spans="1:12" ht="27" customHeight="1" x14ac:dyDescent="0.45">
      <c r="A89" s="251" t="s">
        <v>49</v>
      </c>
      <c r="B89" s="252">
        <v>5</v>
      </c>
      <c r="D89" s="338" t="s">
        <v>50</v>
      </c>
      <c r="E89" s="339"/>
      <c r="F89" s="479" t="s">
        <v>51</v>
      </c>
      <c r="G89" s="481"/>
    </row>
    <row r="90" spans="1:12" ht="27" customHeight="1" x14ac:dyDescent="0.45">
      <c r="A90" s="253" t="s">
        <v>52</v>
      </c>
      <c r="B90" s="254">
        <v>3</v>
      </c>
      <c r="C90" s="340" t="s">
        <v>53</v>
      </c>
      <c r="D90" s="256" t="s">
        <v>54</v>
      </c>
      <c r="E90" s="257" t="s">
        <v>55</v>
      </c>
      <c r="F90" s="256" t="s">
        <v>54</v>
      </c>
      <c r="G90" s="341" t="s">
        <v>55</v>
      </c>
      <c r="I90" s="259" t="s">
        <v>56</v>
      </c>
    </row>
    <row r="91" spans="1:12" ht="26.25" customHeight="1" x14ac:dyDescent="0.45">
      <c r="A91" s="253" t="s">
        <v>57</v>
      </c>
      <c r="B91" s="254">
        <v>25</v>
      </c>
      <c r="C91" s="342">
        <v>1</v>
      </c>
      <c r="D91" s="454">
        <v>83784151</v>
      </c>
      <c r="E91" s="262">
        <f>IF(ISBLANK(D91),"-",$D$101/$D$98*D91)</f>
        <v>55439459.908685662</v>
      </c>
      <c r="F91" s="454">
        <v>85587901</v>
      </c>
      <c r="G91" s="263">
        <f>IF(ISBLANK(F91),"-",$D$101/$F$98*F91)</f>
        <v>54343571.489148781</v>
      </c>
      <c r="I91" s="264"/>
    </row>
    <row r="92" spans="1:12" ht="26.25" customHeight="1" x14ac:dyDescent="0.45">
      <c r="A92" s="253" t="s">
        <v>58</v>
      </c>
      <c r="B92" s="254">
        <v>1</v>
      </c>
      <c r="C92" s="326">
        <v>2</v>
      </c>
      <c r="D92" s="455">
        <v>83703491</v>
      </c>
      <c r="E92" s="267">
        <f>IF(ISBLANK(D92),"-",$D$101/$D$98*D92)</f>
        <v>55386087.680372044</v>
      </c>
      <c r="F92" s="455">
        <v>85550290</v>
      </c>
      <c r="G92" s="268">
        <f>IF(ISBLANK(F92),"-",$D$101/$F$98*F92)</f>
        <v>54319690.58958941</v>
      </c>
      <c r="I92" s="483">
        <f>ABS((F96/D96*D95)-F95)/D95</f>
        <v>2.0102554957997138E-2</v>
      </c>
    </row>
    <row r="93" spans="1:12" ht="26.25" customHeight="1" x14ac:dyDescent="0.45">
      <c r="A93" s="253" t="s">
        <v>59</v>
      </c>
      <c r="B93" s="254">
        <v>1</v>
      </c>
      <c r="C93" s="326">
        <v>3</v>
      </c>
      <c r="D93" s="455">
        <v>83687238</v>
      </c>
      <c r="E93" s="267">
        <f>IF(ISBLANK(D93),"-",$D$101/$D$98*D93)</f>
        <v>55375333.169749908</v>
      </c>
      <c r="F93" s="455">
        <v>85569079</v>
      </c>
      <c r="G93" s="268">
        <f>IF(ISBLANK(F93),"-",$D$101/$F$98*F93)</f>
        <v>54331620.562783979</v>
      </c>
      <c r="I93" s="483"/>
    </row>
    <row r="94" spans="1:12" ht="27" customHeight="1" x14ac:dyDescent="0.45">
      <c r="A94" s="253" t="s">
        <v>60</v>
      </c>
      <c r="B94" s="254">
        <v>1</v>
      </c>
      <c r="C94" s="343">
        <v>4</v>
      </c>
      <c r="D94" s="271"/>
      <c r="E94" s="272" t="str">
        <f>IF(ISBLANK(D94),"-",$D$101/$D$98*D94)</f>
        <v>-</v>
      </c>
      <c r="F94" s="456"/>
      <c r="G94" s="273" t="str">
        <f>IF(ISBLANK(F94),"-",$D$101/$F$98*F94)</f>
        <v>-</v>
      </c>
      <c r="I94" s="274"/>
    </row>
    <row r="95" spans="1:12" ht="27" customHeight="1" x14ac:dyDescent="0.45">
      <c r="A95" s="253" t="s">
        <v>61</v>
      </c>
      <c r="B95" s="254">
        <v>1</v>
      </c>
      <c r="C95" s="344" t="s">
        <v>62</v>
      </c>
      <c r="D95" s="345">
        <f>AVERAGE(D91:D94)</f>
        <v>83724960</v>
      </c>
      <c r="E95" s="277">
        <f>AVERAGE(E91:E94)</f>
        <v>55400293.586269207</v>
      </c>
      <c r="F95" s="346">
        <f>AVERAGE(F91:F94)</f>
        <v>85569090</v>
      </c>
      <c r="G95" s="347">
        <f>AVERAGE(G91:G94)</f>
        <v>54331627.547174059</v>
      </c>
    </row>
    <row r="96" spans="1:12" ht="26.25" customHeight="1" x14ac:dyDescent="0.45">
      <c r="A96" s="253" t="s">
        <v>63</v>
      </c>
      <c r="B96" s="239">
        <v>1</v>
      </c>
      <c r="C96" s="348" t="s">
        <v>104</v>
      </c>
      <c r="D96" s="457">
        <v>9.02</v>
      </c>
      <c r="E96" s="269"/>
      <c r="F96" s="522">
        <v>9.4</v>
      </c>
    </row>
    <row r="97" spans="1:10" ht="26.25" customHeight="1" x14ac:dyDescent="0.45">
      <c r="A97" s="253" t="s">
        <v>65</v>
      </c>
      <c r="B97" s="239">
        <v>1</v>
      </c>
      <c r="C97" s="349" t="s">
        <v>105</v>
      </c>
      <c r="D97" s="350">
        <f>D96*$B$87</f>
        <v>9.02</v>
      </c>
      <c r="E97" s="284"/>
      <c r="F97" s="283">
        <f>F96*$B$87</f>
        <v>9.4</v>
      </c>
    </row>
    <row r="98" spans="1:10" ht="19.5" customHeight="1" x14ac:dyDescent="0.35">
      <c r="A98" s="253" t="s">
        <v>67</v>
      </c>
      <c r="B98" s="351">
        <f>(B97/B96)*(B95/B94)*(B93/B92)*(B91/B90)*B89</f>
        <v>41.666666666666671</v>
      </c>
      <c r="C98" s="349" t="s">
        <v>106</v>
      </c>
      <c r="D98" s="352">
        <f>D97*$B$83/100</f>
        <v>8.7457919999999998</v>
      </c>
      <c r="E98" s="287"/>
      <c r="F98" s="286">
        <f>F97*$B$83/100</f>
        <v>9.1142400000000006</v>
      </c>
    </row>
    <row r="99" spans="1:10" ht="19.5" customHeight="1" x14ac:dyDescent="0.35">
      <c r="A99" s="484" t="s">
        <v>69</v>
      </c>
      <c r="B99" s="498"/>
      <c r="C99" s="349" t="s">
        <v>107</v>
      </c>
      <c r="D99" s="353">
        <f>D98/$B$98</f>
        <v>0.20989900799999997</v>
      </c>
      <c r="E99" s="287"/>
      <c r="F99" s="290">
        <f>F98/$B$98</f>
        <v>0.21874175999999998</v>
      </c>
      <c r="G99" s="354"/>
      <c r="H99" s="279"/>
    </row>
    <row r="100" spans="1:10" ht="19.5" customHeight="1" x14ac:dyDescent="0.35">
      <c r="A100" s="486"/>
      <c r="B100" s="499"/>
      <c r="C100" s="349" t="s">
        <v>71</v>
      </c>
      <c r="D100" s="355">
        <f>$B$56/$B$116</f>
        <v>0.1388888888888889</v>
      </c>
      <c r="F100" s="295"/>
      <c r="G100" s="356"/>
      <c r="H100" s="279"/>
    </row>
    <row r="101" spans="1:10" ht="18" x14ac:dyDescent="0.35">
      <c r="C101" s="349" t="s">
        <v>72</v>
      </c>
      <c r="D101" s="350">
        <f>D100*$B$98</f>
        <v>5.7870370370370381</v>
      </c>
      <c r="F101" s="295"/>
      <c r="G101" s="354"/>
      <c r="H101" s="279"/>
    </row>
    <row r="102" spans="1:10" ht="19.5" customHeight="1" x14ac:dyDescent="0.35">
      <c r="C102" s="357" t="s">
        <v>73</v>
      </c>
      <c r="D102" s="358">
        <f>D101/B34</f>
        <v>5.7870370370370381</v>
      </c>
      <c r="F102" s="299"/>
      <c r="G102" s="354"/>
      <c r="H102" s="279"/>
      <c r="J102" s="359"/>
    </row>
    <row r="103" spans="1:10" ht="18" x14ac:dyDescent="0.35">
      <c r="C103" s="360" t="s">
        <v>108</v>
      </c>
      <c r="D103" s="361">
        <f>AVERAGE(E91:E94,G91:G94)</f>
        <v>54865960.566721626</v>
      </c>
      <c r="F103" s="299"/>
      <c r="G103" s="362"/>
      <c r="H103" s="279"/>
      <c r="J103" s="363"/>
    </row>
    <row r="104" spans="1:10" ht="18" x14ac:dyDescent="0.35">
      <c r="C104" s="329" t="s">
        <v>75</v>
      </c>
      <c r="D104" s="364">
        <f>STDEV(E91:E94,G91:G94)/D103</f>
        <v>1.0676638510534655E-2</v>
      </c>
      <c r="F104" s="299"/>
      <c r="G104" s="354"/>
      <c r="H104" s="279"/>
      <c r="J104" s="363"/>
    </row>
    <row r="105" spans="1:10" ht="19.5" customHeight="1" x14ac:dyDescent="0.35">
      <c r="C105" s="331" t="s">
        <v>19</v>
      </c>
      <c r="D105" s="365">
        <f>COUNT(E91:E94,G91:G94)</f>
        <v>6</v>
      </c>
      <c r="F105" s="299"/>
      <c r="G105" s="354"/>
      <c r="H105" s="279"/>
      <c r="J105" s="363"/>
    </row>
    <row r="106" spans="1:10" ht="19.5" customHeight="1" x14ac:dyDescent="0.35">
      <c r="A106" s="303"/>
      <c r="B106" s="303"/>
      <c r="C106" s="303"/>
      <c r="D106" s="303"/>
      <c r="E106" s="303"/>
    </row>
    <row r="107" spans="1:10" ht="26.25" customHeight="1" x14ac:dyDescent="0.45">
      <c r="A107" s="251" t="s">
        <v>109</v>
      </c>
      <c r="B107" s="252">
        <v>900</v>
      </c>
      <c r="C107" s="366" t="s">
        <v>110</v>
      </c>
      <c r="D107" s="367" t="s">
        <v>54</v>
      </c>
      <c r="E107" s="368" t="s">
        <v>111</v>
      </c>
      <c r="F107" s="369" t="s">
        <v>112</v>
      </c>
    </row>
    <row r="108" spans="1:10" ht="26.25" customHeight="1" x14ac:dyDescent="0.45">
      <c r="A108" s="253" t="s">
        <v>113</v>
      </c>
      <c r="B108" s="254">
        <v>1</v>
      </c>
      <c r="C108" s="370">
        <v>1</v>
      </c>
      <c r="D108" s="371">
        <v>55771835</v>
      </c>
      <c r="E108" s="402">
        <f t="shared" ref="E108:E113" si="1">IF(ISBLANK(D108),"-",D108/$D$103*$D$100*$B$116)</f>
        <v>127.06383526306982</v>
      </c>
      <c r="F108" s="372">
        <f t="shared" ref="F108:F113" si="2">IF(ISBLANK(D108), "-", E108/$B$56)</f>
        <v>1.0165106821045586</v>
      </c>
    </row>
    <row r="109" spans="1:10" ht="26.25" customHeight="1" x14ac:dyDescent="0.45">
      <c r="A109" s="253" t="s">
        <v>86</v>
      </c>
      <c r="B109" s="254">
        <v>1</v>
      </c>
      <c r="C109" s="370">
        <v>2</v>
      </c>
      <c r="D109" s="371">
        <v>54762060</v>
      </c>
      <c r="E109" s="403">
        <f t="shared" si="1"/>
        <v>124.76328545593566</v>
      </c>
      <c r="F109" s="373">
        <f t="shared" si="2"/>
        <v>0.99810628364748522</v>
      </c>
    </row>
    <row r="110" spans="1:10" ht="26.25" customHeight="1" x14ac:dyDescent="0.45">
      <c r="A110" s="253" t="s">
        <v>87</v>
      </c>
      <c r="B110" s="254">
        <v>1</v>
      </c>
      <c r="C110" s="370">
        <v>3</v>
      </c>
      <c r="D110" s="371">
        <v>51799818</v>
      </c>
      <c r="E110" s="403">
        <f t="shared" si="1"/>
        <v>118.01446986653742</v>
      </c>
      <c r="F110" s="373">
        <f t="shared" si="2"/>
        <v>0.94411575893229938</v>
      </c>
    </row>
    <row r="111" spans="1:10" ht="26.25" customHeight="1" x14ac:dyDescent="0.45">
      <c r="A111" s="253" t="s">
        <v>88</v>
      </c>
      <c r="B111" s="254">
        <v>1</v>
      </c>
      <c r="C111" s="370">
        <v>4</v>
      </c>
      <c r="D111" s="371">
        <v>55929540</v>
      </c>
      <c r="E111" s="403">
        <f t="shared" si="1"/>
        <v>127.42313135114298</v>
      </c>
      <c r="F111" s="373">
        <f t="shared" si="2"/>
        <v>1.0193850508091438</v>
      </c>
    </row>
    <row r="112" spans="1:10" ht="26.25" customHeight="1" x14ac:dyDescent="0.45">
      <c r="A112" s="253" t="s">
        <v>89</v>
      </c>
      <c r="B112" s="254">
        <v>1</v>
      </c>
      <c r="C112" s="370">
        <v>5</v>
      </c>
      <c r="D112" s="371">
        <v>48180347</v>
      </c>
      <c r="E112" s="403">
        <f t="shared" si="1"/>
        <v>109.76830283826126</v>
      </c>
      <c r="F112" s="373">
        <f t="shared" si="2"/>
        <v>0.87814642270609011</v>
      </c>
    </row>
    <row r="113" spans="1:10" ht="26.25" customHeight="1" x14ac:dyDescent="0.45">
      <c r="A113" s="253" t="s">
        <v>91</v>
      </c>
      <c r="B113" s="254">
        <v>1</v>
      </c>
      <c r="C113" s="374">
        <v>6</v>
      </c>
      <c r="D113" s="375">
        <v>48339385</v>
      </c>
      <c r="E113" s="404">
        <f t="shared" si="1"/>
        <v>110.13063587307298</v>
      </c>
      <c r="F113" s="376">
        <f t="shared" si="2"/>
        <v>0.88104508698458384</v>
      </c>
    </row>
    <row r="114" spans="1:10" ht="26.25" customHeight="1" x14ac:dyDescent="0.45">
      <c r="A114" s="253" t="s">
        <v>92</v>
      </c>
      <c r="B114" s="254">
        <v>1</v>
      </c>
      <c r="C114" s="370"/>
      <c r="D114" s="326"/>
      <c r="E114" s="227"/>
      <c r="F114" s="377"/>
    </row>
    <row r="115" spans="1:10" ht="26.25" customHeight="1" x14ac:dyDescent="0.45">
      <c r="A115" s="253" t="s">
        <v>93</v>
      </c>
      <c r="B115" s="254">
        <v>1</v>
      </c>
      <c r="C115" s="370"/>
      <c r="D115" s="378" t="s">
        <v>62</v>
      </c>
      <c r="E115" s="406">
        <f>AVERAGE(E108:E113)</f>
        <v>119.52727677467</v>
      </c>
      <c r="F115" s="379">
        <f>AVERAGE(F108:F113)</f>
        <v>0.95621821419736008</v>
      </c>
    </row>
    <row r="116" spans="1:10" ht="27" customHeight="1" x14ac:dyDescent="0.45">
      <c r="A116" s="253" t="s">
        <v>94</v>
      </c>
      <c r="B116" s="285">
        <f>(B115/B114)*(B113/B112)*(B111/B110)*(B109/B108)*B107</f>
        <v>900</v>
      </c>
      <c r="C116" s="380"/>
      <c r="D116" s="344" t="s">
        <v>75</v>
      </c>
      <c r="E116" s="381">
        <f>STDEV(E108:E113)/E115</f>
        <v>6.8213039090584571E-2</v>
      </c>
      <c r="F116" s="381">
        <f>STDEV(F108:F113)/F115</f>
        <v>6.8213039090584543E-2</v>
      </c>
      <c r="I116" s="227"/>
    </row>
    <row r="117" spans="1:10" ht="27" customHeight="1" x14ac:dyDescent="0.45">
      <c r="A117" s="484" t="s">
        <v>69</v>
      </c>
      <c r="B117" s="485"/>
      <c r="C117" s="382"/>
      <c r="D117" s="383" t="s">
        <v>19</v>
      </c>
      <c r="E117" s="384">
        <f>COUNT(E108:E113)</f>
        <v>6</v>
      </c>
      <c r="F117" s="384">
        <f>COUNT(F108:F113)</f>
        <v>6</v>
      </c>
      <c r="I117" s="227"/>
      <c r="J117" s="363"/>
    </row>
    <row r="118" spans="1:10" ht="19.5" customHeight="1" x14ac:dyDescent="0.35">
      <c r="A118" s="486"/>
      <c r="B118" s="487"/>
      <c r="C118" s="227"/>
      <c r="D118" s="227"/>
      <c r="E118" s="227"/>
      <c r="F118" s="326"/>
      <c r="G118" s="227"/>
      <c r="H118" s="227"/>
      <c r="I118" s="227"/>
    </row>
    <row r="119" spans="1:10" ht="18" x14ac:dyDescent="0.35">
      <c r="A119" s="393"/>
      <c r="B119" s="249"/>
      <c r="C119" s="227"/>
      <c r="D119" s="227"/>
      <c r="E119" s="227"/>
      <c r="F119" s="326"/>
      <c r="G119" s="227"/>
      <c r="H119" s="227"/>
      <c r="I119" s="227"/>
    </row>
    <row r="120" spans="1:10" ht="26.25" customHeight="1" x14ac:dyDescent="0.45">
      <c r="A120" s="237" t="s">
        <v>97</v>
      </c>
      <c r="B120" s="333" t="s">
        <v>114</v>
      </c>
      <c r="C120" s="496" t="str">
        <f>B20</f>
        <v>Amoxicillin &amp; Clavulanate Potassium</v>
      </c>
      <c r="D120" s="496"/>
      <c r="E120" s="334" t="s">
        <v>115</v>
      </c>
      <c r="F120" s="334"/>
      <c r="G120" s="335">
        <f>F115</f>
        <v>0.95621821419736008</v>
      </c>
      <c r="H120" s="227"/>
      <c r="I120" s="227"/>
    </row>
    <row r="121" spans="1:10" ht="19.5" customHeight="1" x14ac:dyDescent="0.35">
      <c r="A121" s="385"/>
      <c r="B121" s="385"/>
      <c r="C121" s="386"/>
      <c r="D121" s="386"/>
      <c r="E121" s="386"/>
      <c r="F121" s="386"/>
      <c r="G121" s="386"/>
      <c r="H121" s="386"/>
    </row>
    <row r="122" spans="1:10" ht="18" x14ac:dyDescent="0.35">
      <c r="B122" s="497" t="s">
        <v>24</v>
      </c>
      <c r="C122" s="497"/>
      <c r="E122" s="340" t="s">
        <v>25</v>
      </c>
      <c r="F122" s="387"/>
      <c r="G122" s="497" t="s">
        <v>26</v>
      </c>
      <c r="H122" s="497"/>
    </row>
    <row r="123" spans="1:10" ht="69.900000000000006" customHeight="1" x14ac:dyDescent="0.35">
      <c r="A123" s="388" t="s">
        <v>27</v>
      </c>
      <c r="B123" s="389"/>
      <c r="C123" s="389"/>
      <c r="E123" s="389"/>
      <c r="F123" s="227"/>
      <c r="G123" s="390"/>
      <c r="H123" s="390"/>
    </row>
    <row r="124" spans="1:10" ht="69.900000000000006" customHeight="1" x14ac:dyDescent="0.35">
      <c r="A124" s="388" t="s">
        <v>28</v>
      </c>
      <c r="B124" s="391"/>
      <c r="C124" s="391"/>
      <c r="E124" s="391"/>
      <c r="F124" s="227"/>
      <c r="G124" s="392"/>
      <c r="H124" s="392"/>
    </row>
    <row r="125" spans="1:10" ht="18" x14ac:dyDescent="0.35">
      <c r="A125" s="325"/>
      <c r="B125" s="325"/>
      <c r="C125" s="326"/>
      <c r="D125" s="326"/>
      <c r="E125" s="326"/>
      <c r="F125" s="330"/>
      <c r="G125" s="326"/>
      <c r="H125" s="326"/>
      <c r="I125" s="227"/>
    </row>
    <row r="126" spans="1:10" ht="18" x14ac:dyDescent="0.35">
      <c r="A126" s="325"/>
      <c r="B126" s="325"/>
      <c r="C126" s="326"/>
      <c r="D126" s="326"/>
      <c r="E126" s="326"/>
      <c r="F126" s="330"/>
      <c r="G126" s="326"/>
      <c r="H126" s="326"/>
      <c r="I126" s="227"/>
    </row>
    <row r="127" spans="1:10" ht="18" x14ac:dyDescent="0.35">
      <c r="A127" s="325"/>
      <c r="B127" s="325"/>
      <c r="C127" s="326"/>
      <c r="D127" s="326"/>
      <c r="E127" s="326"/>
      <c r="F127" s="330"/>
      <c r="G127" s="326"/>
      <c r="H127" s="326"/>
      <c r="I127" s="227"/>
    </row>
    <row r="128" spans="1:10" ht="18" x14ac:dyDescent="0.35">
      <c r="A128" s="325"/>
      <c r="B128" s="325"/>
      <c r="C128" s="326"/>
      <c r="D128" s="326"/>
      <c r="E128" s="326"/>
      <c r="F128" s="330"/>
      <c r="G128" s="326"/>
      <c r="H128" s="326"/>
      <c r="I128" s="227"/>
    </row>
    <row r="129" spans="1:9" ht="18" x14ac:dyDescent="0.35">
      <c r="A129" s="325"/>
      <c r="B129" s="325"/>
      <c r="C129" s="326"/>
      <c r="D129" s="326"/>
      <c r="E129" s="326"/>
      <c r="F129" s="330"/>
      <c r="G129" s="326"/>
      <c r="H129" s="326"/>
      <c r="I129" s="227"/>
    </row>
    <row r="130" spans="1:9" ht="18" x14ac:dyDescent="0.35">
      <c r="A130" s="325"/>
      <c r="B130" s="325"/>
      <c r="C130" s="326"/>
      <c r="D130" s="326"/>
      <c r="E130" s="326"/>
      <c r="F130" s="330"/>
      <c r="G130" s="326"/>
      <c r="H130" s="326"/>
      <c r="I130" s="227"/>
    </row>
    <row r="131" spans="1:9" ht="18" x14ac:dyDescent="0.35">
      <c r="A131" s="325"/>
      <c r="B131" s="325"/>
      <c r="C131" s="326"/>
      <c r="D131" s="326"/>
      <c r="E131" s="326"/>
      <c r="F131" s="330"/>
      <c r="G131" s="326"/>
      <c r="H131" s="326"/>
      <c r="I131" s="227"/>
    </row>
    <row r="132" spans="1:9" ht="18" x14ac:dyDescent="0.35">
      <c r="A132" s="325"/>
      <c r="B132" s="325"/>
      <c r="C132" s="326"/>
      <c r="D132" s="326"/>
      <c r="E132" s="326"/>
      <c r="F132" s="330"/>
      <c r="G132" s="326"/>
      <c r="H132" s="326"/>
      <c r="I132" s="227"/>
    </row>
    <row r="133" spans="1:9" ht="18" x14ac:dyDescent="0.35">
      <c r="A133" s="325"/>
      <c r="B133" s="325"/>
      <c r="C133" s="326"/>
      <c r="D133" s="326"/>
      <c r="E133" s="326"/>
      <c r="F133" s="330"/>
      <c r="G133" s="326"/>
      <c r="H133" s="326"/>
      <c r="I133" s="227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4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zoomScale="110" zoomScaleSheetLayoutView="110" workbookViewId="0">
      <selection activeCell="C24" sqref="C2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08" t="s">
        <v>31</v>
      </c>
      <c r="B11" s="509"/>
      <c r="C11" s="509"/>
      <c r="D11" s="509"/>
      <c r="E11" s="509"/>
      <c r="F11" s="510"/>
      <c r="G11" s="447"/>
    </row>
    <row r="12" spans="1:7" ht="16.5" customHeight="1" x14ac:dyDescent="0.3">
      <c r="A12" s="507" t="s">
        <v>116</v>
      </c>
      <c r="B12" s="507"/>
      <c r="C12" s="507"/>
      <c r="D12" s="507"/>
      <c r="E12" s="507"/>
      <c r="F12" s="507"/>
      <c r="G12" s="446"/>
    </row>
    <row r="14" spans="1:7" ht="16.5" customHeight="1" x14ac:dyDescent="0.3">
      <c r="A14" s="512" t="s">
        <v>33</v>
      </c>
      <c r="B14" s="512"/>
      <c r="C14" s="416" t="s">
        <v>4</v>
      </c>
    </row>
    <row r="15" spans="1:7" ht="16.5" customHeight="1" x14ac:dyDescent="0.3">
      <c r="A15" s="512" t="s">
        <v>34</v>
      </c>
      <c r="B15" s="512"/>
      <c r="C15" s="416" t="s">
        <v>6</v>
      </c>
    </row>
    <row r="16" spans="1:7" ht="16.5" customHeight="1" x14ac:dyDescent="0.3">
      <c r="A16" s="512" t="s">
        <v>35</v>
      </c>
      <c r="B16" s="512"/>
      <c r="C16" s="416" t="s">
        <v>8</v>
      </c>
    </row>
    <row r="17" spans="1:5" ht="16.5" customHeight="1" x14ac:dyDescent="0.3">
      <c r="A17" s="512" t="s">
        <v>36</v>
      </c>
      <c r="B17" s="512"/>
      <c r="C17" s="416" t="s">
        <v>10</v>
      </c>
    </row>
    <row r="18" spans="1:5" ht="16.5" customHeight="1" x14ac:dyDescent="0.3">
      <c r="A18" s="512" t="s">
        <v>37</v>
      </c>
      <c r="B18" s="512"/>
      <c r="C18" s="453" t="s">
        <v>11</v>
      </c>
    </row>
    <row r="19" spans="1:5" ht="16.5" customHeight="1" x14ac:dyDescent="0.3">
      <c r="A19" s="512" t="s">
        <v>38</v>
      </c>
      <c r="B19" s="512"/>
      <c r="C19" s="453" t="e">
        <f>#REF!</f>
        <v>#REF!</v>
      </c>
    </row>
    <row r="20" spans="1:5" ht="16.5" customHeight="1" x14ac:dyDescent="0.3">
      <c r="A20" s="418"/>
      <c r="B20" s="418"/>
      <c r="C20" s="433"/>
    </row>
    <row r="21" spans="1:5" ht="16.5" customHeight="1" x14ac:dyDescent="0.3">
      <c r="A21" s="507" t="s">
        <v>1</v>
      </c>
      <c r="B21" s="507"/>
      <c r="C21" s="415" t="s">
        <v>117</v>
      </c>
      <c r="D21" s="422"/>
    </row>
    <row r="22" spans="1:5" ht="15.75" customHeight="1" x14ac:dyDescent="0.3">
      <c r="A22" s="511"/>
      <c r="B22" s="511"/>
      <c r="C22" s="413"/>
      <c r="D22" s="511"/>
      <c r="E22" s="511"/>
    </row>
    <row r="23" spans="1:5" ht="33.75" customHeight="1" x14ac:dyDescent="0.3">
      <c r="C23" s="442" t="s">
        <v>118</v>
      </c>
      <c r="D23" s="441" t="s">
        <v>119</v>
      </c>
      <c r="E23" s="408"/>
    </row>
    <row r="24" spans="1:5" ht="15.75" customHeight="1" x14ac:dyDescent="0.3">
      <c r="C24" s="451">
        <v>1053.52</v>
      </c>
      <c r="D24" s="443">
        <f t="shared" ref="D24:D43" si="0">(C24-$C$46)/$C$46</f>
        <v>2.7703071149649539E-2</v>
      </c>
      <c r="E24" s="409"/>
    </row>
    <row r="25" spans="1:5" ht="15.75" customHeight="1" x14ac:dyDescent="0.3">
      <c r="C25" s="451">
        <v>1023.19</v>
      </c>
      <c r="D25" s="444">
        <f t="shared" si="0"/>
        <v>-1.8836800728889954E-3</v>
      </c>
      <c r="E25" s="409"/>
    </row>
    <row r="26" spans="1:5" ht="15.75" customHeight="1" x14ac:dyDescent="0.3">
      <c r="C26" s="451">
        <v>1027.23</v>
      </c>
      <c r="D26" s="444">
        <f t="shared" si="0"/>
        <v>2.0573181117155177E-3</v>
      </c>
      <c r="E26" s="409"/>
    </row>
    <row r="27" spans="1:5" ht="15.75" customHeight="1" x14ac:dyDescent="0.3">
      <c r="C27" s="451">
        <v>1017.08</v>
      </c>
      <c r="D27" s="444">
        <f t="shared" si="0"/>
        <v>-7.8439520798033145E-3</v>
      </c>
      <c r="E27" s="409"/>
    </row>
    <row r="28" spans="1:5" ht="15.75" customHeight="1" x14ac:dyDescent="0.3">
      <c r="C28" s="451">
        <v>1026.24</v>
      </c>
      <c r="D28" s="444">
        <f t="shared" si="0"/>
        <v>1.0915784575673646E-3</v>
      </c>
      <c r="E28" s="409"/>
    </row>
    <row r="29" spans="1:5" ht="15.75" customHeight="1" x14ac:dyDescent="0.3">
      <c r="C29" s="451">
        <v>1008.3</v>
      </c>
      <c r="D29" s="444">
        <f t="shared" si="0"/>
        <v>-1.6408794669117245E-2</v>
      </c>
      <c r="E29" s="409"/>
    </row>
    <row r="30" spans="1:5" ht="15.75" customHeight="1" x14ac:dyDescent="0.3">
      <c r="C30" s="451">
        <v>1032.32</v>
      </c>
      <c r="D30" s="444">
        <f t="shared" si="0"/>
        <v>7.0225856264771094E-3</v>
      </c>
      <c r="E30" s="409"/>
    </row>
    <row r="31" spans="1:5" ht="15.75" customHeight="1" x14ac:dyDescent="0.3">
      <c r="C31" s="451">
        <v>1029.6400000000001</v>
      </c>
      <c r="D31" s="444">
        <f t="shared" si="0"/>
        <v>4.4082600980762318E-3</v>
      </c>
      <c r="E31" s="409"/>
    </row>
    <row r="32" spans="1:5" ht="15.75" customHeight="1" x14ac:dyDescent="0.3">
      <c r="C32" s="451">
        <v>1031.82</v>
      </c>
      <c r="D32" s="444">
        <f t="shared" si="0"/>
        <v>6.5348383264022892E-3</v>
      </c>
      <c r="E32" s="409"/>
    </row>
    <row r="33" spans="1:7" ht="15.75" customHeight="1" x14ac:dyDescent="0.3">
      <c r="C33" s="451">
        <v>1023.35</v>
      </c>
      <c r="D33" s="444">
        <f t="shared" si="0"/>
        <v>-1.7276009368650839E-3</v>
      </c>
      <c r="E33" s="409"/>
    </row>
    <row r="34" spans="1:7" ht="15.75" customHeight="1" x14ac:dyDescent="0.3">
      <c r="C34" s="451">
        <v>1020.09</v>
      </c>
      <c r="D34" s="444">
        <f t="shared" si="0"/>
        <v>-4.9077133333529036E-3</v>
      </c>
      <c r="E34" s="409"/>
    </row>
    <row r="35" spans="1:7" ht="15.75" customHeight="1" x14ac:dyDescent="0.3">
      <c r="C35" s="451">
        <v>1019.35</v>
      </c>
      <c r="D35" s="444">
        <f t="shared" si="0"/>
        <v>-5.6295793374636473E-3</v>
      </c>
      <c r="E35" s="409"/>
    </row>
    <row r="36" spans="1:7" ht="15.75" customHeight="1" x14ac:dyDescent="0.3">
      <c r="C36" s="451">
        <v>1029.4100000000001</v>
      </c>
      <c r="D36" s="444">
        <f t="shared" si="0"/>
        <v>4.1838963400417971E-3</v>
      </c>
      <c r="E36" s="409"/>
    </row>
    <row r="37" spans="1:7" ht="15.75" customHeight="1" x14ac:dyDescent="0.3">
      <c r="C37" s="451">
        <v>1030.6500000000001</v>
      </c>
      <c r="D37" s="444">
        <f t="shared" si="0"/>
        <v>5.3935096442273602E-3</v>
      </c>
      <c r="E37" s="409"/>
    </row>
    <row r="38" spans="1:7" ht="15.75" customHeight="1" x14ac:dyDescent="0.3">
      <c r="C38" s="451">
        <v>992.4</v>
      </c>
      <c r="D38" s="444">
        <f t="shared" si="0"/>
        <v>-3.1919158811496512E-2</v>
      </c>
      <c r="E38" s="409"/>
    </row>
    <row r="39" spans="1:7" ht="15.75" customHeight="1" x14ac:dyDescent="0.3">
      <c r="C39" s="451">
        <v>1015.68</v>
      </c>
      <c r="D39" s="444">
        <f t="shared" si="0"/>
        <v>-9.2096445200129003E-3</v>
      </c>
      <c r="E39" s="409"/>
    </row>
    <row r="40" spans="1:7" ht="15.75" customHeight="1" x14ac:dyDescent="0.3">
      <c r="C40" s="451">
        <v>1020.15</v>
      </c>
      <c r="D40" s="444">
        <f t="shared" si="0"/>
        <v>-4.8491836573439787E-3</v>
      </c>
      <c r="E40" s="409"/>
    </row>
    <row r="41" spans="1:7" ht="15.75" customHeight="1" x14ac:dyDescent="0.3">
      <c r="C41" s="451">
        <v>1046.76</v>
      </c>
      <c r="D41" s="444">
        <f t="shared" si="0"/>
        <v>2.1108727652637976E-2</v>
      </c>
      <c r="E41" s="409"/>
    </row>
    <row r="42" spans="1:7" ht="15.75" customHeight="1" x14ac:dyDescent="0.3">
      <c r="C42" s="451">
        <v>1023.4</v>
      </c>
      <c r="D42" s="444">
        <f t="shared" si="0"/>
        <v>-1.6788262068576463E-3</v>
      </c>
      <c r="E42" s="409"/>
    </row>
    <row r="43" spans="1:7" ht="16.5" customHeight="1" x14ac:dyDescent="0.3">
      <c r="C43" s="452">
        <v>1031.8399999999999</v>
      </c>
      <c r="D43" s="445">
        <f t="shared" si="0"/>
        <v>6.5543482184052641E-3</v>
      </c>
      <c r="E43" s="409"/>
    </row>
    <row r="44" spans="1:7" ht="16.5" customHeight="1" x14ac:dyDescent="0.3">
      <c r="C44" s="410"/>
      <c r="D44" s="409"/>
      <c r="E44" s="411"/>
    </row>
    <row r="45" spans="1:7" ht="16.5" customHeight="1" x14ac:dyDescent="0.3">
      <c r="B45" s="438" t="s">
        <v>120</v>
      </c>
      <c r="C45" s="439">
        <f>SUM(C24:C44)</f>
        <v>20502.420000000002</v>
      </c>
      <c r="D45" s="434"/>
      <c r="E45" s="410"/>
    </row>
    <row r="46" spans="1:7" ht="17.25" customHeight="1" x14ac:dyDescent="0.3">
      <c r="B46" s="438" t="s">
        <v>121</v>
      </c>
      <c r="C46" s="440">
        <f>AVERAGE(C24:C44)</f>
        <v>1025.1210000000001</v>
      </c>
      <c r="E46" s="412"/>
    </row>
    <row r="47" spans="1:7" ht="17.25" customHeight="1" x14ac:dyDescent="0.3">
      <c r="A47" s="416"/>
      <c r="B47" s="435"/>
      <c r="D47" s="414"/>
      <c r="E47" s="412"/>
    </row>
    <row r="48" spans="1:7" ht="33.75" customHeight="1" x14ac:dyDescent="0.3">
      <c r="B48" s="448" t="s">
        <v>121</v>
      </c>
      <c r="C48" s="441" t="s">
        <v>122</v>
      </c>
      <c r="D48" s="436"/>
      <c r="G48" s="414"/>
    </row>
    <row r="49" spans="1:6" ht="17.25" customHeight="1" x14ac:dyDescent="0.3">
      <c r="B49" s="505">
        <f>C46</f>
        <v>1025.1210000000001</v>
      </c>
      <c r="C49" s="449">
        <f>-IF(C46&lt;=80,10%,IF(C46&lt;250,7.5%,5%))</f>
        <v>-0.05</v>
      </c>
      <c r="D49" s="437">
        <f>IF(C46&lt;=80,C46*0.9,IF(C46&lt;250,C46*0.925,C46*0.95))</f>
        <v>973.86495000000002</v>
      </c>
    </row>
    <row r="50" spans="1:6" ht="17.25" customHeight="1" x14ac:dyDescent="0.3">
      <c r="B50" s="506"/>
      <c r="C50" s="450">
        <f>IF(C46&lt;=80, 10%, IF(C46&lt;250, 7.5%, 5%))</f>
        <v>0.05</v>
      </c>
      <c r="D50" s="437">
        <f>IF(C46&lt;=80, C46*1.1, IF(C46&lt;250, C46*1.075, C46*1.05))</f>
        <v>1076.3770500000001</v>
      </c>
    </row>
    <row r="51" spans="1:6" ht="16.5" customHeight="1" x14ac:dyDescent="0.3">
      <c r="A51" s="419"/>
      <c r="B51" s="420"/>
      <c r="C51" s="416"/>
      <c r="D51" s="421"/>
      <c r="E51" s="416"/>
      <c r="F51" s="422"/>
    </row>
    <row r="52" spans="1:6" ht="16.5" customHeight="1" x14ac:dyDescent="0.3">
      <c r="A52" s="416"/>
      <c r="B52" s="423" t="s">
        <v>24</v>
      </c>
      <c r="C52" s="423"/>
      <c r="D52" s="424" t="s">
        <v>25</v>
      </c>
      <c r="E52" s="425"/>
      <c r="F52" s="424" t="s">
        <v>26</v>
      </c>
    </row>
    <row r="53" spans="1:6" ht="34.5" customHeight="1" x14ac:dyDescent="0.3">
      <c r="A53" s="426" t="s">
        <v>27</v>
      </c>
      <c r="B53" s="427"/>
      <c r="C53" s="428"/>
      <c r="D53" s="427"/>
      <c r="E53" s="417"/>
      <c r="F53" s="429"/>
    </row>
    <row r="54" spans="1:6" ht="34.5" customHeight="1" x14ac:dyDescent="0.3">
      <c r="A54" s="426" t="s">
        <v>28</v>
      </c>
      <c r="B54" s="430"/>
      <c r="C54" s="431"/>
      <c r="D54" s="430"/>
      <c r="E54" s="417"/>
      <c r="F54" s="432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CA </vt:lpstr>
      <vt:lpstr>SST AM</vt:lpstr>
      <vt:lpstr>AMOXICILLIN</vt:lpstr>
      <vt:lpstr>CLAVULANATE</vt:lpstr>
      <vt:lpstr>Uniformity</vt:lpstr>
      <vt:lpstr>AMOXICILLIN!Print_Area</vt:lpstr>
      <vt:lpstr>CLAVULANATE!Print_Area</vt:lpstr>
      <vt:lpstr>'SST AM'!Print_Area</vt:lpstr>
      <vt:lpstr>'SST CA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2016-06-11T11:17:33Z</cp:lastPrinted>
  <dcterms:created xsi:type="dcterms:W3CDTF">2005-07-05T10:19:27Z</dcterms:created>
  <dcterms:modified xsi:type="dcterms:W3CDTF">2016-06-11T11:23:25Z</dcterms:modified>
</cp:coreProperties>
</file>