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1"/>
  </bookViews>
  <sheets>
    <sheet name="SST A" sheetId="1" r:id="rId1"/>
    <sheet name="Artemether" sheetId="2" r:id="rId2"/>
    <sheet name="Uniformity" sheetId="3" r:id="rId3"/>
    <sheet name="SST L" sheetId="5" r:id="rId4"/>
    <sheet name="Lumefantrine" sheetId="4" r:id="rId5"/>
  </sheets>
  <definedNames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19" i="5" l="1"/>
  <c r="B20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B41" i="1"/>
  <c r="B40" i="1"/>
  <c r="B39" i="1"/>
  <c r="B19" i="1"/>
  <c r="B20" i="1"/>
  <c r="B21" i="1" s="1"/>
  <c r="D68" i="4" l="1"/>
  <c r="D64" i="4"/>
  <c r="D60" i="4"/>
  <c r="B57" i="2"/>
  <c r="C124" i="4"/>
  <c r="B116" i="4"/>
  <c r="D100" i="4"/>
  <c r="D101" i="4" s="1"/>
  <c r="B98" i="4"/>
  <c r="F97" i="4"/>
  <c r="F95" i="4"/>
  <c r="D95" i="4"/>
  <c r="I92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B30" i="4"/>
  <c r="B49" i="3"/>
  <c r="C46" i="3"/>
  <c r="C45" i="3"/>
  <c r="D38" i="3"/>
  <c r="D37" i="3"/>
  <c r="D36" i="3"/>
  <c r="D30" i="3"/>
  <c r="D29" i="3"/>
  <c r="D28" i="3"/>
  <c r="C19" i="3"/>
  <c r="C124" i="2"/>
  <c r="B116" i="2"/>
  <c r="D100" i="2"/>
  <c r="B98" i="2"/>
  <c r="D97" i="2"/>
  <c r="F95" i="2"/>
  <c r="I92" i="2" s="1"/>
  <c r="D95" i="2"/>
  <c r="B87" i="2"/>
  <c r="F97" i="2" s="1"/>
  <c r="B81" i="2"/>
  <c r="B83" i="2" s="1"/>
  <c r="B80" i="2"/>
  <c r="B79" i="2"/>
  <c r="C76" i="2"/>
  <c r="B69" i="2"/>
  <c r="B68" i="2"/>
  <c r="C56" i="2"/>
  <c r="B55" i="2"/>
  <c r="B45" i="2"/>
  <c r="D48" i="2" s="1"/>
  <c r="F42" i="2"/>
  <c r="D42" i="2"/>
  <c r="B34" i="2"/>
  <c r="F44" i="2" s="1"/>
  <c r="B30" i="2"/>
  <c r="B53" i="1"/>
  <c r="B52" i="1"/>
  <c r="E51" i="1"/>
  <c r="D51" i="1"/>
  <c r="C51" i="1"/>
  <c r="B51" i="1"/>
  <c r="B32" i="1"/>
  <c r="E30" i="1"/>
  <c r="D30" i="1"/>
  <c r="C30" i="1"/>
  <c r="B30" i="1"/>
  <c r="B31" i="1" s="1"/>
  <c r="D101" i="2" l="1"/>
  <c r="E93" i="2" s="1"/>
  <c r="I39" i="2"/>
  <c r="I39" i="4"/>
  <c r="D98" i="2"/>
  <c r="D99" i="2"/>
  <c r="F98" i="2"/>
  <c r="F99" i="2" s="1"/>
  <c r="D49" i="2"/>
  <c r="D44" i="2"/>
  <c r="D45" i="2" s="1"/>
  <c r="G41" i="4"/>
  <c r="E94" i="4"/>
  <c r="D102" i="4"/>
  <c r="G94" i="4"/>
  <c r="C49" i="3"/>
  <c r="D39" i="3"/>
  <c r="D31" i="3"/>
  <c r="D43" i="3"/>
  <c r="D35" i="3"/>
  <c r="D27" i="3"/>
  <c r="D49" i="3"/>
  <c r="D32" i="3"/>
  <c r="D50" i="3"/>
  <c r="D42" i="3"/>
  <c r="D34" i="3"/>
  <c r="D26" i="3"/>
  <c r="D40" i="3"/>
  <c r="C50" i="3"/>
  <c r="D41" i="3"/>
  <c r="D33" i="3"/>
  <c r="D25" i="3"/>
  <c r="B57" i="4"/>
  <c r="B69" i="4" s="1"/>
  <c r="D24" i="3"/>
  <c r="D98" i="4"/>
  <c r="E91" i="4" s="1"/>
  <c r="F98" i="4"/>
  <c r="F99" i="4" s="1"/>
  <c r="E39" i="4"/>
  <c r="G40" i="4"/>
  <c r="D49" i="4"/>
  <c r="G39" i="4"/>
  <c r="F45" i="2"/>
  <c r="F46" i="2" s="1"/>
  <c r="F44" i="4"/>
  <c r="F45" i="4" s="1"/>
  <c r="D44" i="4"/>
  <c r="D45" i="4" s="1"/>
  <c r="E40" i="4" s="1"/>
  <c r="G92" i="2" l="1"/>
  <c r="G94" i="2"/>
  <c r="D102" i="2"/>
  <c r="E92" i="2"/>
  <c r="E91" i="2"/>
  <c r="E94" i="2"/>
  <c r="E95" i="2" s="1"/>
  <c r="G91" i="2"/>
  <c r="G93" i="2"/>
  <c r="G40" i="2"/>
  <c r="E38" i="2"/>
  <c r="E39" i="2"/>
  <c r="G38" i="2"/>
  <c r="G92" i="4"/>
  <c r="D103" i="4" s="1"/>
  <c r="D46" i="2"/>
  <c r="E40" i="2"/>
  <c r="G41" i="2"/>
  <c r="G93" i="4"/>
  <c r="D99" i="4"/>
  <c r="E93" i="4"/>
  <c r="E95" i="4"/>
  <c r="D46" i="4"/>
  <c r="E41" i="4"/>
  <c r="E38" i="4"/>
  <c r="G39" i="2"/>
  <c r="G91" i="4"/>
  <c r="F46" i="4"/>
  <c r="G38" i="4"/>
  <c r="G42" i="4" s="1"/>
  <c r="E41" i="2"/>
  <c r="E92" i="4"/>
  <c r="D103" i="2" l="1"/>
  <c r="E112" i="2" s="1"/>
  <c r="F112" i="2" s="1"/>
  <c r="G95" i="4"/>
  <c r="D105" i="4"/>
  <c r="D105" i="2"/>
  <c r="E42" i="2"/>
  <c r="G95" i="2"/>
  <c r="G42" i="2"/>
  <c r="D50" i="2"/>
  <c r="G62" i="2" s="1"/>
  <c r="H62" i="2" s="1"/>
  <c r="D52" i="2"/>
  <c r="E42" i="4"/>
  <c r="D50" i="4"/>
  <c r="D52" i="4"/>
  <c r="E110" i="4"/>
  <c r="F110" i="4" s="1"/>
  <c r="E111" i="4"/>
  <c r="F111" i="4" s="1"/>
  <c r="E112" i="4"/>
  <c r="F112" i="4" s="1"/>
  <c r="E108" i="4"/>
  <c r="D104" i="4"/>
  <c r="E109" i="4"/>
  <c r="F109" i="4" s="1"/>
  <c r="E113" i="4"/>
  <c r="F113" i="4" s="1"/>
  <c r="E108" i="2" l="1"/>
  <c r="E110" i="2"/>
  <c r="F110" i="2" s="1"/>
  <c r="D104" i="2"/>
  <c r="E111" i="2"/>
  <c r="F111" i="2" s="1"/>
  <c r="E109" i="2"/>
  <c r="F109" i="2" s="1"/>
  <c r="E113" i="2"/>
  <c r="F113" i="2" s="1"/>
  <c r="G64" i="2"/>
  <c r="H64" i="2" s="1"/>
  <c r="G71" i="2"/>
  <c r="H71" i="2" s="1"/>
  <c r="G68" i="2"/>
  <c r="H68" i="2" s="1"/>
  <c r="G60" i="2"/>
  <c r="H60" i="2" s="1"/>
  <c r="G63" i="2"/>
  <c r="H63" i="2" s="1"/>
  <c r="G66" i="2"/>
  <c r="H66" i="2" s="1"/>
  <c r="G67" i="2"/>
  <c r="H67" i="2" s="1"/>
  <c r="G69" i="2"/>
  <c r="H69" i="2" s="1"/>
  <c r="G70" i="2"/>
  <c r="H70" i="2" s="1"/>
  <c r="G65" i="2"/>
  <c r="H65" i="2" s="1"/>
  <c r="D51" i="2"/>
  <c r="G61" i="2"/>
  <c r="H61" i="2" s="1"/>
  <c r="G70" i="4"/>
  <c r="H70" i="4" s="1"/>
  <c r="G67" i="4"/>
  <c r="H67" i="4" s="1"/>
  <c r="G63" i="4"/>
  <c r="H63" i="4" s="1"/>
  <c r="G65" i="4"/>
  <c r="H65" i="4" s="1"/>
  <c r="G61" i="4"/>
  <c r="H61" i="4" s="1"/>
  <c r="G68" i="4"/>
  <c r="H68" i="4" s="1"/>
  <c r="G71" i="4"/>
  <c r="H71" i="4" s="1"/>
  <c r="G64" i="4"/>
  <c r="H64" i="4" s="1"/>
  <c r="G60" i="4"/>
  <c r="G62" i="4"/>
  <c r="H62" i="4" s="1"/>
  <c r="D51" i="4"/>
  <c r="G69" i="4"/>
  <c r="H69" i="4" s="1"/>
  <c r="G66" i="4"/>
  <c r="H66" i="4" s="1"/>
  <c r="E120" i="4"/>
  <c r="E115" i="4"/>
  <c r="E116" i="4" s="1"/>
  <c r="E117" i="4"/>
  <c r="F108" i="4"/>
  <c r="E119" i="4"/>
  <c r="E119" i="2" l="1"/>
  <c r="E117" i="2"/>
  <c r="F108" i="2"/>
  <c r="F120" i="2" s="1"/>
  <c r="E120" i="2"/>
  <c r="E115" i="2"/>
  <c r="E116" i="2" s="1"/>
  <c r="G74" i="2"/>
  <c r="G72" i="2"/>
  <c r="G73" i="2" s="1"/>
  <c r="F115" i="4"/>
  <c r="F119" i="4"/>
  <c r="D125" i="4"/>
  <c r="F120" i="4"/>
  <c r="F117" i="4"/>
  <c r="F125" i="4"/>
  <c r="G74" i="4"/>
  <c r="G72" i="4"/>
  <c r="G73" i="4" s="1"/>
  <c r="H60" i="4"/>
  <c r="F119" i="2"/>
  <c r="H74" i="2"/>
  <c r="H72" i="2"/>
  <c r="D125" i="2" l="1"/>
  <c r="F125" i="2"/>
  <c r="F117" i="2"/>
  <c r="F115" i="2"/>
  <c r="F116" i="2" s="1"/>
  <c r="G124" i="4"/>
  <c r="F116" i="4"/>
  <c r="H74" i="4"/>
  <c r="H72" i="4"/>
  <c r="H73" i="2"/>
  <c r="G76" i="2"/>
  <c r="G124" i="2" l="1"/>
  <c r="G76" i="4"/>
  <c r="H73" i="4"/>
</calcChain>
</file>

<file path=xl/sharedStrings.xml><?xml version="1.0" encoding="utf-8"?>
<sst xmlns="http://schemas.openxmlformats.org/spreadsheetml/2006/main" count="452" uniqueCount="140">
  <si>
    <t>HPLC System Suitability Report</t>
  </si>
  <si>
    <t>Analysis Data</t>
  </si>
  <si>
    <t>Assay</t>
  </si>
  <si>
    <t>Sample(s)</t>
  </si>
  <si>
    <t>Reference Substance:</t>
  </si>
  <si>
    <t>MALITHER LDT 20-120 TABLETS</t>
  </si>
  <si>
    <t>% age Purity:</t>
  </si>
  <si>
    <t>NDQD201601666</t>
  </si>
  <si>
    <t>Weight (mg):</t>
  </si>
  <si>
    <t>Artemether
Lumefantrine</t>
  </si>
  <si>
    <t>Standard Conc (mg/mL):</t>
  </si>
  <si>
    <t>Each dispersible tablet contains: Artemether 20 mg
Lumefantrine 120 mg</t>
  </si>
  <si>
    <t>2016-01-19 10:39:58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</si>
  <si>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</si>
  <si>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</si>
  <si>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</si>
  <si>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</si>
  <si>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</si>
  <si>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</si>
  <si>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</si>
  <si>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</si>
  <si>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</si>
  <si>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</si>
  <si>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</si>
  <si>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</si>
  <si>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</si>
  <si>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</si>
  <si>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</si>
  <si>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</si>
  <si>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</si>
  <si>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</si>
  <si>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</si>
  <si>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</si>
  <si>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</si>
  <si>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</si>
  <si>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</si>
  <si>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</si>
  <si>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</si>
  <si>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</si>
  <si>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</si>
  <si>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</si>
  <si>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</si>
  <si>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</si>
  <si>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</si>
  <si>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</si>
  <si>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</si>
  <si>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</si>
  <si>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</si>
  <si>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</si>
  <si>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</si>
  <si>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</si>
  <si>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</si>
  <si>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</si>
  <si>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</si>
  <si>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</si>
  <si>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</si>
  <si>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</si>
  <si>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</si>
  <si>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</si>
  <si>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</si>
  <si>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</si>
  <si>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</si>
  <si>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</si>
  <si>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</si>
  <si>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</si>
  <si>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</si>
  <si>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</si>
  <si>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</si>
  <si>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</si>
  <si>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</si>
  <si>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</si>
  <si>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</si>
  <si>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</si>
  <si>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</si>
  <si>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</si>
  <si>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</si>
  <si>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</si>
  <si>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</si>
  <si>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</si>
  <si>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</si>
  <si>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</si>
  <si>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</si>
  <si>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</si>
  <si>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</si>
  <si>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</si>
  <si>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</si>
  <si>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</si>
  <si>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</si>
  <si>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</si>
  <si>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</si>
  <si>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</si>
  <si>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</si>
  <si>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</si>
  <si>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</si>
  <si>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</si>
  <si>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</si>
  <si>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</si>
  <si>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</si>
  <si>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</si>
  <si>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</si>
  <si>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</si>
  <si>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</si>
  <si>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</si>
  <si>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</si>
  <si>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</si>
  <si>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</si>
  <si>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</si>
  <si>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</si>
  <si>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</si>
  <si>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</si>
  <si>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</si>
  <si>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</si>
  <si>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</si>
  <si>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</si>
  <si>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</si>
  <si>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</si>
  <si>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</si>
  <si>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</si>
  <si>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</si>
  <si>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</si>
  <si>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</si>
  <si>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</si>
  <si>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</si>
  <si>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</si>
  <si>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</si>
  <si>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</si>
  <si>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</si>
  <si>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</si>
  <si>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</si>
  <si>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</si>
  <si>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</si>
  <si>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Each Tablet contains</t>
  </si>
  <si>
    <t>Average Tablet Content Weight (mg):</t>
  </si>
  <si>
    <t>A5 5</t>
  </si>
  <si>
    <t>Artemether</t>
  </si>
  <si>
    <t>Lumefantrine</t>
  </si>
  <si>
    <t>L1 0</t>
  </si>
  <si>
    <t>Each dispersible tablet contains: Lumefantrine 120 mg
Lumefantrine 120 mg</t>
  </si>
  <si>
    <t>Bugigi</t>
  </si>
  <si>
    <t>7-12-2016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</si>
</sst>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1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2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5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3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5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5" fillId="2" borderId="0" xfId="0" applyFont="1" applyFill="1"/>
    <xf numFmtId="0" fontId="26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3" fillId="2" borderId="54" xfId="0" applyFont="1" applyFill="1" applyBorder="1" applyAlignment="1">
      <alignment horizontal="center" wrapText="1"/>
    </xf>
    <xf numFmtId="0" fontId="23" fillId="2" borderId="55" xfId="0" applyFont="1" applyFill="1" applyBorder="1" applyAlignment="1">
      <alignment horizontal="center" wrapText="1"/>
    </xf>
    <xf numFmtId="0" fontId="23" fillId="2" borderId="56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G60" sqref="G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3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f>Artemether!B28</f>
        <v>99.65</v>
      </c>
      <c r="C19" s="10"/>
      <c r="D19" s="10"/>
      <c r="E19" s="10"/>
    </row>
    <row r="20" spans="1:6" ht="16.5" customHeight="1" x14ac:dyDescent="0.3">
      <c r="A20" s="7" t="s">
        <v>8</v>
      </c>
      <c r="B20" s="12">
        <f>Artemether!D43</f>
        <v>10.43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0.20860000000000001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255301</v>
      </c>
      <c r="C24" s="18">
        <v>10867.4</v>
      </c>
      <c r="D24" s="19">
        <v>1</v>
      </c>
      <c r="E24" s="20">
        <v>4.5999999999999996</v>
      </c>
    </row>
    <row r="25" spans="1:6" ht="16.5" customHeight="1" x14ac:dyDescent="0.3">
      <c r="A25" s="17">
        <v>2</v>
      </c>
      <c r="B25" s="18">
        <v>255533</v>
      </c>
      <c r="C25" s="18">
        <v>10847.4</v>
      </c>
      <c r="D25" s="19">
        <v>1</v>
      </c>
      <c r="E25" s="19">
        <v>4.5999999999999996</v>
      </c>
    </row>
    <row r="26" spans="1:6" ht="16.5" customHeight="1" x14ac:dyDescent="0.3">
      <c r="A26" s="17">
        <v>3</v>
      </c>
      <c r="B26" s="18">
        <v>255341</v>
      </c>
      <c r="C26" s="18">
        <v>10846.7</v>
      </c>
      <c r="D26" s="19">
        <v>1</v>
      </c>
      <c r="E26" s="19">
        <v>4.5999999999999996</v>
      </c>
    </row>
    <row r="27" spans="1:6" ht="16.5" customHeight="1" x14ac:dyDescent="0.3">
      <c r="A27" s="17">
        <v>4</v>
      </c>
      <c r="B27" s="18">
        <v>255490</v>
      </c>
      <c r="C27" s="18">
        <v>10900.9</v>
      </c>
      <c r="D27" s="19">
        <v>1</v>
      </c>
      <c r="E27" s="19">
        <v>4.5999999999999996</v>
      </c>
    </row>
    <row r="28" spans="1:6" ht="16.5" customHeight="1" x14ac:dyDescent="0.3">
      <c r="A28" s="17">
        <v>5</v>
      </c>
      <c r="B28" s="18">
        <v>255554</v>
      </c>
      <c r="C28" s="18">
        <v>10863.7</v>
      </c>
      <c r="D28" s="19">
        <v>1</v>
      </c>
      <c r="E28" s="19">
        <v>4.5999999999999996</v>
      </c>
    </row>
    <row r="29" spans="1:6" ht="16.5" customHeight="1" x14ac:dyDescent="0.3">
      <c r="A29" s="17">
        <v>6</v>
      </c>
      <c r="B29" s="21">
        <v>255943</v>
      </c>
      <c r="C29" s="21">
        <v>10884.8</v>
      </c>
      <c r="D29" s="22">
        <v>1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255527</v>
      </c>
      <c r="C30" s="25">
        <f>AVERAGE(C24:C29)</f>
        <v>10868.483333333335</v>
      </c>
      <c r="D30" s="26">
        <f>AVERAGE(D24:D29)</f>
        <v>1</v>
      </c>
      <c r="E30" s="26">
        <f>AVERAGE(E24:E29)</f>
        <v>4.6166666666666663</v>
      </c>
    </row>
    <row r="31" spans="1:6" ht="16.5" customHeight="1" x14ac:dyDescent="0.3">
      <c r="A31" s="27" t="s">
        <v>19</v>
      </c>
      <c r="B31" s="28">
        <f>(STDEV(B24:B29)/B30)</f>
        <v>8.9388903806899287E-4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tr">
        <f>B18</f>
        <v>Artemether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99.65</v>
      </c>
      <c r="C40" s="10"/>
      <c r="D40" s="10"/>
      <c r="E40" s="10"/>
    </row>
    <row r="41" spans="1:6" ht="16.5" customHeight="1" x14ac:dyDescent="0.3">
      <c r="A41" s="7" t="s">
        <v>8</v>
      </c>
      <c r="B41" s="12">
        <f>Artemether!D96</f>
        <v>0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74" t="s">
        <v>138</v>
      </c>
      <c r="C60" s="48"/>
      <c r="E60" s="474" t="s">
        <v>139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6" zoomScale="55" zoomScaleNormal="40" zoomScalePageLayoutView="55" workbookViewId="0">
      <selection activeCell="B128" sqref="B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31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32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52"/>
    </row>
    <row r="16" spans="1:9" ht="19.5" customHeight="1" x14ac:dyDescent="0.3">
      <c r="A16" s="510" t="s">
        <v>33</v>
      </c>
      <c r="B16" s="511"/>
      <c r="C16" s="511"/>
      <c r="D16" s="511"/>
      <c r="E16" s="511"/>
      <c r="F16" s="511"/>
      <c r="G16" s="511"/>
      <c r="H16" s="512"/>
    </row>
    <row r="17" spans="1:14" ht="20.25" customHeight="1" x14ac:dyDescent="0.25">
      <c r="A17" s="513" t="s">
        <v>34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4">
      <c r="A18" s="54" t="s">
        <v>35</v>
      </c>
      <c r="B18" s="509" t="s">
        <v>5</v>
      </c>
      <c r="C18" s="509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514" t="s">
        <v>134</v>
      </c>
      <c r="C20" s="514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514" t="s">
        <v>11</v>
      </c>
      <c r="C21" s="514"/>
      <c r="D21" s="514"/>
      <c r="E21" s="514"/>
      <c r="F21" s="514"/>
      <c r="G21" s="514"/>
      <c r="H21" s="514"/>
      <c r="I21" s="58"/>
    </row>
    <row r="22" spans="1:14" ht="26.25" customHeight="1" x14ac:dyDescent="0.4">
      <c r="A22" s="54" t="s">
        <v>39</v>
      </c>
      <c r="B22" s="59"/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509" t="s">
        <v>134</v>
      </c>
      <c r="C26" s="509"/>
    </row>
    <row r="27" spans="1:14" ht="26.25" customHeight="1" x14ac:dyDescent="0.4">
      <c r="A27" s="63" t="s">
        <v>41</v>
      </c>
      <c r="B27" s="515" t="s">
        <v>133</v>
      </c>
      <c r="C27" s="515"/>
    </row>
    <row r="28" spans="1:14" ht="27" customHeight="1" x14ac:dyDescent="0.4">
      <c r="A28" s="63" t="s">
        <v>6</v>
      </c>
      <c r="B28" s="64">
        <v>99.65</v>
      </c>
    </row>
    <row r="29" spans="1:14" s="14" customFormat="1" ht="27" customHeight="1" x14ac:dyDescent="0.4">
      <c r="A29" s="63" t="s">
        <v>42</v>
      </c>
      <c r="B29" s="65">
        <v>0</v>
      </c>
      <c r="C29" s="485" t="s">
        <v>43</v>
      </c>
      <c r="D29" s="486"/>
      <c r="E29" s="486"/>
      <c r="F29" s="486"/>
      <c r="G29" s="487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99.65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88" t="s">
        <v>46</v>
      </c>
      <c r="D31" s="489"/>
      <c r="E31" s="489"/>
      <c r="F31" s="489"/>
      <c r="G31" s="489"/>
      <c r="H31" s="490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88" t="s">
        <v>48</v>
      </c>
      <c r="D32" s="489"/>
      <c r="E32" s="489"/>
      <c r="F32" s="489"/>
      <c r="G32" s="489"/>
      <c r="H32" s="490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50</v>
      </c>
      <c r="C36" s="53"/>
      <c r="D36" s="491" t="s">
        <v>52</v>
      </c>
      <c r="E36" s="516"/>
      <c r="F36" s="491" t="s">
        <v>53</v>
      </c>
      <c r="G36" s="492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</v>
      </c>
      <c r="C38" s="85">
        <v>1</v>
      </c>
      <c r="D38" s="86">
        <v>255750</v>
      </c>
      <c r="E38" s="87">
        <f>IF(ISBLANK(D38),"-",$D$48/$D$45*D38)</f>
        <v>24606.737194754987</v>
      </c>
      <c r="F38" s="86">
        <v>249822</v>
      </c>
      <c r="G38" s="88">
        <f>IF(ISBLANK(F38),"-",$D$48/$F$45*F38)</f>
        <v>25477.58618579663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257291</v>
      </c>
      <c r="E39" s="92">
        <f>IF(ISBLANK(D39),"-",$D$48/$D$45*D39)</f>
        <v>24755.003009093667</v>
      </c>
      <c r="F39" s="91">
        <v>250058</v>
      </c>
      <c r="G39" s="93">
        <f>IF(ISBLANK(F39),"-",$D$48/$F$45*F39)</f>
        <v>25501.654163556188</v>
      </c>
      <c r="I39" s="493">
        <f>ABS((F43/D43*D42)-F42)/D42</f>
        <v>3.1560061091071193E-2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256967</v>
      </c>
      <c r="E40" s="92">
        <f>IF(ISBLANK(D40),"-",$D$48/$D$45*D40)</f>
        <v>24723.829664612338</v>
      </c>
      <c r="F40" s="91">
        <v>250872</v>
      </c>
      <c r="G40" s="93">
        <f>IF(ISBLANK(F40),"-",$D$48/$F$45*F40)</f>
        <v>25584.668290235335</v>
      </c>
      <c r="I40" s="493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256669.33333333334</v>
      </c>
      <c r="E42" s="102">
        <f>AVERAGE(E38:E41)</f>
        <v>24695.189956153667</v>
      </c>
      <c r="F42" s="101">
        <f>AVERAGE(F38:F41)</f>
        <v>250250.66666666666</v>
      </c>
      <c r="G42" s="103">
        <f>AVERAGE(G38:G41)</f>
        <v>25521.30287986272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10.43</v>
      </c>
      <c r="E43" s="94"/>
      <c r="F43" s="106">
        <v>9.84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10.43</v>
      </c>
      <c r="E44" s="109"/>
      <c r="F44" s="108">
        <f>F43*$B$34</f>
        <v>9.84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50</v>
      </c>
      <c r="C45" s="107" t="s">
        <v>70</v>
      </c>
      <c r="D45" s="111">
        <f>D44*$B$30/100</f>
        <v>10.393495</v>
      </c>
      <c r="E45" s="112"/>
      <c r="F45" s="111">
        <f>F44*$B$30/100</f>
        <v>9.8055599999999998</v>
      </c>
      <c r="H45" s="104"/>
    </row>
    <row r="46" spans="1:14" ht="19.5" customHeight="1" x14ac:dyDescent="0.3">
      <c r="A46" s="479" t="s">
        <v>71</v>
      </c>
      <c r="B46" s="480"/>
      <c r="C46" s="107" t="s">
        <v>72</v>
      </c>
      <c r="D46" s="113">
        <f>D45/$B$45</f>
        <v>0.2078699</v>
      </c>
      <c r="E46" s="114"/>
      <c r="F46" s="115">
        <f>F45/$B$45</f>
        <v>0.19611119999999999</v>
      </c>
      <c r="H46" s="104"/>
    </row>
    <row r="47" spans="1:14" ht="27" customHeight="1" x14ac:dyDescent="0.4">
      <c r="A47" s="481"/>
      <c r="B47" s="482"/>
      <c r="C47" s="116" t="s">
        <v>73</v>
      </c>
      <c r="D47" s="117">
        <v>0.02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1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1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25108.246418008192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1.8183604498965542E-2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dispersible tablet contains: Artemether 20 mg
Lumefantrine 120 mg</v>
      </c>
    </row>
    <row r="56" spans="1:12" ht="26.25" customHeight="1" x14ac:dyDescent="0.4">
      <c r="A56" s="131" t="s">
        <v>80</v>
      </c>
      <c r="B56" s="132">
        <v>20</v>
      </c>
      <c r="C56" s="53" t="str">
        <f>B20</f>
        <v>Artemether</v>
      </c>
      <c r="H56" s="133"/>
    </row>
    <row r="57" spans="1:12" ht="18.75" x14ac:dyDescent="0.3">
      <c r="A57" s="130" t="s">
        <v>81</v>
      </c>
      <c r="B57" s="201">
        <f>Uniformity!C46</f>
        <v>264.55450000000002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100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</v>
      </c>
      <c r="C60" s="496" t="s">
        <v>87</v>
      </c>
      <c r="D60" s="499">
        <v>265.58999999999997</v>
      </c>
      <c r="E60" s="136">
        <v>1</v>
      </c>
      <c r="F60" s="137">
        <v>230377</v>
      </c>
      <c r="G60" s="202">
        <f>IF(ISBLANK(F60),"-",(F60/$D$50*$D$47*$B$68)*($B$57/$D$60))</f>
        <v>18.279157132025855</v>
      </c>
      <c r="H60" s="220">
        <f t="shared" ref="H60:H71" si="0">IF(ISBLANK(F60),"-",(G60/$B$56)*100)</f>
        <v>91.395785660129263</v>
      </c>
      <c r="L60" s="66"/>
    </row>
    <row r="61" spans="1:12" s="14" customFormat="1" ht="26.25" customHeight="1" x14ac:dyDescent="0.4">
      <c r="A61" s="78" t="s">
        <v>88</v>
      </c>
      <c r="B61" s="79">
        <v>1</v>
      </c>
      <c r="C61" s="497"/>
      <c r="D61" s="500"/>
      <c r="E61" s="138">
        <v>2</v>
      </c>
      <c r="F61" s="91">
        <v>230212</v>
      </c>
      <c r="G61" s="203">
        <f>IF(ISBLANK(F61),"-",(F61/$D$50*$D$47*$B$68)*($B$57/$D$60))</f>
        <v>18.266065282896886</v>
      </c>
      <c r="H61" s="221">
        <f t="shared" si="0"/>
        <v>91.330326414484432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97"/>
      <c r="D62" s="500"/>
      <c r="E62" s="138">
        <v>3</v>
      </c>
      <c r="F62" s="139">
        <v>229137</v>
      </c>
      <c r="G62" s="203">
        <f>IF(ISBLANK(F62),"-",(F62/$D$50*$D$47*$B$68)*($B$57/$D$60))</f>
        <v>18.180769902208159</v>
      </c>
      <c r="H62" s="221">
        <f t="shared" si="0"/>
        <v>90.903849511040789</v>
      </c>
      <c r="L62" s="66"/>
    </row>
    <row r="63" spans="1:12" ht="27" customHeight="1" x14ac:dyDescent="0.4">
      <c r="A63" s="78" t="s">
        <v>90</v>
      </c>
      <c r="B63" s="79">
        <v>1</v>
      </c>
      <c r="C63" s="506"/>
      <c r="D63" s="501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96" t="s">
        <v>92</v>
      </c>
      <c r="D64" s="499">
        <v>264.74</v>
      </c>
      <c r="E64" s="136">
        <v>1</v>
      </c>
      <c r="F64" s="137">
        <v>231664</v>
      </c>
      <c r="G64" s="202">
        <f>IF(ISBLANK(F64),"-",(F64/$D$50*$D$47*$B$68)*($B$57/$D$64))</f>
        <v>18.440290260383829</v>
      </c>
      <c r="H64" s="220">
        <f t="shared" si="0"/>
        <v>92.20145130191915</v>
      </c>
    </row>
    <row r="65" spans="1:8" ht="26.25" customHeight="1" x14ac:dyDescent="0.4">
      <c r="A65" s="78" t="s">
        <v>93</v>
      </c>
      <c r="B65" s="79">
        <v>1</v>
      </c>
      <c r="C65" s="497"/>
      <c r="D65" s="500"/>
      <c r="E65" s="138">
        <v>2</v>
      </c>
      <c r="F65" s="91">
        <v>231530</v>
      </c>
      <c r="G65" s="203">
        <f>IF(ISBLANK(F65),"-",(F65/$D$50*$D$47*$B$68)*($B$57/$D$64))</f>
        <v>18.429623955326107</v>
      </c>
      <c r="H65" s="221">
        <f t="shared" si="0"/>
        <v>92.148119776630537</v>
      </c>
    </row>
    <row r="66" spans="1:8" ht="26.25" customHeight="1" x14ac:dyDescent="0.4">
      <c r="A66" s="78" t="s">
        <v>94</v>
      </c>
      <c r="B66" s="79">
        <v>1</v>
      </c>
      <c r="C66" s="497"/>
      <c r="D66" s="500"/>
      <c r="E66" s="138">
        <v>3</v>
      </c>
      <c r="F66" s="91">
        <v>230730</v>
      </c>
      <c r="G66" s="203">
        <f>IF(ISBLANK(F66),"-",(F66/$D$50*$D$47*$B$68)*($B$57/$D$64))</f>
        <v>18.3659445221457</v>
      </c>
      <c r="H66" s="221">
        <f t="shared" si="0"/>
        <v>91.82972261072851</v>
      </c>
    </row>
    <row r="67" spans="1:8" ht="27" customHeight="1" x14ac:dyDescent="0.4">
      <c r="A67" s="78" t="s">
        <v>95</v>
      </c>
      <c r="B67" s="79">
        <v>1</v>
      </c>
      <c r="C67" s="506"/>
      <c r="D67" s="501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96</v>
      </c>
      <c r="B68" s="142">
        <f>(B67/B66)*(B65/B64)*(B63/B62)*(B61/B60)*B59</f>
        <v>100</v>
      </c>
      <c r="C68" s="496" t="s">
        <v>97</v>
      </c>
      <c r="D68" s="499">
        <v>265.74</v>
      </c>
      <c r="E68" s="136">
        <v>1</v>
      </c>
      <c r="F68" s="137">
        <v>232768</v>
      </c>
      <c r="G68" s="202">
        <f>IF(ISBLANK(F68),"-",(F68/$D$50*$D$47*$B$68)*($B$57/$D$68))</f>
        <v>18.458444961494195</v>
      </c>
      <c r="H68" s="221">
        <f t="shared" si="0"/>
        <v>92.292224807470973</v>
      </c>
    </row>
    <row r="69" spans="1:8" ht="27" customHeight="1" x14ac:dyDescent="0.4">
      <c r="A69" s="126" t="s">
        <v>98</v>
      </c>
      <c r="B69" s="143">
        <f>(D47*B68)/B56*B57</f>
        <v>26.455450000000003</v>
      </c>
      <c r="C69" s="497"/>
      <c r="D69" s="500"/>
      <c r="E69" s="138">
        <v>2</v>
      </c>
      <c r="F69" s="91">
        <v>233304</v>
      </c>
      <c r="G69" s="203">
        <f>IF(ISBLANK(F69),"-",(F69/$D$50*$D$47*$B$68)*($B$57/$D$68))</f>
        <v>18.500949629229279</v>
      </c>
      <c r="H69" s="221">
        <f t="shared" si="0"/>
        <v>92.504748146146397</v>
      </c>
    </row>
    <row r="70" spans="1:8" ht="26.25" customHeight="1" x14ac:dyDescent="0.4">
      <c r="A70" s="502" t="s">
        <v>71</v>
      </c>
      <c r="B70" s="503"/>
      <c r="C70" s="497"/>
      <c r="D70" s="500"/>
      <c r="E70" s="138">
        <v>3</v>
      </c>
      <c r="F70" s="91">
        <v>233118</v>
      </c>
      <c r="G70" s="203">
        <f>IF(ISBLANK(F70),"-",(F70/$D$50*$D$47*$B$68)*($B$57/$D$68))</f>
        <v>18.486199875127177</v>
      </c>
      <c r="H70" s="221">
        <f t="shared" si="0"/>
        <v>92.430999375635878</v>
      </c>
    </row>
    <row r="71" spans="1:8" ht="27" customHeight="1" x14ac:dyDescent="0.4">
      <c r="A71" s="504"/>
      <c r="B71" s="505"/>
      <c r="C71" s="498"/>
      <c r="D71" s="501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64</v>
      </c>
      <c r="G72" s="208">
        <f>AVERAGE(G60:G71)</f>
        <v>18.378605057870796</v>
      </c>
      <c r="H72" s="223">
        <f>AVERAGE(H60:H71)</f>
        <v>91.893025289354</v>
      </c>
    </row>
    <row r="73" spans="1:8" ht="26.25" customHeight="1" x14ac:dyDescent="0.4">
      <c r="C73" s="144"/>
      <c r="D73" s="144"/>
      <c r="E73" s="144"/>
      <c r="F73" s="147" t="s">
        <v>77</v>
      </c>
      <c r="G73" s="207">
        <f>STDEV(G60:G71)/G72</f>
        <v>6.1191731053680167E-3</v>
      </c>
      <c r="H73" s="207">
        <f>STDEV(H60:H71)/H72</f>
        <v>6.119173105368028E-3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20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99</v>
      </c>
      <c r="B76" s="151" t="s">
        <v>100</v>
      </c>
      <c r="C76" s="483" t="str">
        <f>B26</f>
        <v>Artemether</v>
      </c>
      <c r="D76" s="483"/>
      <c r="E76" s="152" t="s">
        <v>101</v>
      </c>
      <c r="F76" s="152"/>
      <c r="G76" s="153">
        <f>H72</f>
        <v>91.893025289354</v>
      </c>
      <c r="H76" s="154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517" t="str">
        <f>B26</f>
        <v>Artemether</v>
      </c>
      <c r="C79" s="517"/>
    </row>
    <row r="80" spans="1:8" ht="26.25" customHeight="1" x14ac:dyDescent="0.4">
      <c r="A80" s="63" t="s">
        <v>41</v>
      </c>
      <c r="B80" s="517" t="str">
        <f>B27</f>
        <v>A5 5</v>
      </c>
      <c r="C80" s="517"/>
    </row>
    <row r="81" spans="1:12" ht="27" customHeight="1" x14ac:dyDescent="0.4">
      <c r="A81" s="63" t="s">
        <v>6</v>
      </c>
      <c r="B81" s="155">
        <f>B28</f>
        <v>99.65</v>
      </c>
    </row>
    <row r="82" spans="1:12" s="14" customFormat="1" ht="27" customHeight="1" x14ac:dyDescent="0.4">
      <c r="A82" s="63" t="s">
        <v>42</v>
      </c>
      <c r="B82" s="65">
        <v>0</v>
      </c>
      <c r="C82" s="485" t="s">
        <v>43</v>
      </c>
      <c r="D82" s="486"/>
      <c r="E82" s="486"/>
      <c r="F82" s="486"/>
      <c r="G82" s="487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99.65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88" t="s">
        <v>104</v>
      </c>
      <c r="D84" s="489"/>
      <c r="E84" s="489"/>
      <c r="F84" s="489"/>
      <c r="G84" s="489"/>
      <c r="H84" s="490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88" t="s">
        <v>105</v>
      </c>
      <c r="D85" s="489"/>
      <c r="E85" s="489"/>
      <c r="F85" s="489"/>
      <c r="G85" s="489"/>
      <c r="H85" s="490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1</v>
      </c>
      <c r="D89" s="156" t="s">
        <v>52</v>
      </c>
      <c r="E89" s="157"/>
      <c r="F89" s="491" t="s">
        <v>53</v>
      </c>
      <c r="G89" s="492"/>
    </row>
    <row r="90" spans="1:12" ht="27" customHeight="1" x14ac:dyDescent="0.4">
      <c r="A90" s="78" t="s">
        <v>54</v>
      </c>
      <c r="B90" s="79">
        <v>1</v>
      </c>
      <c r="C90" s="158" t="s">
        <v>55</v>
      </c>
      <c r="D90" s="81" t="s">
        <v>56</v>
      </c>
      <c r="E90" s="82" t="s">
        <v>57</v>
      </c>
      <c r="F90" s="81" t="s">
        <v>56</v>
      </c>
      <c r="G90" s="159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1</v>
      </c>
      <c r="C91" s="160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60</v>
      </c>
      <c r="B92" s="79">
        <v>1</v>
      </c>
      <c r="C92" s="145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493" t="e">
        <f>ABS((F96/D96*D95)-F95)/D95</f>
        <v>#DIV/0!</v>
      </c>
    </row>
    <row r="93" spans="1:12" ht="26.25" customHeight="1" x14ac:dyDescent="0.4">
      <c r="A93" s="78" t="s">
        <v>61</v>
      </c>
      <c r="B93" s="79">
        <v>1</v>
      </c>
      <c r="C93" s="145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493"/>
    </row>
    <row r="94" spans="1:12" ht="27" customHeight="1" x14ac:dyDescent="0.4">
      <c r="A94" s="78" t="s">
        <v>62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3" t="s">
        <v>64</v>
      </c>
      <c r="D95" s="164" t="e">
        <f>AVERAGE(D91:D94)</f>
        <v>#DIV/0!</v>
      </c>
      <c r="E95" s="102" t="e">
        <f>AVERAGE(E91:E94)</f>
        <v>#DIV/0!</v>
      </c>
      <c r="F95" s="165" t="e">
        <f>AVERAGE(F91:F94)</f>
        <v>#DIV/0!</v>
      </c>
      <c r="G95" s="166" t="e">
        <f>AVERAGE(G91:G94)</f>
        <v>#DIV/0!</v>
      </c>
    </row>
    <row r="96" spans="1:12" ht="26.25" customHeight="1" x14ac:dyDescent="0.4">
      <c r="A96" s="78" t="s">
        <v>65</v>
      </c>
      <c r="B96" s="64">
        <v>1</v>
      </c>
      <c r="C96" s="167" t="s">
        <v>106</v>
      </c>
      <c r="D96" s="168"/>
      <c r="E96" s="94"/>
      <c r="F96" s="106"/>
    </row>
    <row r="97" spans="1:10" ht="26.25" customHeight="1" x14ac:dyDescent="0.4">
      <c r="A97" s="78" t="s">
        <v>67</v>
      </c>
      <c r="B97" s="64">
        <v>1</v>
      </c>
      <c r="C97" s="169" t="s">
        <v>107</v>
      </c>
      <c r="D97" s="170">
        <f>D96*$B$87</f>
        <v>0</v>
      </c>
      <c r="E97" s="109"/>
      <c r="F97" s="108">
        <f>F96*$B$87</f>
        <v>0</v>
      </c>
    </row>
    <row r="98" spans="1:10" ht="19.5" customHeight="1" x14ac:dyDescent="0.3">
      <c r="A98" s="78" t="s">
        <v>69</v>
      </c>
      <c r="B98" s="171">
        <f>(B97/B96)*(B95/B94)*(B93/B92)*(B91/B90)*B89</f>
        <v>1</v>
      </c>
      <c r="C98" s="169" t="s">
        <v>108</v>
      </c>
      <c r="D98" s="172">
        <f>D97*$B$83/100</f>
        <v>0</v>
      </c>
      <c r="E98" s="112"/>
      <c r="F98" s="111">
        <f>F97*$B$83/100</f>
        <v>0</v>
      </c>
    </row>
    <row r="99" spans="1:10" ht="19.5" customHeight="1" x14ac:dyDescent="0.3">
      <c r="A99" s="479" t="s">
        <v>71</v>
      </c>
      <c r="B99" s="494"/>
      <c r="C99" s="169" t="s">
        <v>109</v>
      </c>
      <c r="D99" s="173">
        <f>D98/$B$98</f>
        <v>0</v>
      </c>
      <c r="E99" s="112"/>
      <c r="F99" s="115">
        <f>F98/$B$98</f>
        <v>0</v>
      </c>
      <c r="G99" s="174"/>
      <c r="H99" s="104"/>
    </row>
    <row r="100" spans="1:10" ht="19.5" customHeight="1" x14ac:dyDescent="0.3">
      <c r="A100" s="481"/>
      <c r="B100" s="495"/>
      <c r="C100" s="169" t="s">
        <v>73</v>
      </c>
      <c r="D100" s="175">
        <f>$B$56/$B$116</f>
        <v>20</v>
      </c>
      <c r="F100" s="120"/>
      <c r="G100" s="176"/>
      <c r="H100" s="104"/>
    </row>
    <row r="101" spans="1:10" ht="18.75" x14ac:dyDescent="0.3">
      <c r="C101" s="169" t="s">
        <v>74</v>
      </c>
      <c r="D101" s="170">
        <f>D100*$B$98</f>
        <v>20</v>
      </c>
      <c r="F101" s="120"/>
      <c r="G101" s="174"/>
      <c r="H101" s="104"/>
    </row>
    <row r="102" spans="1:10" ht="19.5" customHeight="1" x14ac:dyDescent="0.3">
      <c r="C102" s="177" t="s">
        <v>75</v>
      </c>
      <c r="D102" s="178">
        <f>D101/B34</f>
        <v>20</v>
      </c>
      <c r="F102" s="124"/>
      <c r="G102" s="174"/>
      <c r="H102" s="104"/>
      <c r="J102" s="179"/>
    </row>
    <row r="103" spans="1:10" ht="18.75" x14ac:dyDescent="0.3">
      <c r="C103" s="180" t="s">
        <v>110</v>
      </c>
      <c r="D103" s="181" t="e">
        <f>AVERAGE(E91:E94,G91:G94)</f>
        <v>#DIV/0!</v>
      </c>
      <c r="F103" s="124"/>
      <c r="G103" s="182"/>
      <c r="H103" s="104"/>
      <c r="J103" s="183"/>
    </row>
    <row r="104" spans="1:10" ht="18.75" x14ac:dyDescent="0.3">
      <c r="C104" s="147" t="s">
        <v>77</v>
      </c>
      <c r="D104" s="184" t="e">
        <f>STDEV(E91:E94,G91:G94)/D103</f>
        <v>#DIV/0!</v>
      </c>
      <c r="F104" s="124"/>
      <c r="G104" s="174"/>
      <c r="H104" s="104"/>
      <c r="J104" s="183"/>
    </row>
    <row r="105" spans="1:10" ht="19.5" customHeight="1" x14ac:dyDescent="0.3">
      <c r="C105" s="149" t="s">
        <v>20</v>
      </c>
      <c r="D105" s="185">
        <f>COUNT(E91:E94,G91:G94)</f>
        <v>0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111</v>
      </c>
      <c r="B107" s="77">
        <v>1</v>
      </c>
      <c r="C107" s="224" t="s">
        <v>112</v>
      </c>
      <c r="D107" s="224" t="s">
        <v>56</v>
      </c>
      <c r="E107" s="224" t="s">
        <v>113</v>
      </c>
      <c r="F107" s="186" t="s">
        <v>114</v>
      </c>
    </row>
    <row r="108" spans="1:10" ht="26.25" customHeight="1" x14ac:dyDescent="0.4">
      <c r="A108" s="78" t="s">
        <v>115</v>
      </c>
      <c r="B108" s="79">
        <v>1</v>
      </c>
      <c r="C108" s="229">
        <v>1</v>
      </c>
      <c r="D108" s="230"/>
      <c r="E108" s="204" t="str">
        <f t="shared" ref="E108:E113" si="1">IF(ISBLANK(D108),"-",D108/$D$103*$D$100*$B$116)</f>
        <v>-</v>
      </c>
      <c r="F108" s="231" t="str">
        <f t="shared" ref="F108:F113" si="2">IF(ISBLANK(D108), "-", (E108/$B$56)*100)</f>
        <v>-</v>
      </c>
    </row>
    <row r="109" spans="1:10" ht="26.25" customHeight="1" x14ac:dyDescent="0.4">
      <c r="A109" s="78" t="s">
        <v>88</v>
      </c>
      <c r="B109" s="79">
        <v>1</v>
      </c>
      <c r="C109" s="225">
        <v>2</v>
      </c>
      <c r="D109" s="227"/>
      <c r="E109" s="205" t="str">
        <f t="shared" si="1"/>
        <v>-</v>
      </c>
      <c r="F109" s="232" t="str">
        <f t="shared" si="2"/>
        <v>-</v>
      </c>
    </row>
    <row r="110" spans="1:10" ht="26.25" customHeight="1" x14ac:dyDescent="0.4">
      <c r="A110" s="78" t="s">
        <v>89</v>
      </c>
      <c r="B110" s="79">
        <v>1</v>
      </c>
      <c r="C110" s="225">
        <v>3</v>
      </c>
      <c r="D110" s="227"/>
      <c r="E110" s="205" t="str">
        <f t="shared" si="1"/>
        <v>-</v>
      </c>
      <c r="F110" s="232" t="str">
        <f t="shared" si="2"/>
        <v>-</v>
      </c>
    </row>
    <row r="111" spans="1:10" ht="26.25" customHeight="1" x14ac:dyDescent="0.4">
      <c r="A111" s="78" t="s">
        <v>90</v>
      </c>
      <c r="B111" s="79">
        <v>1</v>
      </c>
      <c r="C111" s="225">
        <v>4</v>
      </c>
      <c r="D111" s="227"/>
      <c r="E111" s="205" t="str">
        <f t="shared" si="1"/>
        <v>-</v>
      </c>
      <c r="F111" s="232" t="str">
        <f t="shared" si="2"/>
        <v>-</v>
      </c>
    </row>
    <row r="112" spans="1:10" ht="26.25" customHeight="1" x14ac:dyDescent="0.4">
      <c r="A112" s="78" t="s">
        <v>91</v>
      </c>
      <c r="B112" s="79">
        <v>1</v>
      </c>
      <c r="C112" s="225">
        <v>5</v>
      </c>
      <c r="D112" s="227"/>
      <c r="E112" s="205" t="str">
        <f t="shared" si="1"/>
        <v>-</v>
      </c>
      <c r="F112" s="232" t="str">
        <f t="shared" si="2"/>
        <v>-</v>
      </c>
    </row>
    <row r="113" spans="1:10" ht="27" customHeight="1" x14ac:dyDescent="0.4">
      <c r="A113" s="78" t="s">
        <v>93</v>
      </c>
      <c r="B113" s="79">
        <v>1</v>
      </c>
      <c r="C113" s="226">
        <v>6</v>
      </c>
      <c r="D113" s="228"/>
      <c r="E113" s="206" t="str">
        <f t="shared" si="1"/>
        <v>-</v>
      </c>
      <c r="F113" s="233" t="str">
        <f t="shared" si="2"/>
        <v>-</v>
      </c>
    </row>
    <row r="114" spans="1:10" ht="27" customHeight="1" x14ac:dyDescent="0.4">
      <c r="A114" s="78" t="s">
        <v>94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95</v>
      </c>
      <c r="B115" s="79">
        <v>1</v>
      </c>
      <c r="C115" s="187"/>
      <c r="D115" s="211" t="s">
        <v>64</v>
      </c>
      <c r="E115" s="213" t="e">
        <f>AVERAGE(E108:E113)</f>
        <v>#DIV/0!</v>
      </c>
      <c r="F115" s="235" t="e">
        <f>AVERAGE(F108:F113)</f>
        <v>#DIV/0!</v>
      </c>
    </row>
    <row r="116" spans="1:10" ht="27" customHeight="1" x14ac:dyDescent="0.4">
      <c r="A116" s="78" t="s">
        <v>96</v>
      </c>
      <c r="B116" s="110">
        <f>(B115/B114)*(B113/B112)*(B111/B110)*(B109/B108)*B107</f>
        <v>1</v>
      </c>
      <c r="C116" s="188"/>
      <c r="D116" s="212" t="s">
        <v>77</v>
      </c>
      <c r="E116" s="210" t="e">
        <f>STDEV(E108:E113)/E115</f>
        <v>#DIV/0!</v>
      </c>
      <c r="F116" s="189" t="e">
        <f>STDEV(F108:F113)/F115</f>
        <v>#DIV/0!</v>
      </c>
      <c r="I116" s="52"/>
    </row>
    <row r="117" spans="1:10" ht="27" customHeight="1" x14ac:dyDescent="0.4">
      <c r="A117" s="479" t="s">
        <v>71</v>
      </c>
      <c r="B117" s="480"/>
      <c r="C117" s="190"/>
      <c r="D117" s="149" t="s">
        <v>20</v>
      </c>
      <c r="E117" s="215">
        <f>COUNT(E108:E113)</f>
        <v>0</v>
      </c>
      <c r="F117" s="216">
        <f>COUNT(F108:F113)</f>
        <v>0</v>
      </c>
      <c r="I117" s="52"/>
      <c r="J117" s="183"/>
    </row>
    <row r="118" spans="1:10" ht="26.25" customHeight="1" x14ac:dyDescent="0.3">
      <c r="A118" s="481"/>
      <c r="B118" s="482"/>
      <c r="C118" s="52"/>
      <c r="D118" s="214"/>
      <c r="E118" s="507" t="s">
        <v>116</v>
      </c>
      <c r="F118" s="508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117</v>
      </c>
      <c r="E119" s="217">
        <f>MIN(E108:E113)</f>
        <v>0</v>
      </c>
      <c r="F119" s="236">
        <f>MIN(F108:F113)</f>
        <v>0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118</v>
      </c>
      <c r="E120" s="218">
        <f>MAX(E108:E113)</f>
        <v>0</v>
      </c>
      <c r="F120" s="237">
        <f>MAX(F108:F113)</f>
        <v>0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99</v>
      </c>
      <c r="B124" s="151" t="s">
        <v>119</v>
      </c>
      <c r="C124" s="483" t="str">
        <f>B26</f>
        <v>Artemether</v>
      </c>
      <c r="D124" s="483"/>
      <c r="E124" s="152" t="s">
        <v>120</v>
      </c>
      <c r="F124" s="152"/>
      <c r="G124" s="238" t="e">
        <f>F115</f>
        <v>#DIV/0!</v>
      </c>
      <c r="H124" s="52"/>
      <c r="I124" s="52"/>
    </row>
    <row r="125" spans="1:10" ht="45.75" customHeight="1" x14ac:dyDescent="0.65">
      <c r="A125" s="62"/>
      <c r="B125" s="151" t="s">
        <v>121</v>
      </c>
      <c r="C125" s="63" t="s">
        <v>122</v>
      </c>
      <c r="D125" s="238">
        <f>MIN(F108:F113)</f>
        <v>0</v>
      </c>
      <c r="E125" s="163" t="s">
        <v>123</v>
      </c>
      <c r="F125" s="238">
        <f>MAX(F108:F113)</f>
        <v>0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84" t="s">
        <v>26</v>
      </c>
      <c r="C127" s="484"/>
      <c r="E127" s="158" t="s">
        <v>27</v>
      </c>
      <c r="F127" s="193"/>
      <c r="G127" s="484" t="s">
        <v>28</v>
      </c>
      <c r="H127" s="484"/>
    </row>
    <row r="128" spans="1:10" ht="69.95" customHeight="1" x14ac:dyDescent="0.3">
      <c r="A128" s="194" t="s">
        <v>29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30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1" t="s">
        <v>33</v>
      </c>
      <c r="B11" s="522"/>
      <c r="C11" s="522"/>
      <c r="D11" s="522"/>
      <c r="E11" s="522"/>
      <c r="F11" s="523"/>
      <c r="G11" s="278"/>
    </row>
    <row r="12" spans="1:7" ht="16.5" customHeight="1" x14ac:dyDescent="0.3">
      <c r="A12" s="520" t="s">
        <v>124</v>
      </c>
      <c r="B12" s="520"/>
      <c r="C12" s="520"/>
      <c r="D12" s="520"/>
      <c r="E12" s="520"/>
      <c r="F12" s="520"/>
      <c r="G12" s="277"/>
    </row>
    <row r="14" spans="1:7" ht="16.5" customHeight="1" x14ac:dyDescent="0.3">
      <c r="A14" s="525" t="s">
        <v>35</v>
      </c>
      <c r="B14" s="525"/>
      <c r="C14" s="247" t="s">
        <v>5</v>
      </c>
    </row>
    <row r="15" spans="1:7" ht="16.5" customHeight="1" x14ac:dyDescent="0.3">
      <c r="A15" s="525" t="s">
        <v>36</v>
      </c>
      <c r="B15" s="525"/>
      <c r="C15" s="247" t="s">
        <v>7</v>
      </c>
    </row>
    <row r="16" spans="1:7" ht="16.5" customHeight="1" x14ac:dyDescent="0.3">
      <c r="A16" s="525" t="s">
        <v>37</v>
      </c>
      <c r="B16" s="525"/>
      <c r="C16" s="247" t="s">
        <v>9</v>
      </c>
    </row>
    <row r="17" spans="1:5" ht="16.5" customHeight="1" x14ac:dyDescent="0.3">
      <c r="A17" s="525" t="s">
        <v>38</v>
      </c>
      <c r="B17" s="525"/>
      <c r="C17" s="247" t="s">
        <v>11</v>
      </c>
    </row>
    <row r="18" spans="1:5" ht="16.5" customHeight="1" x14ac:dyDescent="0.3">
      <c r="A18" s="525" t="s">
        <v>39</v>
      </c>
      <c r="B18" s="525"/>
      <c r="C18" s="284" t="s">
        <v>12</v>
      </c>
    </row>
    <row r="19" spans="1:5" ht="16.5" customHeight="1" x14ac:dyDescent="0.3">
      <c r="A19" s="525" t="s">
        <v>40</v>
      </c>
      <c r="B19" s="525"/>
      <c r="C19" s="284" t="e">
        <f>#REF!</f>
        <v>#REF!</v>
      </c>
    </row>
    <row r="20" spans="1:5" ht="16.5" customHeight="1" x14ac:dyDescent="0.3">
      <c r="A20" s="249"/>
      <c r="B20" s="249"/>
      <c r="C20" s="264"/>
    </row>
    <row r="21" spans="1:5" ht="16.5" customHeight="1" x14ac:dyDescent="0.3">
      <c r="A21" s="520" t="s">
        <v>1</v>
      </c>
      <c r="B21" s="520"/>
      <c r="C21" s="246" t="s">
        <v>125</v>
      </c>
      <c r="D21" s="253"/>
    </row>
    <row r="22" spans="1:5" ht="15.75" customHeight="1" x14ac:dyDescent="0.3">
      <c r="A22" s="524"/>
      <c r="B22" s="524"/>
      <c r="C22" s="244"/>
      <c r="D22" s="524"/>
      <c r="E22" s="524"/>
    </row>
    <row r="23" spans="1:5" ht="33.75" customHeight="1" x14ac:dyDescent="0.3">
      <c r="C23" s="273" t="s">
        <v>126</v>
      </c>
      <c r="D23" s="272" t="s">
        <v>127</v>
      </c>
      <c r="E23" s="239"/>
    </row>
    <row r="24" spans="1:5" ht="15.75" customHeight="1" x14ac:dyDescent="0.3">
      <c r="C24" s="282">
        <v>266.97000000000003</v>
      </c>
      <c r="D24" s="274">
        <f t="shared" ref="D24:D43" si="0">(C24-$C$46)/$C$46</f>
        <v>9.130443821594449E-3</v>
      </c>
      <c r="E24" s="240"/>
    </row>
    <row r="25" spans="1:5" ht="15.75" customHeight="1" x14ac:dyDescent="0.3">
      <c r="C25" s="282">
        <v>264.01</v>
      </c>
      <c r="D25" s="275">
        <f t="shared" si="0"/>
        <v>-2.058177048585557E-3</v>
      </c>
      <c r="E25" s="240"/>
    </row>
    <row r="26" spans="1:5" ht="15.75" customHeight="1" x14ac:dyDescent="0.3">
      <c r="C26" s="282">
        <v>270.95</v>
      </c>
      <c r="D26" s="275">
        <f t="shared" si="0"/>
        <v>2.4174602964606422E-2</v>
      </c>
      <c r="E26" s="240"/>
    </row>
    <row r="27" spans="1:5" ht="15.75" customHeight="1" x14ac:dyDescent="0.3">
      <c r="C27" s="282">
        <v>263.23</v>
      </c>
      <c r="D27" s="275">
        <f t="shared" si="0"/>
        <v>-5.0065298454571756E-3</v>
      </c>
      <c r="E27" s="240"/>
    </row>
    <row r="28" spans="1:5" ht="15.75" customHeight="1" x14ac:dyDescent="0.3">
      <c r="C28" s="282">
        <v>270.22000000000003</v>
      </c>
      <c r="D28" s="275">
        <f t="shared" si="0"/>
        <v>2.1415247141893291E-2</v>
      </c>
      <c r="E28" s="240"/>
    </row>
    <row r="29" spans="1:5" ht="15.75" customHeight="1" x14ac:dyDescent="0.3">
      <c r="C29" s="282">
        <v>261.25</v>
      </c>
      <c r="D29" s="275">
        <f t="shared" si="0"/>
        <v>-1.2490810022131616E-2</v>
      </c>
      <c r="E29" s="240"/>
    </row>
    <row r="30" spans="1:5" ht="15.75" customHeight="1" x14ac:dyDescent="0.3">
      <c r="C30" s="282">
        <v>253</v>
      </c>
      <c r="D30" s="275">
        <f t="shared" si="0"/>
        <v>-4.3675310758274827E-2</v>
      </c>
      <c r="E30" s="240"/>
    </row>
    <row r="31" spans="1:5" ht="15.75" customHeight="1" x14ac:dyDescent="0.3">
      <c r="C31" s="282">
        <v>267.48</v>
      </c>
      <c r="D31" s="275">
        <f t="shared" si="0"/>
        <v>1.105821295801054E-2</v>
      </c>
      <c r="E31" s="240"/>
    </row>
    <row r="32" spans="1:5" ht="15.75" customHeight="1" x14ac:dyDescent="0.3">
      <c r="C32" s="282">
        <v>264.68</v>
      </c>
      <c r="D32" s="275">
        <f t="shared" si="0"/>
        <v>4.7438240513764904E-4</v>
      </c>
      <c r="E32" s="240"/>
    </row>
    <row r="33" spans="1:7" ht="15.75" customHeight="1" x14ac:dyDescent="0.3">
      <c r="C33" s="282">
        <v>273.41000000000003</v>
      </c>
      <c r="D33" s="275">
        <f t="shared" si="0"/>
        <v>3.3473254093201989E-2</v>
      </c>
      <c r="E33" s="240"/>
    </row>
    <row r="34" spans="1:7" ht="15.75" customHeight="1" x14ac:dyDescent="0.3">
      <c r="C34" s="282">
        <v>261.54000000000002</v>
      </c>
      <c r="D34" s="275">
        <f t="shared" si="0"/>
        <v>-1.1394627572012565E-2</v>
      </c>
      <c r="E34" s="240"/>
    </row>
    <row r="35" spans="1:7" ht="15.75" customHeight="1" x14ac:dyDescent="0.3">
      <c r="C35" s="282">
        <v>269.10000000000002</v>
      </c>
      <c r="D35" s="275">
        <f t="shared" si="0"/>
        <v>1.7181714920744134E-2</v>
      </c>
      <c r="E35" s="240"/>
    </row>
    <row r="36" spans="1:7" ht="15.75" customHeight="1" x14ac:dyDescent="0.3">
      <c r="C36" s="282">
        <v>267.74</v>
      </c>
      <c r="D36" s="275">
        <f t="shared" si="0"/>
        <v>1.2040997223634413E-2</v>
      </c>
      <c r="E36" s="240"/>
    </row>
    <row r="37" spans="1:7" ht="15.75" customHeight="1" x14ac:dyDescent="0.3">
      <c r="C37" s="282">
        <v>267.83999999999997</v>
      </c>
      <c r="D37" s="275">
        <f t="shared" si="0"/>
        <v>1.2418991171951171E-2</v>
      </c>
      <c r="E37" s="240"/>
    </row>
    <row r="38" spans="1:7" ht="15.75" customHeight="1" x14ac:dyDescent="0.3">
      <c r="C38" s="282">
        <v>268.01</v>
      </c>
      <c r="D38" s="275">
        <f t="shared" si="0"/>
        <v>1.306158088408994E-2</v>
      </c>
      <c r="E38" s="240"/>
    </row>
    <row r="39" spans="1:7" ht="15.75" customHeight="1" x14ac:dyDescent="0.3">
      <c r="C39" s="282">
        <v>267.14</v>
      </c>
      <c r="D39" s="275">
        <f t="shared" si="0"/>
        <v>9.7730335337330027E-3</v>
      </c>
      <c r="E39" s="240"/>
    </row>
    <row r="40" spans="1:7" ht="15.75" customHeight="1" x14ac:dyDescent="0.3">
      <c r="C40" s="282">
        <v>243.18</v>
      </c>
      <c r="D40" s="275">
        <f t="shared" si="0"/>
        <v>-8.079431648299315E-2</v>
      </c>
      <c r="E40" s="240"/>
    </row>
    <row r="41" spans="1:7" ht="15.75" customHeight="1" x14ac:dyDescent="0.3">
      <c r="C41" s="282">
        <v>264.89999999999998</v>
      </c>
      <c r="D41" s="275">
        <f t="shared" si="0"/>
        <v>1.3059690914346896E-3</v>
      </c>
      <c r="E41" s="240"/>
    </row>
    <row r="42" spans="1:7" ht="15.75" customHeight="1" x14ac:dyDescent="0.3">
      <c r="C42" s="282">
        <v>270.45999999999998</v>
      </c>
      <c r="D42" s="275">
        <f t="shared" si="0"/>
        <v>2.2322432617853639E-2</v>
      </c>
      <c r="E42" s="240"/>
    </row>
    <row r="43" spans="1:7" ht="16.5" customHeight="1" x14ac:dyDescent="0.3">
      <c r="C43" s="283">
        <v>255.98</v>
      </c>
      <c r="D43" s="276">
        <f t="shared" si="0"/>
        <v>-3.241109109843162E-2</v>
      </c>
      <c r="E43" s="240"/>
    </row>
    <row r="44" spans="1:7" ht="16.5" customHeight="1" x14ac:dyDescent="0.3">
      <c r="C44" s="241"/>
      <c r="D44" s="240"/>
      <c r="E44" s="242"/>
    </row>
    <row r="45" spans="1:7" ht="16.5" customHeight="1" x14ac:dyDescent="0.3">
      <c r="B45" s="269" t="s">
        <v>128</v>
      </c>
      <c r="C45" s="270">
        <f>SUM(C24:C44)</f>
        <v>5291.09</v>
      </c>
      <c r="D45" s="265"/>
      <c r="E45" s="241"/>
    </row>
    <row r="46" spans="1:7" ht="17.25" customHeight="1" x14ac:dyDescent="0.3">
      <c r="B46" s="269" t="s">
        <v>129</v>
      </c>
      <c r="C46" s="271">
        <f>AVERAGE(C24:C44)</f>
        <v>264.55450000000002</v>
      </c>
      <c r="E46" s="243"/>
    </row>
    <row r="47" spans="1:7" ht="17.25" customHeight="1" x14ac:dyDescent="0.3">
      <c r="A47" s="247"/>
      <c r="B47" s="266"/>
      <c r="D47" s="245"/>
      <c r="E47" s="243"/>
    </row>
    <row r="48" spans="1:7" ht="33.75" customHeight="1" x14ac:dyDescent="0.3">
      <c r="B48" s="279" t="s">
        <v>129</v>
      </c>
      <c r="C48" s="272" t="s">
        <v>130</v>
      </c>
      <c r="D48" s="267"/>
      <c r="G48" s="245"/>
    </row>
    <row r="49" spans="1:6" ht="17.25" customHeight="1" x14ac:dyDescent="0.3">
      <c r="B49" s="518">
        <f>C46</f>
        <v>264.55450000000002</v>
      </c>
      <c r="C49" s="280">
        <f>-IF(C46&lt;=80,10%,IF(C46&lt;250,7.5%,5%))</f>
        <v>-0.05</v>
      </c>
      <c r="D49" s="268">
        <f>IF(C46&lt;=80,C46*0.9,IF(C46&lt;250,C46*0.925,C46*0.95))</f>
        <v>251.326775</v>
      </c>
    </row>
    <row r="50" spans="1:6" ht="17.25" customHeight="1" x14ac:dyDescent="0.3">
      <c r="B50" s="519"/>
      <c r="C50" s="281">
        <f>IF(C46&lt;=80, 10%, IF(C46&lt;250, 7.5%, 5%))</f>
        <v>0.05</v>
      </c>
      <c r="D50" s="268">
        <f>IF(C46&lt;=80, C46*1.1, IF(C46&lt;250, C46*1.075, C46*1.05))</f>
        <v>277.78222500000004</v>
      </c>
    </row>
    <row r="51" spans="1:6" ht="16.5" customHeight="1" x14ac:dyDescent="0.3">
      <c r="A51" s="250"/>
      <c r="B51" s="251"/>
      <c r="C51" s="247"/>
      <c r="D51" s="252"/>
      <c r="E51" s="247"/>
      <c r="F51" s="253"/>
    </row>
    <row r="52" spans="1:6" ht="16.5" customHeight="1" x14ac:dyDescent="0.3">
      <c r="A52" s="247"/>
      <c r="B52" s="254" t="s">
        <v>26</v>
      </c>
      <c r="C52" s="254"/>
      <c r="D52" s="255" t="s">
        <v>27</v>
      </c>
      <c r="E52" s="256"/>
      <c r="F52" s="255" t="s">
        <v>28</v>
      </c>
    </row>
    <row r="53" spans="1:6" ht="34.5" customHeight="1" x14ac:dyDescent="0.3">
      <c r="A53" s="257" t="s">
        <v>29</v>
      </c>
      <c r="B53" s="258"/>
      <c r="C53" s="259"/>
      <c r="D53" s="258"/>
      <c r="E53" s="248"/>
      <c r="F53" s="260"/>
    </row>
    <row r="54" spans="1:6" ht="34.5" customHeight="1" x14ac:dyDescent="0.3">
      <c r="A54" s="257" t="s">
        <v>30</v>
      </c>
      <c r="B54" s="261"/>
      <c r="C54" s="262"/>
      <c r="D54" s="261"/>
      <c r="E54" s="248"/>
      <c r="F54" s="263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G61" sqref="G61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277" t="s">
        <v>1</v>
      </c>
      <c r="B16" s="24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59"/>
    </row>
    <row r="18" spans="1:5" ht="16.5" customHeight="1" x14ac:dyDescent="0.3">
      <c r="A18" s="262" t="s">
        <v>4</v>
      </c>
      <c r="B18" s="473" t="s">
        <v>135</v>
      </c>
      <c r="C18" s="259"/>
      <c r="D18" s="259"/>
      <c r="E18" s="259"/>
    </row>
    <row r="19" spans="1:5" ht="16.5" customHeight="1" x14ac:dyDescent="0.3">
      <c r="A19" s="262" t="s">
        <v>6</v>
      </c>
      <c r="B19" s="12">
        <f>Lumefantrine!B28</f>
        <v>100.46</v>
      </c>
      <c r="C19" s="259"/>
      <c r="D19" s="259"/>
      <c r="E19" s="259"/>
    </row>
    <row r="20" spans="1:5" ht="16.5" customHeight="1" x14ac:dyDescent="0.3">
      <c r="A20" s="8" t="s">
        <v>8</v>
      </c>
      <c r="B20" s="12">
        <f>Lumefantrine!D43</f>
        <v>60.14</v>
      </c>
      <c r="C20" s="259"/>
      <c r="D20" s="259"/>
      <c r="E20" s="259"/>
    </row>
    <row r="21" spans="1:5" ht="16.5" customHeight="1" x14ac:dyDescent="0.3">
      <c r="A21" s="8" t="s">
        <v>10</v>
      </c>
      <c r="B21" s="13">
        <f>B20/50</f>
        <v>1.2028000000000001</v>
      </c>
      <c r="C21" s="259"/>
      <c r="D21" s="259"/>
      <c r="E21" s="259"/>
    </row>
    <row r="22" spans="1:5" ht="15.75" customHeight="1" x14ac:dyDescent="0.25">
      <c r="A22" s="259"/>
      <c r="B22" s="259"/>
      <c r="C22" s="259"/>
      <c r="D22" s="259"/>
      <c r="E22" s="25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73793291</v>
      </c>
      <c r="C24" s="18">
        <v>1111</v>
      </c>
      <c r="D24" s="19">
        <v>4</v>
      </c>
      <c r="E24" s="20">
        <v>8.5</v>
      </c>
    </row>
    <row r="25" spans="1:5" ht="16.5" customHeight="1" x14ac:dyDescent="0.3">
      <c r="A25" s="17">
        <v>2</v>
      </c>
      <c r="B25" s="18">
        <v>73749815</v>
      </c>
      <c r="C25" s="18">
        <v>1111.7</v>
      </c>
      <c r="D25" s="19">
        <v>4</v>
      </c>
      <c r="E25" s="19">
        <v>8.5</v>
      </c>
    </row>
    <row r="26" spans="1:5" ht="16.5" customHeight="1" x14ac:dyDescent="0.3">
      <c r="A26" s="17">
        <v>3</v>
      </c>
      <c r="B26" s="18">
        <v>73755795</v>
      </c>
      <c r="C26" s="18">
        <v>1112.2</v>
      </c>
      <c r="D26" s="19">
        <v>4</v>
      </c>
      <c r="E26" s="19">
        <v>8.5</v>
      </c>
    </row>
    <row r="27" spans="1:5" ht="16.5" customHeight="1" x14ac:dyDescent="0.3">
      <c r="A27" s="17">
        <v>4</v>
      </c>
      <c r="B27" s="18">
        <v>73800497</v>
      </c>
      <c r="C27" s="18">
        <v>1110.7</v>
      </c>
      <c r="D27" s="19">
        <v>4</v>
      </c>
      <c r="E27" s="19">
        <v>8.5</v>
      </c>
    </row>
    <row r="28" spans="1:5" ht="16.5" customHeight="1" x14ac:dyDescent="0.3">
      <c r="A28" s="17">
        <v>5</v>
      </c>
      <c r="B28" s="18">
        <v>73787717</v>
      </c>
      <c r="C28" s="18">
        <v>1114.5</v>
      </c>
      <c r="D28" s="19">
        <v>4</v>
      </c>
      <c r="E28" s="19">
        <v>8.5</v>
      </c>
    </row>
    <row r="29" spans="1:5" ht="16.5" customHeight="1" x14ac:dyDescent="0.3">
      <c r="A29" s="17">
        <v>6</v>
      </c>
      <c r="B29" s="21">
        <v>73794376</v>
      </c>
      <c r="C29" s="21">
        <v>1115</v>
      </c>
      <c r="D29" s="22">
        <v>3.9</v>
      </c>
      <c r="E29" s="22">
        <v>8.5</v>
      </c>
    </row>
    <row r="30" spans="1:5" ht="16.5" customHeight="1" x14ac:dyDescent="0.3">
      <c r="A30" s="23" t="s">
        <v>18</v>
      </c>
      <c r="B30" s="24">
        <f>AVERAGE(B24:B29)</f>
        <v>73780248.5</v>
      </c>
      <c r="C30" s="25">
        <f>AVERAGE(C24:C29)</f>
        <v>1112.5166666666667</v>
      </c>
      <c r="D30" s="26">
        <f>AVERAGE(D24:D29)</f>
        <v>3.9833333333333329</v>
      </c>
      <c r="E30" s="26">
        <f>AVERAGE(E24:E29)</f>
        <v>8.5</v>
      </c>
    </row>
    <row r="31" spans="1:5" ht="16.5" customHeight="1" x14ac:dyDescent="0.3">
      <c r="A31" s="27" t="s">
        <v>19</v>
      </c>
      <c r="B31" s="28">
        <f>(STDEV(B24:B29)/B30)</f>
        <v>2.9444094921354048E-4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260"/>
      <c r="E32" s="35"/>
    </row>
    <row r="33" spans="1:5" s="407" customFormat="1" ht="15.75" customHeight="1" x14ac:dyDescent="0.25">
      <c r="A33" s="259"/>
      <c r="B33" s="259"/>
      <c r="C33" s="259"/>
      <c r="D33" s="259"/>
      <c r="E33" s="259"/>
    </row>
    <row r="34" spans="1:5" s="407" customFormat="1" ht="16.5" customHeight="1" x14ac:dyDescent="0.3">
      <c r="A34" s="262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262"/>
      <c r="B35" s="40" t="s">
        <v>23</v>
      </c>
      <c r="C35" s="39"/>
      <c r="D35" s="39"/>
      <c r="E35" s="39"/>
    </row>
    <row r="36" spans="1:5" ht="16.5" customHeight="1" x14ac:dyDescent="0.3">
      <c r="A36" s="262"/>
      <c r="B36" s="40" t="s">
        <v>24</v>
      </c>
      <c r="C36" s="39"/>
      <c r="D36" s="39"/>
      <c r="E36" s="39"/>
    </row>
    <row r="37" spans="1:5" ht="15.75" customHeight="1" x14ac:dyDescent="0.25">
      <c r="A37" s="259"/>
      <c r="B37" s="259"/>
      <c r="C37" s="259"/>
      <c r="D37" s="259"/>
      <c r="E37" s="259"/>
    </row>
    <row r="38" spans="1:5" ht="16.5" customHeight="1" x14ac:dyDescent="0.3">
      <c r="A38" s="277" t="s">
        <v>1</v>
      </c>
      <c r="B38" s="246" t="s">
        <v>25</v>
      </c>
    </row>
    <row r="39" spans="1:5" ht="16.5" customHeight="1" x14ac:dyDescent="0.3">
      <c r="A39" s="262" t="s">
        <v>4</v>
      </c>
      <c r="B39" s="8"/>
      <c r="C39" s="259"/>
      <c r="D39" s="259"/>
      <c r="E39" s="259"/>
    </row>
    <row r="40" spans="1:5" ht="16.5" customHeight="1" x14ac:dyDescent="0.3">
      <c r="A40" s="262" t="s">
        <v>6</v>
      </c>
      <c r="B40" s="12"/>
      <c r="C40" s="259"/>
      <c r="D40" s="259"/>
      <c r="E40" s="259"/>
    </row>
    <row r="41" spans="1:5" ht="16.5" customHeight="1" x14ac:dyDescent="0.3">
      <c r="A41" s="8" t="s">
        <v>8</v>
      </c>
      <c r="B41" s="12"/>
      <c r="C41" s="259"/>
      <c r="D41" s="259"/>
      <c r="E41" s="259"/>
    </row>
    <row r="42" spans="1:5" ht="16.5" customHeight="1" x14ac:dyDescent="0.3">
      <c r="A42" s="8" t="s">
        <v>10</v>
      </c>
      <c r="B42" s="13"/>
      <c r="C42" s="259"/>
      <c r="D42" s="259"/>
      <c r="E42" s="259"/>
    </row>
    <row r="43" spans="1:5" ht="15.75" customHeight="1" x14ac:dyDescent="0.25">
      <c r="A43" s="259"/>
      <c r="B43" s="259"/>
      <c r="C43" s="259"/>
      <c r="D43" s="259"/>
      <c r="E43" s="25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260"/>
      <c r="E53" s="35"/>
    </row>
    <row r="54" spans="1:7" s="407" customFormat="1" ht="15.75" customHeight="1" x14ac:dyDescent="0.25">
      <c r="A54" s="259"/>
      <c r="B54" s="259"/>
      <c r="C54" s="259"/>
      <c r="D54" s="259"/>
      <c r="E54" s="259"/>
    </row>
    <row r="55" spans="1:7" s="407" customFormat="1" ht="16.5" customHeight="1" x14ac:dyDescent="0.3">
      <c r="A55" s="262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262"/>
      <c r="B56" s="40" t="s">
        <v>23</v>
      </c>
      <c r="C56" s="39"/>
      <c r="D56" s="39"/>
      <c r="E56" s="39"/>
    </row>
    <row r="57" spans="1:7" ht="16.5" customHeight="1" x14ac:dyDescent="0.3">
      <c r="A57" s="262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6" t="s">
        <v>26</v>
      </c>
      <c r="C59" s="476"/>
      <c r="E59" s="472" t="s">
        <v>27</v>
      </c>
      <c r="F59" s="46"/>
      <c r="G59" s="472" t="s">
        <v>28</v>
      </c>
    </row>
    <row r="60" spans="1:7" ht="15" customHeight="1" x14ac:dyDescent="0.3">
      <c r="A60" s="47" t="s">
        <v>29</v>
      </c>
      <c r="B60" s="474" t="s">
        <v>138</v>
      </c>
      <c r="C60" s="49"/>
      <c r="E60" s="474" t="s">
        <v>139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49" zoomScale="55" zoomScaleNormal="40" zoomScalePageLayoutView="55" workbookViewId="0">
      <selection activeCell="F62" sqref="F6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7" t="s">
        <v>31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32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x14ac:dyDescent="0.3">
      <c r="A15" s="285"/>
    </row>
    <row r="16" spans="1:9" ht="19.5" customHeight="1" x14ac:dyDescent="0.3">
      <c r="A16" s="510" t="s">
        <v>33</v>
      </c>
      <c r="B16" s="511"/>
      <c r="C16" s="511"/>
      <c r="D16" s="511"/>
      <c r="E16" s="511"/>
      <c r="F16" s="511"/>
      <c r="G16" s="511"/>
      <c r="H16" s="512"/>
    </row>
    <row r="17" spans="1:14" ht="20.25" customHeight="1" x14ac:dyDescent="0.25">
      <c r="A17" s="513" t="s">
        <v>34</v>
      </c>
      <c r="B17" s="513"/>
      <c r="C17" s="513"/>
      <c r="D17" s="513"/>
      <c r="E17" s="513"/>
      <c r="F17" s="513"/>
      <c r="G17" s="513"/>
      <c r="H17" s="513"/>
    </row>
    <row r="18" spans="1:14" ht="26.25" customHeight="1" x14ac:dyDescent="0.4">
      <c r="A18" s="287" t="s">
        <v>35</v>
      </c>
      <c r="B18" s="509" t="s">
        <v>5</v>
      </c>
      <c r="C18" s="509"/>
      <c r="D18" s="433"/>
      <c r="E18" s="288"/>
      <c r="F18" s="289"/>
      <c r="G18" s="289"/>
      <c r="H18" s="289"/>
    </row>
    <row r="19" spans="1:14" ht="26.25" customHeight="1" x14ac:dyDescent="0.4">
      <c r="A19" s="287" t="s">
        <v>36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37</v>
      </c>
      <c r="B20" s="514" t="s">
        <v>135</v>
      </c>
      <c r="C20" s="514"/>
      <c r="D20" s="289"/>
      <c r="E20" s="289"/>
      <c r="F20" s="289"/>
      <c r="G20" s="289"/>
      <c r="H20" s="289"/>
    </row>
    <row r="21" spans="1:14" ht="26.25" customHeight="1" x14ac:dyDescent="0.4">
      <c r="A21" s="287" t="s">
        <v>38</v>
      </c>
      <c r="B21" s="514" t="s">
        <v>137</v>
      </c>
      <c r="C21" s="514"/>
      <c r="D21" s="514"/>
      <c r="E21" s="514"/>
      <c r="F21" s="514"/>
      <c r="G21" s="514"/>
      <c r="H21" s="514"/>
      <c r="I21" s="291"/>
    </row>
    <row r="22" spans="1:14" ht="26.25" customHeight="1" x14ac:dyDescent="0.4">
      <c r="A22" s="287" t="s">
        <v>39</v>
      </c>
      <c r="B22" s="292"/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40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509" t="s">
        <v>135</v>
      </c>
      <c r="C26" s="509"/>
    </row>
    <row r="27" spans="1:14" ht="26.25" customHeight="1" x14ac:dyDescent="0.4">
      <c r="A27" s="296" t="s">
        <v>41</v>
      </c>
      <c r="B27" s="515" t="s">
        <v>136</v>
      </c>
      <c r="C27" s="515"/>
    </row>
    <row r="28" spans="1:14" ht="27" customHeight="1" x14ac:dyDescent="0.4">
      <c r="A28" s="296" t="s">
        <v>6</v>
      </c>
      <c r="B28" s="297">
        <v>100.46</v>
      </c>
    </row>
    <row r="29" spans="1:14" s="14" customFormat="1" ht="27" customHeight="1" x14ac:dyDescent="0.4">
      <c r="A29" s="296" t="s">
        <v>42</v>
      </c>
      <c r="B29" s="298">
        <v>0</v>
      </c>
      <c r="C29" s="485" t="s">
        <v>43</v>
      </c>
      <c r="D29" s="486"/>
      <c r="E29" s="486"/>
      <c r="F29" s="486"/>
      <c r="G29" s="487"/>
      <c r="I29" s="299"/>
      <c r="J29" s="299"/>
      <c r="K29" s="299"/>
      <c r="L29" s="299"/>
    </row>
    <row r="30" spans="1:14" s="14" customFormat="1" ht="19.5" customHeight="1" x14ac:dyDescent="0.3">
      <c r="A30" s="296" t="s">
        <v>44</v>
      </c>
      <c r="B30" s="300">
        <f>B28-B29</f>
        <v>100.46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45</v>
      </c>
      <c r="B31" s="303">
        <v>1</v>
      </c>
      <c r="C31" s="488" t="s">
        <v>46</v>
      </c>
      <c r="D31" s="489"/>
      <c r="E31" s="489"/>
      <c r="F31" s="489"/>
      <c r="G31" s="489"/>
      <c r="H31" s="490"/>
      <c r="I31" s="299"/>
      <c r="J31" s="299"/>
      <c r="K31" s="299"/>
      <c r="L31" s="299"/>
    </row>
    <row r="32" spans="1:14" s="14" customFormat="1" ht="27" customHeight="1" x14ac:dyDescent="0.4">
      <c r="A32" s="296" t="s">
        <v>47</v>
      </c>
      <c r="B32" s="303">
        <v>1</v>
      </c>
      <c r="C32" s="488" t="s">
        <v>48</v>
      </c>
      <c r="D32" s="489"/>
      <c r="E32" s="489"/>
      <c r="F32" s="489"/>
      <c r="G32" s="489"/>
      <c r="H32" s="490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49</v>
      </c>
      <c r="B34" s="308">
        <f>B31/B32</f>
        <v>1</v>
      </c>
      <c r="C34" s="286" t="s">
        <v>50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51</v>
      </c>
      <c r="B36" s="310">
        <v>50</v>
      </c>
      <c r="C36" s="286"/>
      <c r="D36" s="491" t="s">
        <v>52</v>
      </c>
      <c r="E36" s="516"/>
      <c r="F36" s="491" t="s">
        <v>53</v>
      </c>
      <c r="G36" s="492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54</v>
      </c>
      <c r="B37" s="312">
        <v>1</v>
      </c>
      <c r="C37" s="313" t="s">
        <v>55</v>
      </c>
      <c r="D37" s="314" t="s">
        <v>56</v>
      </c>
      <c r="E37" s="315" t="s">
        <v>57</v>
      </c>
      <c r="F37" s="314" t="s">
        <v>56</v>
      </c>
      <c r="G37" s="316" t="s">
        <v>57</v>
      </c>
      <c r="I37" s="317" t="s">
        <v>58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59</v>
      </c>
      <c r="B38" s="312">
        <v>1</v>
      </c>
      <c r="C38" s="318">
        <v>1</v>
      </c>
      <c r="D38" s="319">
        <v>73804729</v>
      </c>
      <c r="E38" s="320">
        <f>IF(ISBLANK(D38),"-",$D$48/$D$45*D38)</f>
        <v>73295758.367512107</v>
      </c>
      <c r="F38" s="319">
        <v>75004546</v>
      </c>
      <c r="G38" s="321">
        <f>IF(ISBLANK(F38),"-",$D$48/$F$45*F38)</f>
        <v>73787947.53817828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60</v>
      </c>
      <c r="B39" s="312">
        <v>1</v>
      </c>
      <c r="C39" s="323">
        <v>2</v>
      </c>
      <c r="D39" s="324">
        <v>73804995</v>
      </c>
      <c r="E39" s="325">
        <f>IF(ISBLANK(D39),"-",$D$48/$D$45*D39)</f>
        <v>73296022.533128455</v>
      </c>
      <c r="F39" s="324">
        <v>74894980</v>
      </c>
      <c r="G39" s="326">
        <f>IF(ISBLANK(F39),"-",$D$48/$F$45*F39)</f>
        <v>73680158.734817371</v>
      </c>
      <c r="I39" s="493">
        <f>ABS((F43/D43*D42)-F42)/D42</f>
        <v>5.8834611796875699E-3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61</v>
      </c>
      <c r="B40" s="312">
        <v>1</v>
      </c>
      <c r="C40" s="323">
        <v>3</v>
      </c>
      <c r="D40" s="324">
        <v>73847756</v>
      </c>
      <c r="E40" s="325">
        <f>IF(ISBLANK(D40),"-",$D$48/$D$45*D40)</f>
        <v>73338488.645612285</v>
      </c>
      <c r="F40" s="324">
        <v>74959839</v>
      </c>
      <c r="G40" s="326">
        <f>IF(ISBLANK(F40),"-",$D$48/$F$45*F40)</f>
        <v>73743965.700456202</v>
      </c>
      <c r="I40" s="493"/>
      <c r="L40" s="304"/>
      <c r="M40" s="304"/>
      <c r="N40" s="327"/>
    </row>
    <row r="41" spans="1:14" ht="27" customHeight="1" x14ac:dyDescent="0.4">
      <c r="A41" s="311" t="s">
        <v>62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63</v>
      </c>
      <c r="B42" s="312">
        <v>1</v>
      </c>
      <c r="C42" s="333" t="s">
        <v>64</v>
      </c>
      <c r="D42" s="334">
        <f>AVERAGE(D38:D41)</f>
        <v>73819160</v>
      </c>
      <c r="E42" s="335">
        <f>AVERAGE(E38:E41)</f>
        <v>73310089.848750949</v>
      </c>
      <c r="F42" s="334">
        <f>AVERAGE(F38:F41)</f>
        <v>74953121.666666672</v>
      </c>
      <c r="G42" s="336">
        <f>AVERAGE(G38:G41)</f>
        <v>73737357.324483946</v>
      </c>
      <c r="H42" s="337"/>
    </row>
    <row r="43" spans="1:14" ht="26.25" customHeight="1" x14ac:dyDescent="0.4">
      <c r="A43" s="311" t="s">
        <v>65</v>
      </c>
      <c r="B43" s="312">
        <v>1</v>
      </c>
      <c r="C43" s="338" t="s">
        <v>66</v>
      </c>
      <c r="D43" s="339">
        <v>60.14</v>
      </c>
      <c r="E43" s="327"/>
      <c r="F43" s="339">
        <v>60.71</v>
      </c>
      <c r="H43" s="337"/>
    </row>
    <row r="44" spans="1:14" ht="26.25" customHeight="1" x14ac:dyDescent="0.4">
      <c r="A44" s="311" t="s">
        <v>67</v>
      </c>
      <c r="B44" s="312">
        <v>1</v>
      </c>
      <c r="C44" s="340" t="s">
        <v>68</v>
      </c>
      <c r="D44" s="341">
        <f>D43*$B$34</f>
        <v>60.14</v>
      </c>
      <c r="E44" s="342"/>
      <c r="F44" s="341">
        <f>F43*$B$34</f>
        <v>60.71</v>
      </c>
      <c r="H44" s="337"/>
    </row>
    <row r="45" spans="1:14" ht="19.5" customHeight="1" x14ac:dyDescent="0.3">
      <c r="A45" s="311" t="s">
        <v>69</v>
      </c>
      <c r="B45" s="343">
        <f>(B44/B43)*(B42/B41)*(B40/B39)*(B38/B37)*B36</f>
        <v>50</v>
      </c>
      <c r="C45" s="340" t="s">
        <v>70</v>
      </c>
      <c r="D45" s="344">
        <f>D44*$B$30/100</f>
        <v>60.416643999999998</v>
      </c>
      <c r="E45" s="345"/>
      <c r="F45" s="344">
        <f>F44*$B$30/100</f>
        <v>60.989266000000001</v>
      </c>
      <c r="H45" s="337"/>
    </row>
    <row r="46" spans="1:14" ht="19.5" customHeight="1" x14ac:dyDescent="0.3">
      <c r="A46" s="479" t="s">
        <v>71</v>
      </c>
      <c r="B46" s="480"/>
      <c r="C46" s="340" t="s">
        <v>72</v>
      </c>
      <c r="D46" s="346">
        <f>D45/$B$45</f>
        <v>1.2083328799999999</v>
      </c>
      <c r="E46" s="347"/>
      <c r="F46" s="348">
        <f>F45/$B$45</f>
        <v>1.21978532</v>
      </c>
      <c r="H46" s="337"/>
    </row>
    <row r="47" spans="1:14" ht="27" customHeight="1" x14ac:dyDescent="0.4">
      <c r="A47" s="481"/>
      <c r="B47" s="482"/>
      <c r="C47" s="349" t="s">
        <v>73</v>
      </c>
      <c r="D47" s="350">
        <v>1.2</v>
      </c>
      <c r="E47" s="351"/>
      <c r="F47" s="347"/>
      <c r="H47" s="337"/>
    </row>
    <row r="48" spans="1:14" ht="18.75" x14ac:dyDescent="0.3">
      <c r="C48" s="352" t="s">
        <v>74</v>
      </c>
      <c r="D48" s="344">
        <f>D47*$B$45</f>
        <v>60</v>
      </c>
      <c r="F48" s="353"/>
      <c r="H48" s="337"/>
    </row>
    <row r="49" spans="1:12" ht="19.5" customHeight="1" x14ac:dyDescent="0.3">
      <c r="C49" s="354" t="s">
        <v>75</v>
      </c>
      <c r="D49" s="355">
        <f>D48/B34</f>
        <v>60</v>
      </c>
      <c r="F49" s="353"/>
      <c r="H49" s="337"/>
    </row>
    <row r="50" spans="1:12" ht="18.75" x14ac:dyDescent="0.3">
      <c r="C50" s="309" t="s">
        <v>76</v>
      </c>
      <c r="D50" s="356">
        <f>AVERAGE(E38:E41,G38:G41)</f>
        <v>73523723.586617455</v>
      </c>
      <c r="F50" s="357"/>
      <c r="H50" s="337"/>
    </row>
    <row r="51" spans="1:12" ht="18.75" x14ac:dyDescent="0.3">
      <c r="C51" s="311" t="s">
        <v>77</v>
      </c>
      <c r="D51" s="358">
        <f>STDEV(E38:E41,G38:G41)/D50</f>
        <v>3.2238839660734559E-3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78</v>
      </c>
    </row>
    <row r="55" spans="1:12" ht="18.75" x14ac:dyDescent="0.3">
      <c r="A55" s="286" t="s">
        <v>79</v>
      </c>
      <c r="B55" s="363" t="str">
        <f>B21</f>
        <v>Each dispersible tablet contains: Lumefantrine 120 mg
Lumefantrine 120 mg</v>
      </c>
    </row>
    <row r="56" spans="1:12" ht="26.25" customHeight="1" x14ac:dyDescent="0.4">
      <c r="A56" s="364" t="s">
        <v>131</v>
      </c>
      <c r="B56" s="365">
        <v>120</v>
      </c>
      <c r="C56" s="286" t="str">
        <f>B20</f>
        <v>Lumefantrine</v>
      </c>
      <c r="H56" s="366"/>
    </row>
    <row r="57" spans="1:12" ht="18.75" x14ac:dyDescent="0.3">
      <c r="A57" s="363" t="s">
        <v>132</v>
      </c>
      <c r="B57" s="434">
        <f>Uniformity!C46</f>
        <v>264.55450000000002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82</v>
      </c>
      <c r="B59" s="310">
        <v>100</v>
      </c>
      <c r="C59" s="286"/>
      <c r="D59" s="367" t="s">
        <v>83</v>
      </c>
      <c r="E59" s="368" t="s">
        <v>55</v>
      </c>
      <c r="F59" s="368" t="s">
        <v>56</v>
      </c>
      <c r="G59" s="368" t="s">
        <v>84</v>
      </c>
      <c r="H59" s="313" t="s">
        <v>85</v>
      </c>
      <c r="L59" s="299"/>
    </row>
    <row r="60" spans="1:12" s="14" customFormat="1" ht="26.25" customHeight="1" x14ac:dyDescent="0.4">
      <c r="A60" s="311" t="s">
        <v>86</v>
      </c>
      <c r="B60" s="312">
        <v>1</v>
      </c>
      <c r="C60" s="496" t="s">
        <v>87</v>
      </c>
      <c r="D60" s="499">
        <f>Artemether!D60</f>
        <v>265.58999999999997</v>
      </c>
      <c r="E60" s="369">
        <v>1</v>
      </c>
      <c r="F60" s="370">
        <v>72181343</v>
      </c>
      <c r="G60" s="435">
        <f>IF(ISBLANK(F60),"-",(F60/$D$50*$D$47*$B$68)*($B$57/$D$60))</f>
        <v>117.34974355466214</v>
      </c>
      <c r="H60" s="453">
        <f t="shared" ref="H60:H71" si="0">IF(ISBLANK(F60),"-",(G60/$B$56)*100)</f>
        <v>97.791452962218443</v>
      </c>
      <c r="L60" s="299"/>
    </row>
    <row r="61" spans="1:12" s="14" customFormat="1" ht="26.25" customHeight="1" x14ac:dyDescent="0.4">
      <c r="A61" s="311" t="s">
        <v>88</v>
      </c>
      <c r="B61" s="312">
        <v>1</v>
      </c>
      <c r="C61" s="497"/>
      <c r="D61" s="500"/>
      <c r="E61" s="371">
        <v>2</v>
      </c>
      <c r="F61" s="324">
        <v>72046025</v>
      </c>
      <c r="G61" s="436">
        <f>IF(ISBLANK(F61),"-",(F61/$D$50*$D$47*$B$68)*($B$57/$D$60))</f>
        <v>117.12974858174607</v>
      </c>
      <c r="H61" s="454">
        <f t="shared" si="0"/>
        <v>97.608123818121726</v>
      </c>
      <c r="L61" s="299"/>
    </row>
    <row r="62" spans="1:12" s="14" customFormat="1" ht="26.25" customHeight="1" x14ac:dyDescent="0.4">
      <c r="A62" s="311" t="s">
        <v>89</v>
      </c>
      <c r="B62" s="312">
        <v>1</v>
      </c>
      <c r="C62" s="497"/>
      <c r="D62" s="500"/>
      <c r="E62" s="371">
        <v>3</v>
      </c>
      <c r="F62" s="372">
        <v>71938184</v>
      </c>
      <c r="G62" s="436">
        <f>IF(ISBLANK(F62),"-",(F62/$D$50*$D$47*$B$68)*($B$57/$D$60))</f>
        <v>116.95442469376192</v>
      </c>
      <c r="H62" s="454">
        <f t="shared" si="0"/>
        <v>97.46202057813494</v>
      </c>
      <c r="L62" s="299"/>
    </row>
    <row r="63" spans="1:12" ht="27" customHeight="1" x14ac:dyDescent="0.4">
      <c r="A63" s="311" t="s">
        <v>90</v>
      </c>
      <c r="B63" s="312">
        <v>1</v>
      </c>
      <c r="C63" s="506"/>
      <c r="D63" s="501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91</v>
      </c>
      <c r="B64" s="312">
        <v>1</v>
      </c>
      <c r="C64" s="496" t="s">
        <v>92</v>
      </c>
      <c r="D64" s="499">
        <f>Artemether!D64</f>
        <v>264.74</v>
      </c>
      <c r="E64" s="369">
        <v>1</v>
      </c>
      <c r="F64" s="370">
        <v>72716891</v>
      </c>
      <c r="G64" s="435">
        <f>IF(ISBLANK(F64),"-",(F64/$D$50*$D$47*$B$68)*($B$57/$D$64))</f>
        <v>118.59998755405893</v>
      </c>
      <c r="H64" s="453">
        <f t="shared" si="0"/>
        <v>98.83332296171578</v>
      </c>
    </row>
    <row r="65" spans="1:8" ht="26.25" customHeight="1" x14ac:dyDescent="0.4">
      <c r="A65" s="311" t="s">
        <v>93</v>
      </c>
      <c r="B65" s="312">
        <v>1</v>
      </c>
      <c r="C65" s="497"/>
      <c r="D65" s="500"/>
      <c r="E65" s="371">
        <v>2</v>
      </c>
      <c r="F65" s="324">
        <v>72784855</v>
      </c>
      <c r="G65" s="436">
        <f>IF(ISBLANK(F65),"-",(F65/$D$50*$D$47*$B$68)*($B$57/$D$64))</f>
        <v>118.71083565885655</v>
      </c>
      <c r="H65" s="454">
        <f t="shared" si="0"/>
        <v>98.925696382380451</v>
      </c>
    </row>
    <row r="66" spans="1:8" ht="26.25" customHeight="1" x14ac:dyDescent="0.4">
      <c r="A66" s="311" t="s">
        <v>94</v>
      </c>
      <c r="B66" s="312">
        <v>1</v>
      </c>
      <c r="C66" s="497"/>
      <c r="D66" s="500"/>
      <c r="E66" s="371">
        <v>3</v>
      </c>
      <c r="F66" s="324">
        <v>72758868</v>
      </c>
      <c r="G66" s="436">
        <f>IF(ISBLANK(F66),"-",(F66/$D$50*$D$47*$B$68)*($B$57/$D$64))</f>
        <v>118.66845131274131</v>
      </c>
      <c r="H66" s="454">
        <f t="shared" si="0"/>
        <v>98.89037609395109</v>
      </c>
    </row>
    <row r="67" spans="1:8" ht="27" customHeight="1" x14ac:dyDescent="0.4">
      <c r="A67" s="311" t="s">
        <v>95</v>
      </c>
      <c r="B67" s="312">
        <v>1</v>
      </c>
      <c r="C67" s="506"/>
      <c r="D67" s="501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96</v>
      </c>
      <c r="B68" s="375">
        <f>(B67/B66)*(B65/B64)*(B63/B62)*(B61/B60)*B59</f>
        <v>100</v>
      </c>
      <c r="C68" s="496" t="s">
        <v>97</v>
      </c>
      <c r="D68" s="499">
        <f>Artemether!D68</f>
        <v>265.74</v>
      </c>
      <c r="E68" s="369">
        <v>1</v>
      </c>
      <c r="F68" s="370">
        <v>73424351</v>
      </c>
      <c r="G68" s="435">
        <f>IF(ISBLANK(F68),"-",(F68/$D$50*$D$47*$B$68)*($B$57/$D$68))</f>
        <v>119.3031996457692</v>
      </c>
      <c r="H68" s="454">
        <f t="shared" si="0"/>
        <v>99.419333038141005</v>
      </c>
    </row>
    <row r="69" spans="1:8" ht="27" customHeight="1" x14ac:dyDescent="0.4">
      <c r="A69" s="359" t="s">
        <v>98</v>
      </c>
      <c r="B69" s="376">
        <f>(D47*B68)/B56*B57</f>
        <v>264.55450000000002</v>
      </c>
      <c r="C69" s="497"/>
      <c r="D69" s="500"/>
      <c r="E69" s="371">
        <v>2</v>
      </c>
      <c r="F69" s="324">
        <v>73328297</v>
      </c>
      <c r="G69" s="436">
        <f>IF(ISBLANK(F69),"-",(F69/$D$50*$D$47*$B$68)*($B$57/$D$68))</f>
        <v>119.14712677099809</v>
      </c>
      <c r="H69" s="454">
        <f t="shared" si="0"/>
        <v>99.289272309165071</v>
      </c>
    </row>
    <row r="70" spans="1:8" ht="26.25" customHeight="1" x14ac:dyDescent="0.4">
      <c r="A70" s="502" t="s">
        <v>71</v>
      </c>
      <c r="B70" s="503"/>
      <c r="C70" s="497"/>
      <c r="D70" s="500"/>
      <c r="E70" s="371">
        <v>3</v>
      </c>
      <c r="F70" s="324">
        <v>73253830</v>
      </c>
      <c r="G70" s="436">
        <f>IF(ISBLANK(F70),"-",(F70/$D$50*$D$47*$B$68)*($B$57/$D$68))</f>
        <v>119.02612942819526</v>
      </c>
      <c r="H70" s="454">
        <f t="shared" si="0"/>
        <v>99.188441190162706</v>
      </c>
    </row>
    <row r="71" spans="1:8" ht="27" customHeight="1" x14ac:dyDescent="0.4">
      <c r="A71" s="504"/>
      <c r="B71" s="505"/>
      <c r="C71" s="498"/>
      <c r="D71" s="501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64</v>
      </c>
      <c r="G72" s="441">
        <f>AVERAGE(G60:G71)</f>
        <v>118.32107191119881</v>
      </c>
      <c r="H72" s="456">
        <f>AVERAGE(H60:H71)</f>
        <v>98.600893259332366</v>
      </c>
    </row>
    <row r="73" spans="1:8" ht="26.25" customHeight="1" x14ac:dyDescent="0.4">
      <c r="C73" s="377"/>
      <c r="D73" s="377"/>
      <c r="E73" s="377"/>
      <c r="F73" s="380" t="s">
        <v>77</v>
      </c>
      <c r="G73" s="440">
        <f>STDEV(G60:G71)/G72</f>
        <v>7.7488155710037964E-3</v>
      </c>
      <c r="H73" s="440">
        <f>STDEV(H60:H71)/H72</f>
        <v>7.7488155710037903E-3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99</v>
      </c>
      <c r="B76" s="384" t="s">
        <v>100</v>
      </c>
      <c r="C76" s="483" t="str">
        <f>B26</f>
        <v>Lumefantrine</v>
      </c>
      <c r="D76" s="483"/>
      <c r="E76" s="385" t="s">
        <v>101</v>
      </c>
      <c r="F76" s="385"/>
      <c r="G76" s="386">
        <f>H72</f>
        <v>98.600893259332366</v>
      </c>
      <c r="H76" s="387"/>
    </row>
    <row r="77" spans="1:8" ht="18.75" x14ac:dyDescent="0.3">
      <c r="A77" s="294" t="s">
        <v>102</v>
      </c>
      <c r="B77" s="294" t="s">
        <v>103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17" t="str">
        <f>B26</f>
        <v>Lumefantrine</v>
      </c>
      <c r="C79" s="517"/>
    </row>
    <row r="80" spans="1:8" ht="26.25" customHeight="1" x14ac:dyDescent="0.4">
      <c r="A80" s="296" t="s">
        <v>41</v>
      </c>
      <c r="B80" s="517" t="str">
        <f>B27</f>
        <v>L1 0</v>
      </c>
      <c r="C80" s="517"/>
    </row>
    <row r="81" spans="1:12" ht="27" customHeight="1" x14ac:dyDescent="0.4">
      <c r="A81" s="296" t="s">
        <v>6</v>
      </c>
      <c r="B81" s="388">
        <f>B28</f>
        <v>100.46</v>
      </c>
    </row>
    <row r="82" spans="1:12" s="14" customFormat="1" ht="27" customHeight="1" x14ac:dyDescent="0.4">
      <c r="A82" s="296" t="s">
        <v>42</v>
      </c>
      <c r="B82" s="298">
        <v>0</v>
      </c>
      <c r="C82" s="485" t="s">
        <v>43</v>
      </c>
      <c r="D82" s="486"/>
      <c r="E82" s="486"/>
      <c r="F82" s="486"/>
      <c r="G82" s="487"/>
      <c r="I82" s="299"/>
      <c r="J82" s="299"/>
      <c r="K82" s="299"/>
      <c r="L82" s="299"/>
    </row>
    <row r="83" spans="1:12" s="14" customFormat="1" ht="19.5" customHeight="1" x14ac:dyDescent="0.3">
      <c r="A83" s="296" t="s">
        <v>44</v>
      </c>
      <c r="B83" s="300">
        <f>B81-B82</f>
        <v>100.46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45</v>
      </c>
      <c r="B84" s="303">
        <v>1</v>
      </c>
      <c r="C84" s="488" t="s">
        <v>104</v>
      </c>
      <c r="D84" s="489"/>
      <c r="E84" s="489"/>
      <c r="F84" s="489"/>
      <c r="G84" s="489"/>
      <c r="H84" s="490"/>
      <c r="I84" s="299"/>
      <c r="J84" s="299"/>
      <c r="K84" s="299"/>
      <c r="L84" s="299"/>
    </row>
    <row r="85" spans="1:12" s="14" customFormat="1" ht="27" customHeight="1" x14ac:dyDescent="0.4">
      <c r="A85" s="296" t="s">
        <v>47</v>
      </c>
      <c r="B85" s="303">
        <v>1</v>
      </c>
      <c r="C85" s="488" t="s">
        <v>105</v>
      </c>
      <c r="D85" s="489"/>
      <c r="E85" s="489"/>
      <c r="F85" s="489"/>
      <c r="G85" s="489"/>
      <c r="H85" s="490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49</v>
      </c>
      <c r="B87" s="308">
        <f>B84/B85</f>
        <v>1</v>
      </c>
      <c r="C87" s="286" t="s">
        <v>50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51</v>
      </c>
      <c r="B89" s="310">
        <v>25</v>
      </c>
      <c r="D89" s="389" t="s">
        <v>52</v>
      </c>
      <c r="E89" s="390"/>
      <c r="F89" s="491" t="s">
        <v>53</v>
      </c>
      <c r="G89" s="492"/>
    </row>
    <row r="90" spans="1:12" ht="27" customHeight="1" x14ac:dyDescent="0.4">
      <c r="A90" s="311" t="s">
        <v>54</v>
      </c>
      <c r="B90" s="312">
        <v>4</v>
      </c>
      <c r="C90" s="391" t="s">
        <v>55</v>
      </c>
      <c r="D90" s="314" t="s">
        <v>56</v>
      </c>
      <c r="E90" s="315" t="s">
        <v>57</v>
      </c>
      <c r="F90" s="314" t="s">
        <v>56</v>
      </c>
      <c r="G90" s="392" t="s">
        <v>57</v>
      </c>
      <c r="I90" s="317" t="s">
        <v>58</v>
      </c>
    </row>
    <row r="91" spans="1:12" ht="26.25" customHeight="1" x14ac:dyDescent="0.4">
      <c r="A91" s="311" t="s">
        <v>59</v>
      </c>
      <c r="B91" s="312">
        <v>200</v>
      </c>
      <c r="C91" s="393">
        <v>1</v>
      </c>
      <c r="D91" s="319">
        <v>52522362</v>
      </c>
      <c r="E91" s="320">
        <f>IF(ISBLANK(D91),"-",$D$101/$D$98*D91)</f>
        <v>34688074.189936489</v>
      </c>
      <c r="F91" s="319">
        <v>53289728</v>
      </c>
      <c r="G91" s="321">
        <f>IF(ISBLANK(F91),"-",$D$101/$F$98*F91)</f>
        <v>34293843.870304182</v>
      </c>
      <c r="I91" s="322"/>
    </row>
    <row r="92" spans="1:12" ht="26.25" customHeight="1" x14ac:dyDescent="0.4">
      <c r="A92" s="311" t="s">
        <v>60</v>
      </c>
      <c r="B92" s="312">
        <v>1</v>
      </c>
      <c r="C92" s="378">
        <v>2</v>
      </c>
      <c r="D92" s="324">
        <v>52553125</v>
      </c>
      <c r="E92" s="325">
        <f>IF(ISBLANK(D92),"-",$D$101/$D$98*D92)</f>
        <v>34708391.425979778</v>
      </c>
      <c r="F92" s="324">
        <v>53121237</v>
      </c>
      <c r="G92" s="326">
        <f>IF(ISBLANK(F92),"-",$D$101/$F$98*F92)</f>
        <v>34185413.892062381</v>
      </c>
      <c r="I92" s="493">
        <f>ABS((F96/D96*D95)-F95)/D95</f>
        <v>9.1663928758481394E-3</v>
      </c>
    </row>
    <row r="93" spans="1:12" ht="26.25" customHeight="1" x14ac:dyDescent="0.4">
      <c r="A93" s="311" t="s">
        <v>61</v>
      </c>
      <c r="B93" s="312">
        <v>1</v>
      </c>
      <c r="C93" s="378">
        <v>3</v>
      </c>
      <c r="D93" s="324">
        <v>52565096</v>
      </c>
      <c r="E93" s="325">
        <f>IF(ISBLANK(D93),"-",$D$101/$D$98*D93)</f>
        <v>34716297.600041933</v>
      </c>
      <c r="F93" s="324">
        <v>54057613</v>
      </c>
      <c r="G93" s="326">
        <f>IF(ISBLANK(F93),"-",$D$101/$F$98*F93)</f>
        <v>34788005.302322537</v>
      </c>
      <c r="I93" s="493"/>
    </row>
    <row r="94" spans="1:12" ht="27" customHeight="1" x14ac:dyDescent="0.4">
      <c r="A94" s="311" t="s">
        <v>62</v>
      </c>
      <c r="B94" s="312">
        <v>1</v>
      </c>
      <c r="C94" s="394">
        <v>4</v>
      </c>
      <c r="D94" s="329">
        <v>52522362</v>
      </c>
      <c r="E94" s="330">
        <f>IF(ISBLANK(D94),"-",$D$101/$D$98*D94)</f>
        <v>34688074.189936489</v>
      </c>
      <c r="F94" s="395">
        <v>53289728</v>
      </c>
      <c r="G94" s="331">
        <f>IF(ISBLANK(F94),"-",$D$101/$F$98*F94)</f>
        <v>34293843.870304182</v>
      </c>
      <c r="I94" s="332"/>
    </row>
    <row r="95" spans="1:12" ht="27" customHeight="1" x14ac:dyDescent="0.4">
      <c r="A95" s="311" t="s">
        <v>63</v>
      </c>
      <c r="B95" s="312">
        <v>1</v>
      </c>
      <c r="C95" s="396" t="s">
        <v>64</v>
      </c>
      <c r="D95" s="397">
        <f>AVERAGE(D91:D94)</f>
        <v>52540736.25</v>
      </c>
      <c r="E95" s="335">
        <f>AVERAGE(E91:E94)</f>
        <v>34700209.351473674</v>
      </c>
      <c r="F95" s="398">
        <f>AVERAGE(F91:F94)</f>
        <v>53439576.5</v>
      </c>
      <c r="G95" s="399">
        <f>AVERAGE(G91:G94)</f>
        <v>34390276.733748317</v>
      </c>
    </row>
    <row r="96" spans="1:12" ht="26.25" customHeight="1" x14ac:dyDescent="0.4">
      <c r="A96" s="311" t="s">
        <v>65</v>
      </c>
      <c r="B96" s="297">
        <v>1</v>
      </c>
      <c r="C96" s="400" t="s">
        <v>106</v>
      </c>
      <c r="D96" s="401">
        <v>25.12</v>
      </c>
      <c r="E96" s="327"/>
      <c r="F96" s="339">
        <v>25.78</v>
      </c>
    </row>
    <row r="97" spans="1:10" ht="26.25" customHeight="1" x14ac:dyDescent="0.4">
      <c r="A97" s="311" t="s">
        <v>67</v>
      </c>
      <c r="B97" s="297">
        <v>1</v>
      </c>
      <c r="C97" s="402" t="s">
        <v>107</v>
      </c>
      <c r="D97" s="403">
        <f>D96*$B$87</f>
        <v>25.12</v>
      </c>
      <c r="E97" s="342"/>
      <c r="F97" s="341">
        <f>F96*$B$87</f>
        <v>25.78</v>
      </c>
    </row>
    <row r="98" spans="1:10" ht="19.5" customHeight="1" x14ac:dyDescent="0.3">
      <c r="A98" s="311" t="s">
        <v>69</v>
      </c>
      <c r="B98" s="404">
        <f>(B97/B96)*(B95/B94)*(B93/B92)*(B91/B90)*B89</f>
        <v>1250</v>
      </c>
      <c r="C98" s="402" t="s">
        <v>108</v>
      </c>
      <c r="D98" s="405">
        <f>D97*$B$83/100</f>
        <v>25.235551999999998</v>
      </c>
      <c r="E98" s="345"/>
      <c r="F98" s="344">
        <f>F97*$B$83/100</f>
        <v>25.898588</v>
      </c>
    </row>
    <row r="99" spans="1:10" ht="19.5" customHeight="1" x14ac:dyDescent="0.3">
      <c r="A99" s="479" t="s">
        <v>71</v>
      </c>
      <c r="B99" s="494"/>
      <c r="C99" s="402" t="s">
        <v>109</v>
      </c>
      <c r="D99" s="406">
        <f>D98/$B$98</f>
        <v>2.0188441599999999E-2</v>
      </c>
      <c r="E99" s="345"/>
      <c r="F99" s="348">
        <f>F98/$B$98</f>
        <v>2.0718870399999999E-2</v>
      </c>
      <c r="G99" s="407"/>
      <c r="H99" s="337"/>
    </row>
    <row r="100" spans="1:10" ht="19.5" customHeight="1" x14ac:dyDescent="0.3">
      <c r="A100" s="481"/>
      <c r="B100" s="495"/>
      <c r="C100" s="402" t="s">
        <v>73</v>
      </c>
      <c r="D100" s="408">
        <f>$B$56/$B$116</f>
        <v>1.3333333333333334E-2</v>
      </c>
      <c r="F100" s="353"/>
      <c r="G100" s="409"/>
      <c r="H100" s="337"/>
    </row>
    <row r="101" spans="1:10" ht="18.75" x14ac:dyDescent="0.3">
      <c r="C101" s="402" t="s">
        <v>74</v>
      </c>
      <c r="D101" s="403">
        <f>D100*$B$98</f>
        <v>16.666666666666668</v>
      </c>
      <c r="F101" s="353"/>
      <c r="G101" s="407"/>
      <c r="H101" s="337"/>
    </row>
    <row r="102" spans="1:10" ht="19.5" customHeight="1" x14ac:dyDescent="0.3">
      <c r="C102" s="410" t="s">
        <v>75</v>
      </c>
      <c r="D102" s="411">
        <f>D101/B34</f>
        <v>16.666666666666668</v>
      </c>
      <c r="F102" s="357"/>
      <c r="G102" s="407"/>
      <c r="H102" s="337"/>
      <c r="J102" s="412"/>
    </row>
    <row r="103" spans="1:10" ht="18.75" x14ac:dyDescent="0.3">
      <c r="C103" s="413" t="s">
        <v>110</v>
      </c>
      <c r="D103" s="414">
        <f>AVERAGE(E91:E94,G91:G94)</f>
        <v>34545243.042610995</v>
      </c>
      <c r="F103" s="357"/>
      <c r="G103" s="415"/>
      <c r="H103" s="337"/>
      <c r="J103" s="416"/>
    </row>
    <row r="104" spans="1:10" ht="18.75" x14ac:dyDescent="0.3">
      <c r="C104" s="380" t="s">
        <v>77</v>
      </c>
      <c r="D104" s="417">
        <f>STDEV(E91:E94,G91:G94)/D103</f>
        <v>7.0184870796218208E-3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8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111</v>
      </c>
      <c r="B107" s="310">
        <v>900</v>
      </c>
      <c r="C107" s="457" t="s">
        <v>112</v>
      </c>
      <c r="D107" s="457" t="s">
        <v>56</v>
      </c>
      <c r="E107" s="457" t="s">
        <v>113</v>
      </c>
      <c r="F107" s="419" t="s">
        <v>114</v>
      </c>
    </row>
    <row r="108" spans="1:10" ht="26.25" customHeight="1" x14ac:dyDescent="0.4">
      <c r="A108" s="311" t="s">
        <v>115</v>
      </c>
      <c r="B108" s="312">
        <v>5</v>
      </c>
      <c r="C108" s="462">
        <v>1</v>
      </c>
      <c r="D108" s="463">
        <v>87619284</v>
      </c>
      <c r="E108" s="437">
        <f t="shared" ref="E108:E113" si="1">IF(ISBLANK(D108),"-",D108/$D$103*$D$100*$B$116)</f>
        <v>304.36358681948667</v>
      </c>
      <c r="F108" s="464">
        <f t="shared" ref="F108:F113" si="2">IF(ISBLANK(D108), "-", (E108/$B$56)*100)</f>
        <v>253.6363223495722</v>
      </c>
    </row>
    <row r="109" spans="1:10" ht="26.25" customHeight="1" x14ac:dyDescent="0.4">
      <c r="A109" s="311" t="s">
        <v>88</v>
      </c>
      <c r="B109" s="312">
        <v>50</v>
      </c>
      <c r="C109" s="458">
        <v>2</v>
      </c>
      <c r="D109" s="460">
        <v>87231228</v>
      </c>
      <c r="E109" s="438">
        <f t="shared" si="1"/>
        <v>303.0155945664705</v>
      </c>
      <c r="F109" s="465">
        <f t="shared" si="2"/>
        <v>252.51299547205878</v>
      </c>
    </row>
    <row r="110" spans="1:10" ht="26.25" customHeight="1" x14ac:dyDescent="0.4">
      <c r="A110" s="311" t="s">
        <v>89</v>
      </c>
      <c r="B110" s="312">
        <v>1</v>
      </c>
      <c r="C110" s="458">
        <v>3</v>
      </c>
      <c r="D110" s="460">
        <v>87224653</v>
      </c>
      <c r="E110" s="438">
        <f t="shared" si="1"/>
        <v>302.99275495295194</v>
      </c>
      <c r="F110" s="465">
        <f t="shared" si="2"/>
        <v>252.49396246079328</v>
      </c>
    </row>
    <row r="111" spans="1:10" ht="26.25" customHeight="1" x14ac:dyDescent="0.4">
      <c r="A111" s="311" t="s">
        <v>90</v>
      </c>
      <c r="B111" s="312">
        <v>1</v>
      </c>
      <c r="C111" s="458">
        <v>4</v>
      </c>
      <c r="D111" s="460">
        <v>86491264</v>
      </c>
      <c r="E111" s="438">
        <f t="shared" si="1"/>
        <v>300.4451775660612</v>
      </c>
      <c r="F111" s="465">
        <f t="shared" si="2"/>
        <v>250.37098130505103</v>
      </c>
    </row>
    <row r="112" spans="1:10" ht="26.25" customHeight="1" x14ac:dyDescent="0.4">
      <c r="A112" s="311" t="s">
        <v>91</v>
      </c>
      <c r="B112" s="312">
        <v>1</v>
      </c>
      <c r="C112" s="458">
        <v>5</v>
      </c>
      <c r="D112" s="460">
        <v>88080316</v>
      </c>
      <c r="E112" s="438">
        <f t="shared" si="1"/>
        <v>305.96507620347393</v>
      </c>
      <c r="F112" s="465">
        <f t="shared" si="2"/>
        <v>254.97089683622826</v>
      </c>
    </row>
    <row r="113" spans="1:10" ht="27" customHeight="1" x14ac:dyDescent="0.4">
      <c r="A113" s="311" t="s">
        <v>93</v>
      </c>
      <c r="B113" s="312">
        <v>1</v>
      </c>
      <c r="C113" s="459">
        <v>6</v>
      </c>
      <c r="D113" s="461">
        <v>87568449</v>
      </c>
      <c r="E113" s="439">
        <f t="shared" si="1"/>
        <v>304.18700100150659</v>
      </c>
      <c r="F113" s="466">
        <f t="shared" si="2"/>
        <v>253.48916750125548</v>
      </c>
    </row>
    <row r="114" spans="1:10" ht="27" customHeight="1" x14ac:dyDescent="0.4">
      <c r="A114" s="311" t="s">
        <v>94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95</v>
      </c>
      <c r="B115" s="312">
        <v>1</v>
      </c>
      <c r="C115" s="420"/>
      <c r="D115" s="444" t="s">
        <v>64</v>
      </c>
      <c r="E115" s="446">
        <f>AVERAGE(E108:E113)</f>
        <v>303.4948651849918</v>
      </c>
      <c r="F115" s="468">
        <f>AVERAGE(F108:F113)</f>
        <v>252.91238765415983</v>
      </c>
    </row>
    <row r="116" spans="1:10" ht="27" customHeight="1" x14ac:dyDescent="0.4">
      <c r="A116" s="311" t="s">
        <v>96</v>
      </c>
      <c r="B116" s="343">
        <f>(B115/B114)*(B113/B112)*(B111/B110)*(B109/B108)*B107</f>
        <v>9000</v>
      </c>
      <c r="C116" s="421"/>
      <c r="D116" s="445" t="s">
        <v>77</v>
      </c>
      <c r="E116" s="443">
        <f>STDEV(E108:E113)/E115</f>
        <v>6.0966490078912111E-3</v>
      </c>
      <c r="F116" s="422">
        <f>STDEV(F108:F113)/F115</f>
        <v>6.0966490078911443E-3</v>
      </c>
      <c r="I116" s="285"/>
    </row>
    <row r="117" spans="1:10" ht="27" customHeight="1" x14ac:dyDescent="0.4">
      <c r="A117" s="479" t="s">
        <v>71</v>
      </c>
      <c r="B117" s="480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481"/>
      <c r="B118" s="482"/>
      <c r="C118" s="285"/>
      <c r="D118" s="447"/>
      <c r="E118" s="507" t="s">
        <v>116</v>
      </c>
      <c r="F118" s="508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117</v>
      </c>
      <c r="E119" s="450">
        <f>MIN(E108:E113)</f>
        <v>300.4451775660612</v>
      </c>
      <c r="F119" s="469">
        <f>MIN(F108:F113)</f>
        <v>250.37098130505103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118</v>
      </c>
      <c r="E120" s="451">
        <f>MAX(E108:E113)</f>
        <v>305.96507620347393</v>
      </c>
      <c r="F120" s="470">
        <f>MAX(F108:F113)</f>
        <v>254.97089683622826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99</v>
      </c>
      <c r="B124" s="384" t="s">
        <v>119</v>
      </c>
      <c r="C124" s="483" t="str">
        <f>B26</f>
        <v>Lumefantrine</v>
      </c>
      <c r="D124" s="483"/>
      <c r="E124" s="385" t="s">
        <v>120</v>
      </c>
      <c r="F124" s="385"/>
      <c r="G124" s="471">
        <f>F115</f>
        <v>252.91238765415983</v>
      </c>
      <c r="H124" s="285"/>
      <c r="I124" s="285"/>
    </row>
    <row r="125" spans="1:10" ht="45.75" customHeight="1" x14ac:dyDescent="0.65">
      <c r="A125" s="295"/>
      <c r="B125" s="384" t="s">
        <v>121</v>
      </c>
      <c r="C125" s="296" t="s">
        <v>122</v>
      </c>
      <c r="D125" s="471">
        <f>MIN(F108:F113)</f>
        <v>250.37098130505103</v>
      </c>
      <c r="E125" s="396" t="s">
        <v>123</v>
      </c>
      <c r="F125" s="471">
        <f>MAX(F108:F113)</f>
        <v>254.97089683622826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484" t="s">
        <v>26</v>
      </c>
      <c r="C127" s="484"/>
      <c r="E127" s="391" t="s">
        <v>27</v>
      </c>
      <c r="F127" s="426"/>
      <c r="G127" s="484" t="s">
        <v>28</v>
      </c>
      <c r="H127" s="484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A</vt:lpstr>
      <vt:lpstr>Artemether</vt:lpstr>
      <vt:lpstr>Uniformity</vt:lpstr>
      <vt:lpstr>SST L</vt:lpstr>
      <vt:lpstr>Lumefantrine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2017-03-27T08:11:20Z</dcterms:modified>
</cp:coreProperties>
</file>