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720" yWindow="840" windowWidth="14775" windowHeight="5295" activeTab="3"/>
  </bookViews>
  <sheets>
    <sheet name="Uniformity" sheetId="2" r:id="rId1"/>
    <sheet name="SST" sheetId="1" r:id="rId2"/>
    <sheet name="Glimepiride Assay Diss" sheetId="4" r:id="rId3"/>
    <sheet name="Glimepiride CU" sheetId="5" r:id="rId4"/>
  </sheets>
  <definedNames>
    <definedName name="_xlnm.Print_Area" localSheetId="2">'Glimepiride Assay Diss'!$A$1:$H$126</definedName>
    <definedName name="_xlnm.Print_Area" localSheetId="3">'Glimepiride CU'!$A$1:$H$88</definedName>
    <definedName name="_xlnm.Print_Area" localSheetId="1">SST!$A$1:$G$49</definedName>
    <definedName name="_xlnm.Print_Area" localSheetId="0">Uniformity!$A$1:$F$54</definedName>
  </definedNames>
  <calcPr calcId="124519"/>
</workbook>
</file>

<file path=xl/calcChain.xml><?xml version="1.0" encoding="utf-8"?>
<calcChain xmlns="http://schemas.openxmlformats.org/spreadsheetml/2006/main">
  <c r="F96" i="4"/>
  <c r="D96"/>
  <c r="B8" i="1"/>
  <c r="C74" i="5"/>
  <c r="B67"/>
  <c r="C56"/>
  <c r="B55"/>
  <c r="B45"/>
  <c r="D48" s="1"/>
  <c r="F44"/>
  <c r="F45" s="1"/>
  <c r="F46" s="1"/>
  <c r="D44"/>
  <c r="D45" s="1"/>
  <c r="D46" s="1"/>
  <c r="F42"/>
  <c r="D42"/>
  <c r="G41"/>
  <c r="E41"/>
  <c r="B34"/>
  <c r="B30"/>
  <c r="E39" l="1"/>
  <c r="G39"/>
  <c r="D49"/>
  <c r="E40"/>
  <c r="E38"/>
  <c r="G40"/>
  <c r="G38"/>
  <c r="G42" s="1"/>
  <c r="D50" l="1"/>
  <c r="D52"/>
  <c r="E42"/>
  <c r="D51"/>
  <c r="E67" l="1"/>
  <c r="E66"/>
  <c r="E62"/>
  <c r="E65"/>
  <c r="E61"/>
  <c r="E64"/>
  <c r="E60"/>
  <c r="E68"/>
  <c r="E63"/>
  <c r="E59"/>
  <c r="E70" l="1"/>
  <c r="E72"/>
  <c r="F59"/>
  <c r="E71"/>
  <c r="G59"/>
  <c r="G64"/>
  <c r="F64"/>
  <c r="F66"/>
  <c r="G66"/>
  <c r="G60"/>
  <c r="F60"/>
  <c r="F62"/>
  <c r="G62"/>
  <c r="F68"/>
  <c r="G68"/>
  <c r="G65"/>
  <c r="F65"/>
  <c r="F63"/>
  <c r="G63"/>
  <c r="F61"/>
  <c r="G61"/>
  <c r="G67"/>
  <c r="F67"/>
  <c r="F72" l="1"/>
  <c r="F70"/>
  <c r="F71" s="1"/>
  <c r="C81"/>
  <c r="G72"/>
  <c r="G70"/>
  <c r="G74" l="1"/>
  <c r="C79"/>
  <c r="C82"/>
  <c r="C83" s="1"/>
  <c r="G71"/>
  <c r="B57" i="4" l="1"/>
  <c r="C120"/>
  <c r="B116"/>
  <c r="D100" s="1"/>
  <c r="B98"/>
  <c r="F95"/>
  <c r="D95"/>
  <c r="I92" s="1"/>
  <c r="B87"/>
  <c r="D97" s="1"/>
  <c r="B81"/>
  <c r="B83" s="1"/>
  <c r="B80"/>
  <c r="B79"/>
  <c r="C76"/>
  <c r="B68"/>
  <c r="B69" s="1"/>
  <c r="C56"/>
  <c r="B55"/>
  <c r="B45"/>
  <c r="D48" s="1"/>
  <c r="F42"/>
  <c r="D42"/>
  <c r="B34"/>
  <c r="F44" s="1"/>
  <c r="B30"/>
  <c r="D50" i="2"/>
  <c r="C50"/>
  <c r="D49"/>
  <c r="C49"/>
  <c r="B49"/>
  <c r="C46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B40" i="1"/>
  <c r="E38"/>
  <c r="D38"/>
  <c r="C38"/>
  <c r="B38"/>
  <c r="B39" s="1"/>
  <c r="B19"/>
  <c r="E17"/>
  <c r="D17"/>
  <c r="C17"/>
  <c r="B17"/>
  <c r="B18" s="1"/>
  <c r="D101" i="4" l="1"/>
  <c r="F97"/>
  <c r="F98" s="1"/>
  <c r="I39"/>
  <c r="F45"/>
  <c r="G40" s="1"/>
  <c r="G41"/>
  <c r="D98"/>
  <c r="D44"/>
  <c r="D45" s="1"/>
  <c r="E40" s="1"/>
  <c r="D49"/>
  <c r="D102"/>
  <c r="G94"/>
  <c r="E91" l="1"/>
  <c r="G91"/>
  <c r="G93"/>
  <c r="F99"/>
  <c r="G92"/>
  <c r="G38"/>
  <c r="G39"/>
  <c r="G42" s="1"/>
  <c r="F46"/>
  <c r="E39"/>
  <c r="E94"/>
  <c r="E41"/>
  <c r="E92"/>
  <c r="D46"/>
  <c r="E38"/>
  <c r="E93"/>
  <c r="D99"/>
  <c r="G95" l="1"/>
  <c r="D105"/>
  <c r="E95"/>
  <c r="D50"/>
  <c r="E42"/>
  <c r="D52"/>
  <c r="D103"/>
  <c r="E113" l="1"/>
  <c r="F113" s="1"/>
  <c r="E111"/>
  <c r="F111" s="1"/>
  <c r="E109"/>
  <c r="F109" s="1"/>
  <c r="D104"/>
  <c r="E112"/>
  <c r="F112" s="1"/>
  <c r="E110"/>
  <c r="F110" s="1"/>
  <c r="E108"/>
  <c r="G70"/>
  <c r="H70" s="1"/>
  <c r="G67"/>
  <c r="H67" s="1"/>
  <c r="G65"/>
  <c r="H65" s="1"/>
  <c r="G63"/>
  <c r="H63" s="1"/>
  <c r="G61"/>
  <c r="H61" s="1"/>
  <c r="D51"/>
  <c r="G71"/>
  <c r="H71" s="1"/>
  <c r="G69"/>
  <c r="H69" s="1"/>
  <c r="G66"/>
  <c r="H66" s="1"/>
  <c r="G64"/>
  <c r="H64" s="1"/>
  <c r="G62"/>
  <c r="H62" s="1"/>
  <c r="G60"/>
  <c r="G68"/>
  <c r="H68" s="1"/>
  <c r="G74" l="1"/>
  <c r="G72"/>
  <c r="G73" s="1"/>
  <c r="H60"/>
  <c r="E117"/>
  <c r="F108"/>
  <c r="E115"/>
  <c r="E116" s="1"/>
  <c r="H74" l="1"/>
  <c r="H72"/>
  <c r="F115"/>
  <c r="F117"/>
  <c r="G76" l="1"/>
  <c r="H73"/>
  <c r="G120"/>
  <c r="F116"/>
</calcChain>
</file>

<file path=xl/sharedStrings.xml><?xml version="1.0" encoding="utf-8"?>
<sst xmlns="http://schemas.openxmlformats.org/spreadsheetml/2006/main" count="330" uniqueCount="158">
  <si>
    <t>HPLC System Suitability Report</t>
  </si>
  <si>
    <t>Analysis Data</t>
  </si>
  <si>
    <t>Sample(s)</t>
  </si>
  <si>
    <t>Reference Substance:</t>
  </si>
  <si>
    <t>GLYPRIDE 4 mg TABLETS</t>
  </si>
  <si>
    <t>% age Purity:</t>
  </si>
  <si>
    <t>NDQD201601728</t>
  </si>
  <si>
    <t>Weight (mg):</t>
  </si>
  <si>
    <t>Glimepiride 4 mg</t>
  </si>
  <si>
    <t>Standard Conc (mg/mL):</t>
  </si>
  <si>
    <t>Each tablet contains: Glimepiride 4 mg</t>
  </si>
  <si>
    <t>2016-01-29 10:05:16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</si>
  <si>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</si>
  <si>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</si>
  <si>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</si>
  <si>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</si>
  <si>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</si>
  <si>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</si>
  <si>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</si>
  <si>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</si>
  <si>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</si>
  <si>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</si>
  <si>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</si>
  <si>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</si>
  <si>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</si>
  <si>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</si>
  <si>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</si>
  <si>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</si>
  <si>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</si>
  <si>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</si>
  <si>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</si>
  <si>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</si>
  <si>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</si>
  <si>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</si>
  <si>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</si>
  <si>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</si>
  <si>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</si>
  <si>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</si>
  <si>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</si>
  <si>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</si>
  <si>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</si>
  <si>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</si>
  <si>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</si>
  <si>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</si>
  <si>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</si>
  <si>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</si>
  <si>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</si>
  <si>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</si>
  <si>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</si>
  <si>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</si>
  <si>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</si>
  <si>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</si>
  <si>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</si>
  <si>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</si>
  <si>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</si>
  <si>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</si>
  <si>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</si>
  <si>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</si>
  <si>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</si>
  <si>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</si>
  <si>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</si>
  <si>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</si>
  <si>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</si>
  <si>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</si>
  <si>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</si>
  <si>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</si>
  <si>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</si>
  <si>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</si>
  <si>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</si>
  <si>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</si>
  <si>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</si>
  <si>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</si>
  <si>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</si>
  <si>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</si>
  <si>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</si>
  <si>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</si>
  <si>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</si>
  <si>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</si>
  <si>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</si>
  <si>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</si>
  <si>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</si>
  <si>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</si>
  <si>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</si>
  <si>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</si>
  <si>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</si>
  <si>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</si>
  <si>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</si>
  <si>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</si>
  <si>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</si>
  <si>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</si>
  <si>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</si>
  <si>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</si>
  <si>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</si>
  <si>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</si>
  <si>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</si>
  <si>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</si>
  <si>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</si>
  <si>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</si>
  <si>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</si>
  <si>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</si>
  <si>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</si>
  <si>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</si>
  <si>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t>DISSOLUTION:</t>
  </si>
  <si>
    <t>Determination of Active Ingredient Dissolved</t>
  </si>
  <si>
    <t>If correction for water content is not needed please enter 0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</si>
  <si>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</si>
  <si>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</si>
  <si>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</si>
  <si>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</si>
  <si>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</si>
  <si>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</si>
  <si>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</si>
  <si>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</si>
  <si>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</si>
  <si>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</si>
  <si>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</si>
  <si>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</si>
  <si>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</si>
  <si>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</si>
  <si>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Glimepiride</t>
  </si>
  <si>
    <t>G2-7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</si>
  <si>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</si>
  <si>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</si>
  <si>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</si>
  <si>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</si>
  <si>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</si>
  <si>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</si>
  <si>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</si>
  <si>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</si>
  <si>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</si>
  <si>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</si>
  <si>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</si>
  <si>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</si>
  <si>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</si>
  <si>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</si>
  <si>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</si>
  <si>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</si>
  <si>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</si>
  <si>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</si>
  <si>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</si>
  <si>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</si>
  <si>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Capsule No.</t>
  </si>
  <si>
    <t>GLYPRIDE</t>
  </si>
  <si>
    <t>NDQD201511544</t>
  </si>
  <si>
    <t xml:space="preserve">Glimepiride  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</si>
  <si>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</si>
  <si>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</si>
  <si>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</si>
  <si>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</si>
  <si>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</si>
  <si>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</si>
  <si>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</si>
  <si>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</si>
  <si>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</si>
  <si>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Dr. Sarah Mwangi</t>
  </si>
  <si>
    <t>25th May 2016</t>
  </si>
  <si>
    <t>Assay &amp; Dissolution</t>
  </si>
  <si>
    <t>Dr Sarah Mwangi</t>
  </si>
</sst>
</file>

<file path=xl/styles.xml><?xml version="1.0" encoding="utf-8"?>
<styleSheet xmlns="http://schemas.openxmlformats.org/spreadsheetml/2006/main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dd\-mmm\-yyyy"/>
    <numFmt numFmtId="173" formatCode="0.0\ &quot;mg&quot;"/>
  </numFmts>
  <fonts count="40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u/>
      <sz val="16"/>
      <color rgb="FF000000"/>
      <name val="Book Antiqua"/>
    </font>
    <font>
      <b/>
      <sz val="14"/>
      <color rgb="FF000000"/>
      <name val="Calibri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i/>
      <sz val="14"/>
      <color rgb="FF000000"/>
      <name val="Arial"/>
      <family val="2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2" fillId="2" borderId="0"/>
    <xf numFmtId="0" fontId="22" fillId="2" borderId="0"/>
    <xf numFmtId="0" fontId="36" fillId="2" borderId="0"/>
  </cellStyleXfs>
  <cellXfs count="45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0" fontId="14" fillId="3" borderId="23" xfId="0" applyFont="1" applyFill="1" applyBorder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4" fillId="3" borderId="25" xfId="0" applyFont="1" applyFill="1" applyBorder="1" applyAlignment="1" applyProtection="1">
      <alignment horizontal="center"/>
      <protection locked="0"/>
    </xf>
    <xf numFmtId="0" fontId="14" fillId="3" borderId="31" xfId="0" applyFont="1" applyFill="1" applyBorder="1" applyAlignment="1" applyProtection="1">
      <alignment horizontal="center"/>
      <protection locked="0"/>
    </xf>
    <xf numFmtId="0" fontId="14" fillId="3" borderId="52" xfId="0" applyFont="1" applyFill="1" applyBorder="1" applyAlignment="1" applyProtection="1">
      <alignment horizontal="center"/>
      <protection locked="0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2" fillId="2" borderId="0" xfId="1" applyFont="1" applyFill="1"/>
    <xf numFmtId="0" fontId="0" fillId="2" borderId="0" xfId="1" applyFont="1" applyFill="1"/>
    <xf numFmtId="0" fontId="11" fillId="2" borderId="0" xfId="1" applyFont="1" applyFill="1"/>
    <xf numFmtId="0" fontId="12" fillId="2" borderId="0" xfId="1" applyFont="1" applyFill="1"/>
    <xf numFmtId="0" fontId="14" fillId="2" borderId="0" xfId="1" applyFont="1" applyFill="1" applyAlignment="1" applyProtection="1">
      <alignment horizontal="right"/>
      <protection locked="0"/>
    </xf>
    <xf numFmtId="0" fontId="14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1" fillId="3" borderId="0" xfId="1" applyFont="1" applyFill="1" applyProtection="1">
      <protection locked="0"/>
    </xf>
    <xf numFmtId="172" fontId="13" fillId="3" borderId="0" xfId="1" applyNumberFormat="1" applyFont="1" applyFill="1" applyAlignment="1" applyProtection="1">
      <alignment horizontal="center"/>
      <protection locked="0"/>
    </xf>
    <xf numFmtId="168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24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8" fillId="2" borderId="0" xfId="1" applyFont="1" applyFill="1"/>
    <xf numFmtId="2" fontId="14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5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4" fillId="3" borderId="25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4" fillId="3" borderId="31" xfId="1" applyFont="1" applyFill="1" applyBorder="1" applyAlignment="1" applyProtection="1">
      <alignment horizontal="center"/>
      <protection locked="0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49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9" xfId="1" applyFont="1" applyFill="1" applyBorder="1" applyAlignment="1">
      <alignment horizontal="center"/>
    </xf>
    <xf numFmtId="0" fontId="14" fillId="3" borderId="30" xfId="1" applyFont="1" applyFill="1" applyBorder="1" applyAlignment="1" applyProtection="1">
      <alignment horizontal="center"/>
      <protection locked="0"/>
    </xf>
    <xf numFmtId="170" fontId="11" fillId="2" borderId="27" xfId="1" applyNumberFormat="1" applyFont="1" applyFill="1" applyBorder="1" applyAlignment="1">
      <alignment horizontal="center"/>
    </xf>
    <xf numFmtId="170" fontId="11" fillId="2" borderId="28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11" fillId="2" borderId="31" xfId="1" applyFont="1" applyFill="1" applyBorder="1" applyAlignment="1">
      <alignment horizontal="center"/>
    </xf>
    <xf numFmtId="0" fontId="14" fillId="3" borderId="23" xfId="1" applyFont="1" applyFill="1" applyBorder="1" applyAlignment="1" applyProtection="1">
      <alignment horizontal="center"/>
      <protection locked="0"/>
    </xf>
    <xf numFmtId="170" fontId="11" fillId="2" borderId="32" xfId="1" applyNumberFormat="1" applyFont="1" applyFill="1" applyBorder="1" applyAlignment="1">
      <alignment horizontal="center"/>
    </xf>
    <xf numFmtId="170" fontId="11" fillId="2" borderId="24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4" fillId="3" borderId="34" xfId="1" applyFont="1" applyFill="1" applyBorder="1" applyAlignment="1" applyProtection="1">
      <alignment horizontal="center"/>
      <protection locked="0"/>
    </xf>
    <xf numFmtId="170" fontId="11" fillId="2" borderId="35" xfId="1" applyNumberFormat="1" applyFont="1" applyFill="1" applyBorder="1" applyAlignment="1">
      <alignment horizontal="center"/>
    </xf>
    <xf numFmtId="170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31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0" fontId="12" fillId="6" borderId="38" xfId="1" applyNumberFormat="1" applyFont="1" applyFill="1" applyBorder="1" applyAlignment="1">
      <alignment horizontal="center"/>
    </xf>
    <xf numFmtId="170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4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4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30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0" fontId="12" fillId="7" borderId="13" xfId="1" applyNumberFormat="1" applyFont="1" applyFill="1" applyBorder="1" applyAlignment="1">
      <alignment horizontal="center"/>
    </xf>
    <xf numFmtId="170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3" fontId="14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4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4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4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5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31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8" xfId="1" applyNumberFormat="1" applyFont="1" applyFill="1" applyBorder="1" applyAlignment="1">
      <alignment horizontal="center" vertical="center"/>
    </xf>
    <xf numFmtId="0" fontId="13" fillId="2" borderId="31" xfId="1" applyFont="1" applyFill="1" applyBorder="1" applyAlignment="1">
      <alignment horizontal="center"/>
    </xf>
    <xf numFmtId="2" fontId="13" fillId="2" borderId="48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59" xfId="1" applyFont="1" applyFill="1" applyBorder="1" applyAlignment="1">
      <alignment horizontal="right"/>
    </xf>
    <xf numFmtId="2" fontId="14" fillId="7" borderId="33" xfId="1" applyNumberFormat="1" applyFont="1" applyFill="1" applyBorder="1" applyAlignment="1">
      <alignment horizontal="center"/>
    </xf>
    <xf numFmtId="10" fontId="14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4" fillId="6" borderId="60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4" fillId="7" borderId="61" xfId="1" applyFont="1" applyFill="1" applyBorder="1" applyAlignment="1">
      <alignment horizontal="center"/>
    </xf>
    <xf numFmtId="165" fontId="14" fillId="2" borderId="0" xfId="1" applyNumberFormat="1" applyFont="1" applyFill="1" applyAlignment="1">
      <alignment horizontal="center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28" xfId="1" applyFont="1" applyFill="1" applyBorder="1" applyAlignment="1">
      <alignment horizontal="center"/>
    </xf>
    <xf numFmtId="0" fontId="11" fillId="2" borderId="52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" fontId="12" fillId="6" borderId="62" xfId="1" applyNumberFormat="1" applyFont="1" applyFill="1" applyBorder="1" applyAlignment="1">
      <alignment horizontal="center"/>
    </xf>
    <xf numFmtId="1" fontId="12" fillId="6" borderId="53" xfId="1" applyNumberFormat="1" applyFont="1" applyFill="1" applyBorder="1" applyAlignment="1">
      <alignment horizontal="center"/>
    </xf>
    <xf numFmtId="170" fontId="12" fillId="6" borderId="15" xfId="1" applyNumberFormat="1" applyFont="1" applyFill="1" applyBorder="1" applyAlignment="1">
      <alignment horizontal="center"/>
    </xf>
    <xf numFmtId="0" fontId="11" fillId="2" borderId="63" xfId="1" applyFont="1" applyFill="1" applyBorder="1" applyAlignment="1">
      <alignment horizontal="right"/>
    </xf>
    <xf numFmtId="0" fontId="14" fillId="3" borderId="54" xfId="1" applyFont="1" applyFill="1" applyBorder="1" applyAlignment="1" applyProtection="1">
      <alignment horizontal="center"/>
      <protection locked="0"/>
    </xf>
    <xf numFmtId="0" fontId="11" fillId="2" borderId="26" xfId="1" applyFont="1" applyFill="1" applyBorder="1" applyAlignment="1">
      <alignment horizontal="right"/>
    </xf>
    <xf numFmtId="2" fontId="11" fillId="6" borderId="49" xfId="1" applyNumberFormat="1" applyFont="1" applyFill="1" applyBorder="1" applyAlignment="1">
      <alignment horizontal="center"/>
    </xf>
    <xf numFmtId="2" fontId="11" fillId="7" borderId="49" xfId="1" applyNumberFormat="1" applyFont="1" applyFill="1" applyBorder="1" applyAlignment="1">
      <alignment horizontal="center"/>
    </xf>
    <xf numFmtId="166" fontId="11" fillId="6" borderId="49" xfId="1" applyNumberFormat="1" applyFont="1" applyFill="1" applyBorder="1" applyAlignment="1">
      <alignment horizontal="center"/>
    </xf>
    <xf numFmtId="166" fontId="11" fillId="7" borderId="49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5" xfId="1" applyFont="1" applyFill="1" applyBorder="1" applyAlignment="1">
      <alignment horizontal="right"/>
    </xf>
    <xf numFmtId="2" fontId="11" fillId="7" borderId="28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0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45" xfId="1" applyFont="1" applyFill="1" applyBorder="1" applyAlignment="1">
      <alignment horizontal="center"/>
    </xf>
    <xf numFmtId="0" fontId="12" fillId="2" borderId="46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66" fontId="11" fillId="2" borderId="27" xfId="1" applyNumberFormat="1" applyFont="1" applyFill="1" applyBorder="1" applyAlignment="1">
      <alignment horizontal="center"/>
    </xf>
    <xf numFmtId="10" fontId="11" fillId="2" borderId="28" xfId="1" applyNumberFormat="1" applyFont="1" applyFill="1" applyBorder="1" applyAlignment="1">
      <alignment horizontal="center"/>
    </xf>
    <xf numFmtId="166" fontId="11" fillId="2" borderId="32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31" xfId="1" applyNumberFormat="1" applyFont="1" applyFill="1" applyBorder="1" applyAlignment="1">
      <alignment horizontal="center"/>
    </xf>
    <xf numFmtId="170" fontId="11" fillId="2" borderId="2" xfId="1" applyNumberFormat="1" applyFont="1" applyFill="1" applyBorder="1" applyAlignment="1">
      <alignment horizontal="right"/>
    </xf>
    <xf numFmtId="2" fontId="14" fillId="7" borderId="49" xfId="1" applyNumberFormat="1" applyFont="1" applyFill="1" applyBorder="1" applyAlignment="1">
      <alignment horizontal="center"/>
    </xf>
    <xf numFmtId="10" fontId="14" fillId="7" borderId="49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4" fillId="6" borderId="49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4" fillId="7" borderId="17" xfId="1" applyFont="1" applyFill="1" applyBorder="1" applyAlignment="1">
      <alignment horizontal="center"/>
    </xf>
    <xf numFmtId="0" fontId="17" fillId="2" borderId="0" xfId="1" applyFont="1" applyFill="1" applyAlignment="1">
      <alignment horizontal="righ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0" fillId="2" borderId="0" xfId="2" applyFont="1" applyFill="1"/>
    <xf numFmtId="0" fontId="27" fillId="2" borderId="0" xfId="2" applyFont="1" applyFill="1"/>
    <xf numFmtId="0" fontId="29" fillId="2" borderId="0" xfId="2" applyFont="1" applyFill="1"/>
    <xf numFmtId="0" fontId="30" fillId="2" borderId="0" xfId="2" applyFont="1" applyFill="1"/>
    <xf numFmtId="0" fontId="30" fillId="3" borderId="0" xfId="2" applyFont="1" applyFill="1" applyAlignment="1" applyProtection="1">
      <alignment horizontal="left"/>
      <protection locked="0"/>
    </xf>
    <xf numFmtId="0" fontId="32" fillId="3" borderId="0" xfId="2" applyFont="1" applyFill="1" applyAlignment="1" applyProtection="1">
      <alignment horizontal="left"/>
      <protection locked="0"/>
    </xf>
    <xf numFmtId="0" fontId="32" fillId="3" borderId="0" xfId="2" applyFont="1" applyFill="1" applyProtection="1">
      <protection locked="0"/>
    </xf>
    <xf numFmtId="0" fontId="27" fillId="3" borderId="0" xfId="2" applyFont="1" applyFill="1" applyProtection="1">
      <protection locked="0"/>
    </xf>
    <xf numFmtId="168" fontId="32" fillId="3" borderId="0" xfId="2" applyNumberFormat="1" applyFont="1" applyFill="1" applyAlignment="1" applyProtection="1">
      <alignment horizontal="left"/>
      <protection locked="0"/>
    </xf>
    <xf numFmtId="0" fontId="32" fillId="2" borderId="0" xfId="2" applyFont="1" applyFill="1"/>
    <xf numFmtId="168" fontId="27" fillId="2" borderId="0" xfId="2" applyNumberFormat="1" applyFont="1" applyFill="1" applyAlignment="1">
      <alignment horizontal="left"/>
    </xf>
    <xf numFmtId="0" fontId="29" fillId="2" borderId="0" xfId="2" applyFont="1" applyFill="1" applyAlignment="1">
      <alignment horizontal="left"/>
    </xf>
    <xf numFmtId="0" fontId="30" fillId="2" borderId="0" xfId="2" applyFont="1" applyFill="1" applyAlignment="1">
      <alignment horizontal="right"/>
    </xf>
    <xf numFmtId="0" fontId="27" fillId="2" borderId="0" xfId="2" applyFont="1" applyFill="1" applyAlignment="1">
      <alignment horizontal="right"/>
    </xf>
    <xf numFmtId="0" fontId="31" fillId="3" borderId="0" xfId="2" applyFont="1" applyFill="1" applyAlignment="1" applyProtection="1">
      <alignment horizontal="center"/>
      <protection locked="0"/>
    </xf>
    <xf numFmtId="0" fontId="32" fillId="3" borderId="0" xfId="2" applyFont="1" applyFill="1" applyAlignment="1" applyProtection="1">
      <alignment horizontal="center"/>
      <protection locked="0"/>
    </xf>
    <xf numFmtId="0" fontId="30" fillId="2" borderId="0" xfId="2" applyFont="1" applyFill="1" applyAlignment="1">
      <alignment horizontal="center"/>
    </xf>
    <xf numFmtId="0" fontId="33" fillId="2" borderId="0" xfId="2" applyFont="1" applyFill="1"/>
    <xf numFmtId="2" fontId="31" fillId="3" borderId="0" xfId="2" applyNumberFormat="1" applyFont="1" applyFill="1" applyAlignment="1" applyProtection="1">
      <alignment horizontal="center"/>
      <protection locked="0"/>
    </xf>
    <xf numFmtId="2" fontId="30" fillId="2" borderId="0" xfId="2" applyNumberFormat="1" applyFont="1" applyFill="1" applyAlignment="1">
      <alignment horizontal="center"/>
    </xf>
    <xf numFmtId="0" fontId="28" fillId="2" borderId="0" xfId="2" applyFont="1" applyFill="1" applyAlignment="1">
      <alignment horizontal="left" vertical="center" wrapText="1"/>
    </xf>
    <xf numFmtId="169" fontId="30" fillId="2" borderId="0" xfId="2" applyNumberFormat="1" applyFont="1" applyFill="1" applyAlignment="1">
      <alignment horizontal="center"/>
    </xf>
    <xf numFmtId="0" fontId="34" fillId="2" borderId="0" xfId="2" applyFont="1" applyFill="1"/>
    <xf numFmtId="0" fontId="27" fillId="2" borderId="21" xfId="2" applyFont="1" applyFill="1" applyBorder="1" applyAlignment="1">
      <alignment horizontal="right"/>
    </xf>
    <xf numFmtId="0" fontId="31" fillId="3" borderId="22" xfId="2" applyFont="1" applyFill="1" applyBorder="1" applyAlignment="1" applyProtection="1">
      <alignment horizontal="center"/>
      <protection locked="0"/>
    </xf>
    <xf numFmtId="0" fontId="27" fillId="2" borderId="23" xfId="2" applyFont="1" applyFill="1" applyBorder="1" applyAlignment="1">
      <alignment horizontal="right"/>
    </xf>
    <xf numFmtId="0" fontId="31" fillId="3" borderId="24" xfId="2" applyFont="1" applyFill="1" applyBorder="1" applyAlignment="1" applyProtection="1">
      <alignment horizontal="center"/>
      <protection locked="0"/>
    </xf>
    <xf numFmtId="0" fontId="30" fillId="2" borderId="25" xfId="2" applyFont="1" applyFill="1" applyBorder="1" applyAlignment="1">
      <alignment horizontal="center"/>
    </xf>
    <xf numFmtId="0" fontId="30" fillId="2" borderId="26" xfId="2" applyFont="1" applyFill="1" applyBorder="1" applyAlignment="1">
      <alignment horizontal="center"/>
    </xf>
    <xf numFmtId="0" fontId="30" fillId="2" borderId="27" xfId="2" applyFont="1" applyFill="1" applyBorder="1" applyAlignment="1">
      <alignment horizontal="center"/>
    </xf>
    <xf numFmtId="0" fontId="30" fillId="2" borderId="28" xfId="2" applyFont="1" applyFill="1" applyBorder="1" applyAlignment="1">
      <alignment horizontal="center"/>
    </xf>
    <xf numFmtId="0" fontId="27" fillId="2" borderId="29" xfId="2" applyFont="1" applyFill="1" applyBorder="1" applyAlignment="1">
      <alignment horizontal="center"/>
    </xf>
    <xf numFmtId="0" fontId="14" fillId="3" borderId="30" xfId="3" applyFont="1" applyFill="1" applyBorder="1" applyAlignment="1" applyProtection="1">
      <alignment horizontal="center"/>
      <protection locked="0"/>
    </xf>
    <xf numFmtId="170" fontId="27" fillId="2" borderId="27" xfId="2" applyNumberFormat="1" applyFont="1" applyFill="1" applyBorder="1" applyAlignment="1">
      <alignment horizontal="center"/>
    </xf>
    <xf numFmtId="170" fontId="27" fillId="2" borderId="28" xfId="2" applyNumberFormat="1" applyFont="1" applyFill="1" applyBorder="1" applyAlignment="1">
      <alignment horizontal="center"/>
    </xf>
    <xf numFmtId="0" fontId="27" fillId="2" borderId="31" xfId="2" applyFont="1" applyFill="1" applyBorder="1" applyAlignment="1">
      <alignment horizontal="center"/>
    </xf>
    <xf numFmtId="0" fontId="14" fillId="3" borderId="23" xfId="3" applyFont="1" applyFill="1" applyBorder="1" applyAlignment="1" applyProtection="1">
      <alignment horizontal="center"/>
      <protection locked="0"/>
    </xf>
    <xf numFmtId="170" fontId="27" fillId="2" borderId="32" xfId="2" applyNumberFormat="1" applyFont="1" applyFill="1" applyBorder="1" applyAlignment="1">
      <alignment horizontal="center"/>
    </xf>
    <xf numFmtId="170" fontId="27" fillId="2" borderId="24" xfId="2" applyNumberFormat="1" applyFont="1" applyFill="1" applyBorder="1" applyAlignment="1">
      <alignment horizontal="center"/>
    </xf>
    <xf numFmtId="0" fontId="27" fillId="2" borderId="33" xfId="2" applyFont="1" applyFill="1" applyBorder="1" applyAlignment="1">
      <alignment horizontal="center"/>
    </xf>
    <xf numFmtId="0" fontId="31" fillId="3" borderId="34" xfId="2" applyFont="1" applyFill="1" applyBorder="1" applyAlignment="1" applyProtection="1">
      <alignment horizontal="center"/>
      <protection locked="0"/>
    </xf>
    <xf numFmtId="170" fontId="27" fillId="2" borderId="35" xfId="2" applyNumberFormat="1" applyFont="1" applyFill="1" applyBorder="1" applyAlignment="1">
      <alignment horizontal="center"/>
    </xf>
    <xf numFmtId="170" fontId="27" fillId="2" borderId="36" xfId="2" applyNumberFormat="1" applyFont="1" applyFill="1" applyBorder="1" applyAlignment="1">
      <alignment horizontal="center"/>
    </xf>
    <xf numFmtId="0" fontId="27" fillId="2" borderId="31" xfId="2" applyFont="1" applyFill="1" applyBorder="1" applyAlignment="1">
      <alignment horizontal="right"/>
    </xf>
    <xf numFmtId="1" fontId="30" fillId="6" borderId="37" xfId="2" applyNumberFormat="1" applyFont="1" applyFill="1" applyBorder="1" applyAlignment="1">
      <alignment horizontal="center"/>
    </xf>
    <xf numFmtId="170" fontId="30" fillId="6" borderId="38" xfId="2" applyNumberFormat="1" applyFont="1" applyFill="1" applyBorder="1" applyAlignment="1">
      <alignment horizontal="center"/>
    </xf>
    <xf numFmtId="170" fontId="30" fillId="6" borderId="39" xfId="2" applyNumberFormat="1" applyFont="1" applyFill="1" applyBorder="1" applyAlignment="1">
      <alignment horizontal="center"/>
    </xf>
    <xf numFmtId="0" fontId="27" fillId="2" borderId="40" xfId="2" applyFont="1" applyFill="1" applyBorder="1" applyAlignment="1">
      <alignment horizontal="right"/>
    </xf>
    <xf numFmtId="0" fontId="14" fillId="3" borderId="16" xfId="2" applyFont="1" applyFill="1" applyBorder="1" applyAlignment="1" applyProtection="1">
      <alignment horizontal="center"/>
      <protection locked="0"/>
    </xf>
    <xf numFmtId="0" fontId="27" fillId="2" borderId="11" xfId="2" applyFont="1" applyFill="1" applyBorder="1" applyAlignment="1">
      <alignment horizontal="right"/>
    </xf>
    <xf numFmtId="2" fontId="27" fillId="6" borderId="41" xfId="2" applyNumberFormat="1" applyFont="1" applyFill="1" applyBorder="1" applyAlignment="1">
      <alignment horizontal="center"/>
    </xf>
    <xf numFmtId="0" fontId="27" fillId="2" borderId="0" xfId="2" applyFont="1" applyFill="1" applyAlignment="1">
      <alignment horizontal="center"/>
    </xf>
    <xf numFmtId="0" fontId="27" fillId="2" borderId="39" xfId="2" applyFont="1" applyFill="1" applyBorder="1" applyAlignment="1">
      <alignment horizontal="center"/>
    </xf>
    <xf numFmtId="2" fontId="27" fillId="7" borderId="41" xfId="2" applyNumberFormat="1" applyFont="1" applyFill="1" applyBorder="1" applyAlignment="1">
      <alignment horizontal="center"/>
    </xf>
    <xf numFmtId="2" fontId="27" fillId="2" borderId="0" xfId="2" applyNumberFormat="1" applyFont="1" applyFill="1" applyAlignment="1">
      <alignment horizontal="center"/>
    </xf>
    <xf numFmtId="2" fontId="27" fillId="6" borderId="17" xfId="2" applyNumberFormat="1" applyFont="1" applyFill="1" applyBorder="1" applyAlignment="1">
      <alignment horizontal="center"/>
    </xf>
    <xf numFmtId="0" fontId="27" fillId="2" borderId="42" xfId="2" applyFont="1" applyFill="1" applyBorder="1" applyAlignment="1">
      <alignment horizontal="right"/>
    </xf>
    <xf numFmtId="0" fontId="31" fillId="3" borderId="41" xfId="2" applyFont="1" applyFill="1" applyBorder="1" applyAlignment="1" applyProtection="1">
      <alignment horizontal="center"/>
      <protection locked="0"/>
    </xf>
    <xf numFmtId="1" fontId="27" fillId="2" borderId="0" xfId="2" applyNumberFormat="1" applyFont="1" applyFill="1" applyAlignment="1">
      <alignment horizontal="center"/>
    </xf>
    <xf numFmtId="0" fontId="27" fillId="2" borderId="30" xfId="2" applyFont="1" applyFill="1" applyBorder="1" applyAlignment="1">
      <alignment horizontal="right"/>
    </xf>
    <xf numFmtId="2" fontId="27" fillId="6" borderId="15" xfId="2" applyNumberFormat="1" applyFont="1" applyFill="1" applyBorder="1" applyAlignment="1">
      <alignment horizontal="center"/>
    </xf>
    <xf numFmtId="170" fontId="30" fillId="7" borderId="13" xfId="2" applyNumberFormat="1" applyFont="1" applyFill="1" applyBorder="1" applyAlignment="1">
      <alignment horizontal="center"/>
    </xf>
    <xf numFmtId="170" fontId="27" fillId="2" borderId="0" xfId="2" applyNumberFormat="1" applyFont="1" applyFill="1" applyAlignment="1">
      <alignment horizontal="center"/>
    </xf>
    <xf numFmtId="10" fontId="27" fillId="6" borderId="41" xfId="2" applyNumberFormat="1" applyFont="1" applyFill="1" applyBorder="1" applyAlignment="1">
      <alignment horizontal="center"/>
    </xf>
    <xf numFmtId="0" fontId="27" fillId="2" borderId="43" xfId="2" applyFont="1" applyFill="1" applyBorder="1" applyAlignment="1">
      <alignment horizontal="right"/>
    </xf>
    <xf numFmtId="0" fontId="27" fillId="7" borderId="15" xfId="2" applyFont="1" applyFill="1" applyBorder="1" applyAlignment="1">
      <alignment horizontal="center"/>
    </xf>
    <xf numFmtId="0" fontId="30" fillId="2" borderId="0" xfId="2" applyFont="1" applyFill="1" applyAlignment="1">
      <alignment horizontal="left"/>
    </xf>
    <xf numFmtId="0" fontId="27" fillId="2" borderId="0" xfId="2" applyFont="1" applyFill="1" applyAlignment="1">
      <alignment horizontal="left"/>
    </xf>
    <xf numFmtId="0" fontId="37" fillId="2" borderId="0" xfId="2" applyFont="1" applyFill="1"/>
    <xf numFmtId="0" fontId="38" fillId="2" borderId="0" xfId="2" applyFont="1" applyFill="1"/>
    <xf numFmtId="0" fontId="30" fillId="2" borderId="44" xfId="2" applyFont="1" applyFill="1" applyBorder="1" applyAlignment="1">
      <alignment horizontal="center"/>
    </xf>
    <xf numFmtId="0" fontId="30" fillId="7" borderId="45" xfId="2" applyFont="1" applyFill="1" applyBorder="1" applyAlignment="1">
      <alignment horizontal="center"/>
    </xf>
    <xf numFmtId="0" fontId="30" fillId="7" borderId="10" xfId="2" applyFont="1" applyFill="1" applyBorder="1" applyAlignment="1">
      <alignment horizontal="center"/>
    </xf>
    <xf numFmtId="0" fontId="30" fillId="7" borderId="46" xfId="2" applyFont="1" applyFill="1" applyBorder="1" applyAlignment="1">
      <alignment horizontal="center" wrapText="1"/>
    </xf>
    <xf numFmtId="0" fontId="30" fillId="7" borderId="25" xfId="2" applyFont="1" applyFill="1" applyBorder="1" applyAlignment="1">
      <alignment horizontal="center" wrapText="1"/>
    </xf>
    <xf numFmtId="0" fontId="27" fillId="2" borderId="30" xfId="2" applyFont="1" applyFill="1" applyBorder="1" applyAlignment="1">
      <alignment horizontal="center"/>
    </xf>
    <xf numFmtId="0" fontId="32" fillId="3" borderId="4" xfId="2" applyFont="1" applyFill="1" applyBorder="1" applyAlignment="1">
      <alignment horizontal="center" wrapText="1"/>
    </xf>
    <xf numFmtId="2" fontId="27" fillId="2" borderId="27" xfId="2" applyNumberFormat="1" applyFont="1" applyFill="1" applyBorder="1" applyAlignment="1">
      <alignment horizontal="center"/>
    </xf>
    <xf numFmtId="2" fontId="27" fillId="2" borderId="4" xfId="2" applyNumberFormat="1" applyFont="1" applyFill="1" applyBorder="1" applyAlignment="1">
      <alignment horizontal="center"/>
    </xf>
    <xf numFmtId="2" fontId="27" fillId="2" borderId="29" xfId="2" applyNumberFormat="1" applyFont="1" applyFill="1" applyBorder="1" applyAlignment="1">
      <alignment horizontal="center"/>
    </xf>
    <xf numFmtId="0" fontId="27" fillId="2" borderId="23" xfId="2" applyFont="1" applyFill="1" applyBorder="1" applyAlignment="1">
      <alignment horizontal="center"/>
    </xf>
    <xf numFmtId="0" fontId="32" fillId="3" borderId="3" xfId="2" applyFont="1" applyFill="1" applyBorder="1" applyAlignment="1">
      <alignment horizontal="center" wrapText="1"/>
    </xf>
    <xf numFmtId="2" fontId="27" fillId="2" borderId="32" xfId="2" applyNumberFormat="1" applyFont="1" applyFill="1" applyBorder="1" applyAlignment="1">
      <alignment horizontal="center"/>
    </xf>
    <xf numFmtId="2" fontId="27" fillId="2" borderId="3" xfId="2" applyNumberFormat="1" applyFont="1" applyFill="1" applyBorder="1" applyAlignment="1">
      <alignment horizontal="center"/>
    </xf>
    <xf numFmtId="2" fontId="27" fillId="2" borderId="31" xfId="2" applyNumberFormat="1" applyFont="1" applyFill="1" applyBorder="1" applyAlignment="1">
      <alignment horizontal="center"/>
    </xf>
    <xf numFmtId="0" fontId="27" fillId="2" borderId="43" xfId="2" applyFont="1" applyFill="1" applyBorder="1" applyAlignment="1">
      <alignment horizontal="center"/>
    </xf>
    <xf numFmtId="0" fontId="32" fillId="3" borderId="47" xfId="2" applyFont="1" applyFill="1" applyBorder="1" applyAlignment="1">
      <alignment horizontal="center" wrapText="1"/>
    </xf>
    <xf numFmtId="2" fontId="27" fillId="2" borderId="38" xfId="2" applyNumberFormat="1" applyFont="1" applyFill="1" applyBorder="1" applyAlignment="1">
      <alignment horizontal="center"/>
    </xf>
    <xf numFmtId="2" fontId="27" fillId="2" borderId="47" xfId="2" applyNumberFormat="1" applyFont="1" applyFill="1" applyBorder="1" applyAlignment="1">
      <alignment horizontal="center"/>
    </xf>
    <xf numFmtId="2" fontId="27" fillId="2" borderId="48" xfId="2" applyNumberFormat="1" applyFont="1" applyFill="1" applyBorder="1" applyAlignment="1">
      <alignment horizontal="center"/>
    </xf>
    <xf numFmtId="0" fontId="27" fillId="2" borderId="31" xfId="2" applyFont="1" applyFill="1" applyBorder="1"/>
    <xf numFmtId="10" fontId="30" fillId="2" borderId="0" xfId="2" applyNumberFormat="1" applyFont="1" applyFill="1" applyAlignment="1">
      <alignment horizontal="center"/>
    </xf>
    <xf numFmtId="2" fontId="30" fillId="5" borderId="49" xfId="2" applyNumberFormat="1" applyFont="1" applyFill="1" applyBorder="1" applyAlignment="1">
      <alignment horizontal="center"/>
    </xf>
    <xf numFmtId="2" fontId="31" fillId="5" borderId="49" xfId="2" applyNumberFormat="1" applyFont="1" applyFill="1" applyBorder="1" applyAlignment="1">
      <alignment horizontal="center"/>
    </xf>
    <xf numFmtId="10" fontId="30" fillId="6" borderId="49" xfId="2" applyNumberFormat="1" applyFont="1" applyFill="1" applyBorder="1" applyAlignment="1">
      <alignment horizontal="center"/>
    </xf>
    <xf numFmtId="10" fontId="31" fillId="6" borderId="49" xfId="2" applyNumberFormat="1" applyFont="1" applyFill="1" applyBorder="1" applyAlignment="1">
      <alignment horizontal="center"/>
    </xf>
    <xf numFmtId="10" fontId="30" fillId="2" borderId="9" xfId="2" applyNumberFormat="1" applyFont="1" applyFill="1" applyBorder="1" applyAlignment="1">
      <alignment horizontal="center"/>
    </xf>
    <xf numFmtId="2" fontId="30" fillId="5" borderId="50" xfId="2" applyNumberFormat="1" applyFont="1" applyFill="1" applyBorder="1" applyAlignment="1">
      <alignment horizontal="center"/>
    </xf>
    <xf numFmtId="2" fontId="31" fillId="5" borderId="50" xfId="2" applyNumberFormat="1" applyFont="1" applyFill="1" applyBorder="1" applyAlignment="1">
      <alignment horizontal="center"/>
    </xf>
    <xf numFmtId="0" fontId="38" fillId="2" borderId="0" xfId="2" applyFont="1" applyFill="1" applyAlignment="1">
      <alignment horizontal="center"/>
    </xf>
    <xf numFmtId="171" fontId="30" fillId="2" borderId="0" xfId="2" applyNumberFormat="1" applyFont="1" applyFill="1" applyAlignment="1">
      <alignment horizontal="center"/>
    </xf>
    <xf numFmtId="165" fontId="30" fillId="2" borderId="0" xfId="2" applyNumberFormat="1" applyFont="1" applyFill="1" applyAlignment="1">
      <alignment horizontal="center"/>
    </xf>
    <xf numFmtId="0" fontId="27" fillId="2" borderId="1" xfId="2" applyFont="1" applyFill="1" applyBorder="1" applyAlignment="1">
      <alignment horizontal="right"/>
    </xf>
    <xf numFmtId="2" fontId="27" fillId="2" borderId="1" xfId="2" applyNumberFormat="1" applyFont="1" applyFill="1" applyBorder="1" applyAlignment="1">
      <alignment horizontal="center"/>
    </xf>
    <xf numFmtId="0" fontId="32" fillId="3" borderId="1" xfId="2" applyFont="1" applyFill="1" applyBorder="1" applyAlignment="1" applyProtection="1">
      <alignment horizontal="center"/>
      <protection locked="0"/>
    </xf>
    <xf numFmtId="1" fontId="30" fillId="6" borderId="1" xfId="2" applyNumberFormat="1" applyFont="1" applyFill="1" applyBorder="1" applyAlignment="1">
      <alignment horizontal="center"/>
    </xf>
    <xf numFmtId="0" fontId="30" fillId="2" borderId="0" xfId="2" applyFont="1" applyFill="1" applyAlignment="1" applyProtection="1">
      <alignment horizontal="center"/>
      <protection locked="0"/>
    </xf>
    <xf numFmtId="0" fontId="30" fillId="2" borderId="10" xfId="2" applyFont="1" applyFill="1" applyBorder="1" applyAlignment="1">
      <alignment horizontal="center"/>
    </xf>
    <xf numFmtId="0" fontId="27" fillId="2" borderId="10" xfId="2" applyFont="1" applyFill="1" applyBorder="1" applyAlignment="1">
      <alignment horizontal="center"/>
    </xf>
    <xf numFmtId="0" fontId="27" fillId="2" borderId="7" xfId="2" applyFont="1" applyFill="1" applyBorder="1"/>
    <xf numFmtId="0" fontId="30" fillId="2" borderId="11" xfId="2" applyFont="1" applyFill="1" applyBorder="1"/>
    <xf numFmtId="0" fontId="27" fillId="2" borderId="11" xfId="2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10" fontId="24" fillId="2" borderId="14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10" xfId="1" applyFont="1" applyFill="1" applyBorder="1" applyAlignment="1">
      <alignment horizontal="left" vertical="center" wrapText="1"/>
    </xf>
    <xf numFmtId="0" fontId="17" fillId="2" borderId="43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7" fillId="2" borderId="25" xfId="1" applyFont="1" applyFill="1" applyBorder="1" applyAlignment="1">
      <alignment horizontal="left" vertical="center" wrapText="1"/>
    </xf>
    <xf numFmtId="0" fontId="17" fillId="2" borderId="48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2" fillId="2" borderId="51" xfId="1" applyFont="1" applyFill="1" applyBorder="1" applyAlignment="1">
      <alignment horizontal="center"/>
    </xf>
    <xf numFmtId="0" fontId="12" fillId="2" borderId="57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4" fillId="3" borderId="13" xfId="1" applyNumberFormat="1" applyFont="1" applyFill="1" applyBorder="1" applyAlignment="1" applyProtection="1">
      <alignment horizontal="center" vertical="center"/>
      <protection locked="0"/>
    </xf>
    <xf numFmtId="2" fontId="14" fillId="3" borderId="14" xfId="1" applyNumberFormat="1" applyFont="1" applyFill="1" applyBorder="1" applyAlignment="1" applyProtection="1">
      <alignment horizontal="center" vertical="center"/>
      <protection locked="0"/>
    </xf>
    <xf numFmtId="2" fontId="14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7" fillId="2" borderId="48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28" fillId="2" borderId="21" xfId="2" applyFont="1" applyFill="1" applyBorder="1" applyAlignment="1">
      <alignment horizontal="left" vertical="center" wrapText="1"/>
    </xf>
    <xf numFmtId="0" fontId="28" fillId="2" borderId="25" xfId="2" applyFont="1" applyFill="1" applyBorder="1" applyAlignment="1">
      <alignment horizontal="left" vertical="center" wrapText="1"/>
    </xf>
    <xf numFmtId="0" fontId="28" fillId="2" borderId="43" xfId="2" applyFont="1" applyFill="1" applyBorder="1" applyAlignment="1">
      <alignment horizontal="left" vertical="center" wrapText="1"/>
    </xf>
    <xf numFmtId="0" fontId="28" fillId="2" borderId="48" xfId="2" applyFont="1" applyFill="1" applyBorder="1" applyAlignment="1">
      <alignment horizontal="left" vertical="center" wrapText="1"/>
    </xf>
    <xf numFmtId="0" fontId="28" fillId="2" borderId="10" xfId="2" applyFont="1" applyFill="1" applyBorder="1" applyAlignment="1">
      <alignment horizontal="left" vertical="center" wrapText="1"/>
    </xf>
    <xf numFmtId="0" fontId="28" fillId="2" borderId="9" xfId="2" applyFont="1" applyFill="1" applyBorder="1" applyAlignment="1">
      <alignment horizontal="left" vertical="center" wrapText="1"/>
    </xf>
    <xf numFmtId="0" fontId="30" fillId="2" borderId="0" xfId="2" applyFont="1" applyFill="1" applyAlignment="1">
      <alignment horizontal="center"/>
    </xf>
    <xf numFmtId="0" fontId="30" fillId="2" borderId="2" xfId="2" applyFont="1" applyFill="1" applyBorder="1" applyAlignment="1">
      <alignment horizontal="center"/>
    </xf>
    <xf numFmtId="0" fontId="30" fillId="2" borderId="58" xfId="2" applyFont="1" applyFill="1" applyBorder="1" applyAlignment="1">
      <alignment horizontal="center"/>
    </xf>
    <xf numFmtId="0" fontId="30" fillId="2" borderId="10" xfId="2" applyFont="1" applyFill="1" applyBorder="1" applyAlignment="1">
      <alignment horizontal="center"/>
    </xf>
    <xf numFmtId="0" fontId="32" fillId="3" borderId="0" xfId="2" applyFont="1" applyFill="1" applyAlignment="1" applyProtection="1">
      <alignment horizontal="left"/>
      <protection locked="0"/>
    </xf>
    <xf numFmtId="0" fontId="28" fillId="2" borderId="18" xfId="2" applyFont="1" applyFill="1" applyBorder="1" applyAlignment="1">
      <alignment horizontal="left" vertical="center" wrapText="1"/>
    </xf>
    <xf numFmtId="0" fontId="28" fillId="2" borderId="19" xfId="2" applyFont="1" applyFill="1" applyBorder="1" applyAlignment="1">
      <alignment horizontal="left" vertical="center" wrapText="1"/>
    </xf>
    <xf numFmtId="0" fontId="28" fillId="2" borderId="20" xfId="2" applyFont="1" applyFill="1" applyBorder="1" applyAlignment="1">
      <alignment horizontal="left" vertical="center" wrapText="1"/>
    </xf>
    <xf numFmtId="0" fontId="30" fillId="2" borderId="51" xfId="2" applyFont="1" applyFill="1" applyBorder="1" applyAlignment="1">
      <alignment horizontal="center"/>
    </xf>
    <xf numFmtId="0" fontId="30" fillId="2" borderId="40" xfId="2" applyFont="1" applyFill="1" applyBorder="1" applyAlignment="1">
      <alignment horizontal="center"/>
    </xf>
    <xf numFmtId="0" fontId="30" fillId="2" borderId="57" xfId="2" applyFont="1" applyFill="1" applyBorder="1" applyAlignment="1">
      <alignment horizontal="center"/>
    </xf>
    <xf numFmtId="0" fontId="25" fillId="2" borderId="0" xfId="2" applyFont="1" applyFill="1" applyAlignment="1">
      <alignment horizontal="center" vertical="center"/>
    </xf>
    <xf numFmtId="0" fontId="26" fillId="2" borderId="0" xfId="2" applyFont="1" applyFill="1" applyAlignment="1">
      <alignment horizontal="center" vertical="center"/>
    </xf>
    <xf numFmtId="0" fontId="28" fillId="2" borderId="18" xfId="2" applyFont="1" applyFill="1" applyBorder="1" applyAlignment="1">
      <alignment horizontal="center"/>
    </xf>
    <xf numFmtId="0" fontId="28" fillId="2" borderId="19" xfId="2" applyFont="1" applyFill="1" applyBorder="1" applyAlignment="1">
      <alignment horizontal="center"/>
    </xf>
    <xf numFmtId="0" fontId="31" fillId="3" borderId="0" xfId="2" applyFont="1" applyFill="1" applyAlignment="1" applyProtection="1">
      <alignment horizontal="left"/>
      <protection locked="0"/>
    </xf>
  </cellXfs>
  <cellStyles count="4">
    <cellStyle name="Normal" xfId="0" builtinId="0"/>
    <cellStyle name="Normal 2" xfId="1"/>
    <cellStyle name="Normal 2 2" xfId="3"/>
    <cellStyle name="Normal 3" xfId="2"/>
  </cellStyles>
  <dxfs count="3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workbookViewId="0">
      <selection activeCell="D44" sqref="D4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388" t="s">
        <v>30</v>
      </c>
      <c r="B11" s="389"/>
      <c r="C11" s="389"/>
      <c r="D11" s="389"/>
      <c r="E11" s="389"/>
      <c r="F11" s="390"/>
      <c r="G11" s="91"/>
    </row>
    <row r="12" spans="1:7" ht="16.5" customHeight="1">
      <c r="A12" s="387" t="s">
        <v>31</v>
      </c>
      <c r="B12" s="387"/>
      <c r="C12" s="387"/>
      <c r="D12" s="387"/>
      <c r="E12" s="387"/>
      <c r="F12" s="387"/>
      <c r="G12" s="90"/>
    </row>
    <row r="14" spans="1:7" ht="16.5" customHeight="1">
      <c r="A14" s="392" t="s">
        <v>32</v>
      </c>
      <c r="B14" s="392"/>
      <c r="C14" s="60" t="s">
        <v>4</v>
      </c>
    </row>
    <row r="15" spans="1:7" ht="16.5" customHeight="1">
      <c r="A15" s="392" t="s">
        <v>33</v>
      </c>
      <c r="B15" s="392"/>
      <c r="C15" s="60" t="s">
        <v>6</v>
      </c>
    </row>
    <row r="16" spans="1:7" ht="16.5" customHeight="1">
      <c r="A16" s="392" t="s">
        <v>34</v>
      </c>
      <c r="B16" s="392"/>
      <c r="C16" s="60" t="s">
        <v>8</v>
      </c>
    </row>
    <row r="17" spans="1:5" ht="16.5" customHeight="1">
      <c r="A17" s="392" t="s">
        <v>35</v>
      </c>
      <c r="B17" s="392"/>
      <c r="C17" s="60" t="s">
        <v>10</v>
      </c>
    </row>
    <row r="18" spans="1:5" ht="16.5" customHeight="1">
      <c r="A18" s="392" t="s">
        <v>36</v>
      </c>
      <c r="B18" s="392"/>
      <c r="C18" s="97" t="s">
        <v>11</v>
      </c>
    </row>
    <row r="19" spans="1:5" ht="16.5" customHeight="1">
      <c r="A19" s="392" t="s">
        <v>37</v>
      </c>
      <c r="B19" s="392"/>
      <c r="C19" s="97" t="str">
        <f>#REF!</f>
        <v>0</v>
      </c>
    </row>
    <row r="20" spans="1:5" ht="16.5" customHeight="1">
      <c r="A20" s="62"/>
      <c r="B20" s="62"/>
      <c r="C20" s="77"/>
    </row>
    <row r="21" spans="1:5" ht="16.5" customHeight="1">
      <c r="A21" s="387" t="s">
        <v>1</v>
      </c>
      <c r="B21" s="387"/>
      <c r="C21" s="59" t="s">
        <v>38</v>
      </c>
      <c r="D21" s="66"/>
    </row>
    <row r="22" spans="1:5" ht="15.75" customHeight="1">
      <c r="A22" s="391"/>
      <c r="B22" s="391"/>
      <c r="C22" s="57"/>
      <c r="D22" s="391"/>
      <c r="E22" s="391"/>
    </row>
    <row r="23" spans="1:5" ht="33.75" customHeight="1">
      <c r="C23" s="86" t="s">
        <v>39</v>
      </c>
      <c r="D23" s="85" t="s">
        <v>40</v>
      </c>
      <c r="E23" s="52"/>
    </row>
    <row r="24" spans="1:5" ht="15.75" customHeight="1">
      <c r="C24" s="95">
        <v>144.49</v>
      </c>
      <c r="D24" s="87">
        <f t="shared" ref="D24:D43" si="0">(C24-$C$46)/$C$46</f>
        <v>1.131066534149E-2</v>
      </c>
      <c r="E24" s="53"/>
    </row>
    <row r="25" spans="1:5" ht="15.75" customHeight="1">
      <c r="C25" s="95">
        <v>143.28</v>
      </c>
      <c r="D25" s="88">
        <f t="shared" si="0"/>
        <v>2.8416646835672001E-3</v>
      </c>
      <c r="E25" s="53"/>
    </row>
    <row r="26" spans="1:5" ht="15.75" customHeight="1">
      <c r="C26" s="95">
        <v>145.47999999999999</v>
      </c>
      <c r="D26" s="88">
        <f t="shared" si="0"/>
        <v>1.8239847697971E-2</v>
      </c>
      <c r="E26" s="53"/>
    </row>
    <row r="27" spans="1:5" ht="15.75" customHeight="1">
      <c r="C27" s="95">
        <v>140.57</v>
      </c>
      <c r="D27" s="88">
        <f t="shared" si="0"/>
        <v>-1.6126097120540001E-2</v>
      </c>
      <c r="E27" s="53"/>
    </row>
    <row r="28" spans="1:5" ht="15.75" customHeight="1">
      <c r="C28" s="95">
        <v>144.21</v>
      </c>
      <c r="D28" s="88">
        <f t="shared" si="0"/>
        <v>9.3508965942017998E-3</v>
      </c>
      <c r="E28" s="53"/>
    </row>
    <row r="29" spans="1:5" ht="15.75" customHeight="1">
      <c r="C29" s="95">
        <v>144.88</v>
      </c>
      <c r="D29" s="88">
        <f t="shared" si="0"/>
        <v>1.4040343239498E-2</v>
      </c>
      <c r="E29" s="53"/>
    </row>
    <row r="30" spans="1:5" ht="15.75" customHeight="1">
      <c r="C30" s="95">
        <v>143.6</v>
      </c>
      <c r="D30" s="88">
        <f t="shared" si="0"/>
        <v>5.0814003947532004E-3</v>
      </c>
      <c r="E30" s="53"/>
    </row>
    <row r="31" spans="1:5" ht="15.75" customHeight="1">
      <c r="C31" s="95">
        <v>140.74</v>
      </c>
      <c r="D31" s="88">
        <f t="shared" si="0"/>
        <v>-1.4936237523971999E-2</v>
      </c>
      <c r="E31" s="53"/>
    </row>
    <row r="32" spans="1:5" ht="15.75" customHeight="1">
      <c r="C32" s="95">
        <v>141.46</v>
      </c>
      <c r="D32" s="88">
        <f t="shared" si="0"/>
        <v>-9.8968321738035995E-3</v>
      </c>
      <c r="E32" s="53"/>
    </row>
    <row r="33" spans="1:7" ht="15.75" customHeight="1">
      <c r="C33" s="95">
        <v>141.30000000000001</v>
      </c>
      <c r="D33" s="88">
        <f t="shared" si="0"/>
        <v>-1.1016700029397E-2</v>
      </c>
      <c r="E33" s="53"/>
    </row>
    <row r="34" spans="1:7" ht="15.75" customHeight="1">
      <c r="C34" s="95">
        <v>143.81</v>
      </c>
      <c r="D34" s="88">
        <f t="shared" si="0"/>
        <v>6.5512269552191003E-3</v>
      </c>
      <c r="E34" s="53"/>
    </row>
    <row r="35" spans="1:7" ht="15.75" customHeight="1">
      <c r="C35" s="95">
        <v>143.6</v>
      </c>
      <c r="D35" s="88">
        <f t="shared" si="0"/>
        <v>5.0814003947532004E-3</v>
      </c>
      <c r="E35" s="53"/>
    </row>
    <row r="36" spans="1:7" ht="15.75" customHeight="1">
      <c r="C36" s="95">
        <v>140.62</v>
      </c>
      <c r="D36" s="88">
        <f t="shared" si="0"/>
        <v>-1.5776138415666999E-2</v>
      </c>
      <c r="E36" s="53"/>
    </row>
    <row r="37" spans="1:7" ht="15.75" customHeight="1">
      <c r="C37" s="95">
        <v>142.91999999999999</v>
      </c>
      <c r="D37" s="88">
        <f t="shared" si="0"/>
        <v>3.2196200848275E-4</v>
      </c>
      <c r="E37" s="53"/>
    </row>
    <row r="38" spans="1:7" ht="15.75" customHeight="1">
      <c r="C38" s="95">
        <v>140.13</v>
      </c>
      <c r="D38" s="88">
        <f t="shared" si="0"/>
        <v>-1.9205733723420999E-2</v>
      </c>
      <c r="E38" s="53"/>
    </row>
    <row r="39" spans="1:7" ht="15.75" customHeight="1">
      <c r="C39" s="95">
        <v>143.51</v>
      </c>
      <c r="D39" s="88">
        <f t="shared" si="0"/>
        <v>4.4514747259821004E-3</v>
      </c>
      <c r="E39" s="53"/>
    </row>
    <row r="40" spans="1:7" ht="15.75" customHeight="1">
      <c r="C40" s="95">
        <v>144.53</v>
      </c>
      <c r="D40" s="88">
        <f t="shared" si="0"/>
        <v>1.1590632305388E-2</v>
      </c>
      <c r="E40" s="53"/>
    </row>
    <row r="41" spans="1:7" ht="15.75" customHeight="1">
      <c r="C41" s="95">
        <v>144.11000000000001</v>
      </c>
      <c r="D41" s="88">
        <f t="shared" si="0"/>
        <v>8.6509791844561999E-3</v>
      </c>
      <c r="E41" s="53"/>
    </row>
    <row r="42" spans="1:7" ht="15.75" customHeight="1">
      <c r="C42" s="95">
        <v>142</v>
      </c>
      <c r="D42" s="88">
        <f t="shared" si="0"/>
        <v>-6.1172781611770997E-3</v>
      </c>
      <c r="E42" s="53"/>
    </row>
    <row r="43" spans="1:7" ht="16.5" customHeight="1">
      <c r="C43" s="96">
        <v>142.24</v>
      </c>
      <c r="D43" s="89">
        <f t="shared" si="0"/>
        <v>-4.4374763777875002E-3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41</v>
      </c>
      <c r="C45" s="83">
        <f>SUM(C24:C44)</f>
        <v>2857.48</v>
      </c>
      <c r="D45" s="78"/>
      <c r="E45" s="54"/>
    </row>
    <row r="46" spans="1:7" ht="17.25" customHeight="1">
      <c r="B46" s="82" t="s">
        <v>42</v>
      </c>
      <c r="C46" s="84">
        <f>AVERAGE(C24:C44)</f>
        <v>142.874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42</v>
      </c>
      <c r="C48" s="85" t="s">
        <v>43</v>
      </c>
      <c r="D48" s="80"/>
      <c r="G48" s="58"/>
    </row>
    <row r="49" spans="1:6" ht="17.25" customHeight="1">
      <c r="B49" s="385">
        <f>C46</f>
        <v>142.874</v>
      </c>
      <c r="C49" s="93">
        <f>-IF(C46&lt;=80,10%,IF(C46&lt;250,7.5%,5%))</f>
        <v>-7.4999999999999997E-2</v>
      </c>
      <c r="D49" s="81">
        <f>IF(C46&lt;=80,C46*0.9,IF(C46&lt;250,C46*0.925,C46*0.95))</f>
        <v>132.15844999999999</v>
      </c>
    </row>
    <row r="50" spans="1:6" ht="17.25" customHeight="1">
      <c r="B50" s="386"/>
      <c r="C50" s="94">
        <f>IF(C46&lt;=80, 10%, IF(C46&lt;250, 7.5%, 5%))</f>
        <v>7.4999999999999997E-2</v>
      </c>
      <c r="D50" s="81">
        <f>IF(C46&lt;=80, C46*1.1, IF(C46&lt;250, C46*1.075, C46*1.05))</f>
        <v>153.58955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>
      <c r="A53" s="70" t="s">
        <v>28</v>
      </c>
      <c r="B53" s="71"/>
      <c r="C53" s="72"/>
      <c r="D53" s="71"/>
      <c r="E53" s="61"/>
      <c r="F53" s="73"/>
    </row>
    <row r="54" spans="1:6" ht="34.5" customHeight="1">
      <c r="A54" s="70" t="s">
        <v>29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view="pageBreakPreview" zoomScale="60" workbookViewId="0">
      <selection activeCell="E8" sqref="E8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" spans="1:6" ht="15" customHeight="1">
      <c r="A1" s="1"/>
      <c r="B1" s="2"/>
      <c r="C1" s="3"/>
      <c r="D1" s="2"/>
      <c r="F1" s="3"/>
    </row>
    <row r="2" spans="1:6" ht="18.75" customHeight="1">
      <c r="A2" s="383" t="s">
        <v>0</v>
      </c>
      <c r="B2" s="383"/>
      <c r="C2" s="383"/>
      <c r="D2" s="383"/>
      <c r="E2" s="383"/>
    </row>
    <row r="3" spans="1:6" ht="16.5" customHeight="1">
      <c r="A3" s="5" t="s">
        <v>1</v>
      </c>
      <c r="B3" s="59" t="s">
        <v>156</v>
      </c>
    </row>
    <row r="4" spans="1:6" ht="16.5" customHeight="1">
      <c r="A4" s="7" t="s">
        <v>2</v>
      </c>
      <c r="B4" s="8"/>
      <c r="D4" s="9"/>
      <c r="E4" s="10"/>
    </row>
    <row r="5" spans="1:6" ht="16.5" customHeight="1">
      <c r="A5" s="11" t="s">
        <v>3</v>
      </c>
      <c r="B5" s="8" t="s">
        <v>4</v>
      </c>
      <c r="C5" s="10"/>
      <c r="D5" s="10"/>
      <c r="E5" s="10"/>
    </row>
    <row r="6" spans="1:6" ht="16.5" customHeight="1">
      <c r="A6" s="11" t="s">
        <v>5</v>
      </c>
      <c r="B6" s="12">
        <v>99.59</v>
      </c>
      <c r="C6" s="10"/>
      <c r="D6" s="10"/>
      <c r="E6" s="10"/>
    </row>
    <row r="7" spans="1:6" ht="16.5" customHeight="1">
      <c r="A7" s="7" t="s">
        <v>7</v>
      </c>
      <c r="B7" s="12">
        <v>11.49</v>
      </c>
      <c r="C7" s="10"/>
      <c r="D7" s="10"/>
      <c r="E7" s="10"/>
    </row>
    <row r="8" spans="1:6" ht="16.5" customHeight="1">
      <c r="A8" s="7" t="s">
        <v>9</v>
      </c>
      <c r="B8" s="13">
        <f>B7/100</f>
        <v>0.1149</v>
      </c>
      <c r="C8" s="10"/>
      <c r="D8" s="10"/>
      <c r="E8" s="10"/>
    </row>
    <row r="9" spans="1:6" ht="15.75" customHeight="1">
      <c r="A9" s="10"/>
      <c r="B9" s="10"/>
      <c r="C9" s="10"/>
      <c r="D9" s="10"/>
      <c r="E9" s="10"/>
    </row>
    <row r="10" spans="1:6" ht="16.5" customHeight="1">
      <c r="A10" s="14" t="s">
        <v>12</v>
      </c>
      <c r="B10" s="15" t="s">
        <v>13</v>
      </c>
      <c r="C10" s="14" t="s">
        <v>14</v>
      </c>
      <c r="D10" s="14" t="s">
        <v>15</v>
      </c>
      <c r="E10" s="16" t="s">
        <v>16</v>
      </c>
    </row>
    <row r="11" spans="1:6" ht="16.5" customHeight="1">
      <c r="A11" s="17">
        <v>1</v>
      </c>
      <c r="B11" s="18">
        <v>107016644</v>
      </c>
      <c r="C11" s="18">
        <v>4134.1899999999996</v>
      </c>
      <c r="D11" s="19">
        <v>1.1000000000000001</v>
      </c>
      <c r="E11" s="20">
        <v>6.98</v>
      </c>
    </row>
    <row r="12" spans="1:6" ht="16.5" customHeight="1">
      <c r="A12" s="17">
        <v>2</v>
      </c>
      <c r="B12" s="18">
        <v>106641024</v>
      </c>
      <c r="C12" s="18">
        <v>4178.72</v>
      </c>
      <c r="D12" s="19">
        <v>1.1100000000000001</v>
      </c>
      <c r="E12" s="19">
        <v>6.98</v>
      </c>
    </row>
    <row r="13" spans="1:6" ht="16.5" customHeight="1">
      <c r="A13" s="17">
        <v>3</v>
      </c>
      <c r="B13" s="18">
        <v>106719958</v>
      </c>
      <c r="C13" s="18">
        <v>4155.16</v>
      </c>
      <c r="D13" s="19">
        <v>1.1200000000000001</v>
      </c>
      <c r="E13" s="19">
        <v>6.98</v>
      </c>
    </row>
    <row r="14" spans="1:6" ht="16.5" customHeight="1">
      <c r="A14" s="17">
        <v>4</v>
      </c>
      <c r="B14" s="18">
        <v>106930510</v>
      </c>
      <c r="C14" s="18">
        <v>4133.6499999999996</v>
      </c>
      <c r="D14" s="19">
        <v>1.1100000000000001</v>
      </c>
      <c r="E14" s="19">
        <v>6.98</v>
      </c>
    </row>
    <row r="15" spans="1:6" ht="16.5" customHeight="1">
      <c r="A15" s="17">
        <v>5</v>
      </c>
      <c r="B15" s="18">
        <v>106959058</v>
      </c>
      <c r="C15" s="18">
        <v>4123.2</v>
      </c>
      <c r="D15" s="19">
        <v>1.1100000000000001</v>
      </c>
      <c r="E15" s="19">
        <v>6.98</v>
      </c>
    </row>
    <row r="16" spans="1:6" ht="16.5" customHeight="1">
      <c r="A16" s="17">
        <v>6</v>
      </c>
      <c r="B16" s="21">
        <v>106810484</v>
      </c>
      <c r="C16" s="21">
        <v>4139.03</v>
      </c>
      <c r="D16" s="22">
        <v>1.1000000000000001</v>
      </c>
      <c r="E16" s="22">
        <v>6.98</v>
      </c>
    </row>
    <row r="17" spans="1:6" ht="16.5" customHeight="1">
      <c r="A17" s="23" t="s">
        <v>17</v>
      </c>
      <c r="B17" s="24">
        <f>AVERAGE(B11:B16)</f>
        <v>106846279.66666667</v>
      </c>
      <c r="C17" s="25">
        <f>AVERAGE(C11:C16)</f>
        <v>4143.9916666666668</v>
      </c>
      <c r="D17" s="26">
        <f>AVERAGE(D11:D16)</f>
        <v>1.1083333333333334</v>
      </c>
      <c r="E17" s="26">
        <f>AVERAGE(E11:E16)</f>
        <v>6.9800000000000013</v>
      </c>
    </row>
    <row r="18" spans="1:6" ht="16.5" customHeight="1">
      <c r="A18" s="27" t="s">
        <v>18</v>
      </c>
      <c r="B18" s="28">
        <f>(STDEV(B11:B16)/B17)</f>
        <v>1.3768335626711844E-3</v>
      </c>
      <c r="C18" s="29"/>
      <c r="D18" s="29"/>
      <c r="E18" s="30"/>
      <c r="F18" s="2"/>
    </row>
    <row r="19" spans="1:6" s="2" customFormat="1" ht="16.5" customHeight="1">
      <c r="A19" s="31" t="s">
        <v>19</v>
      </c>
      <c r="B19" s="32">
        <f>COUNT(B11:B16)</f>
        <v>6</v>
      </c>
      <c r="C19" s="33"/>
      <c r="D19" s="34"/>
      <c r="E19" s="35"/>
    </row>
    <row r="20" spans="1:6" s="2" customFormat="1" ht="15.75" customHeight="1">
      <c r="A20" s="10"/>
      <c r="B20" s="10"/>
      <c r="C20" s="10"/>
      <c r="D20" s="10"/>
      <c r="E20" s="36"/>
    </row>
    <row r="21" spans="1:6" s="2" customFormat="1" ht="16.5" customHeight="1">
      <c r="A21" s="11" t="s">
        <v>20</v>
      </c>
      <c r="B21" s="37" t="s">
        <v>21</v>
      </c>
      <c r="C21" s="38"/>
      <c r="D21" s="38"/>
      <c r="E21" s="39"/>
    </row>
    <row r="22" spans="1:6" ht="16.5" customHeight="1">
      <c r="A22" s="11"/>
      <c r="B22" s="37" t="s">
        <v>22</v>
      </c>
      <c r="C22" s="38"/>
      <c r="D22" s="38"/>
      <c r="E22" s="39"/>
      <c r="F22" s="2"/>
    </row>
    <row r="23" spans="1:6" ht="16.5" customHeight="1">
      <c r="A23" s="11"/>
      <c r="B23" s="40" t="s">
        <v>23</v>
      </c>
      <c r="C23" s="38"/>
      <c r="D23" s="38"/>
      <c r="E23" s="38"/>
    </row>
    <row r="24" spans="1:6" ht="15.75" customHeight="1">
      <c r="A24" s="10"/>
      <c r="B24" s="10"/>
      <c r="C24" s="10"/>
      <c r="D24" s="10"/>
      <c r="E24" s="10"/>
    </row>
    <row r="25" spans="1:6" ht="16.5" customHeight="1">
      <c r="A25" s="5" t="s">
        <v>1</v>
      </c>
      <c r="B25" s="6" t="s">
        <v>24</v>
      </c>
    </row>
    <row r="26" spans="1:6" ht="16.5" customHeight="1">
      <c r="A26" s="11" t="s">
        <v>3</v>
      </c>
      <c r="B26" s="8"/>
      <c r="C26" s="10"/>
      <c r="D26" s="10"/>
      <c r="E26" s="10"/>
    </row>
    <row r="27" spans="1:6" ht="16.5" customHeight="1">
      <c r="A27" s="11" t="s">
        <v>5</v>
      </c>
      <c r="B27" s="12"/>
      <c r="C27" s="10"/>
      <c r="D27" s="10"/>
      <c r="E27" s="10"/>
    </row>
    <row r="28" spans="1:6" ht="16.5" customHeight="1">
      <c r="A28" s="7" t="s">
        <v>7</v>
      </c>
      <c r="B28" s="12"/>
      <c r="C28" s="10"/>
      <c r="D28" s="10"/>
      <c r="E28" s="10"/>
    </row>
    <row r="29" spans="1:6" ht="16.5" customHeight="1">
      <c r="A29" s="7" t="s">
        <v>9</v>
      </c>
      <c r="B29" s="13"/>
      <c r="C29" s="10"/>
      <c r="D29" s="10"/>
      <c r="E29" s="10"/>
    </row>
    <row r="30" spans="1:6" ht="15.75" customHeight="1">
      <c r="A30" s="10"/>
      <c r="B30" s="10"/>
      <c r="C30" s="10"/>
      <c r="D30" s="10"/>
      <c r="E30" s="10"/>
    </row>
    <row r="31" spans="1:6" ht="16.5" customHeight="1">
      <c r="A31" s="14" t="s">
        <v>12</v>
      </c>
      <c r="B31" s="15" t="s">
        <v>13</v>
      </c>
      <c r="C31" s="14" t="s">
        <v>14</v>
      </c>
      <c r="D31" s="14" t="s">
        <v>15</v>
      </c>
      <c r="E31" s="16" t="s">
        <v>16</v>
      </c>
    </row>
    <row r="32" spans="1:6" ht="16.5" customHeight="1">
      <c r="A32" s="17">
        <v>1</v>
      </c>
      <c r="B32" s="18"/>
      <c r="C32" s="18"/>
      <c r="D32" s="19"/>
      <c r="E32" s="20"/>
    </row>
    <row r="33" spans="1:7" ht="16.5" customHeight="1">
      <c r="A33" s="17">
        <v>2</v>
      </c>
      <c r="B33" s="18"/>
      <c r="C33" s="18"/>
      <c r="D33" s="19"/>
      <c r="E33" s="19"/>
    </row>
    <row r="34" spans="1:7" ht="16.5" customHeight="1">
      <c r="A34" s="17">
        <v>3</v>
      </c>
      <c r="B34" s="18"/>
      <c r="C34" s="18"/>
      <c r="D34" s="19"/>
      <c r="E34" s="19"/>
    </row>
    <row r="35" spans="1:7" ht="16.5" customHeight="1">
      <c r="A35" s="17">
        <v>4</v>
      </c>
      <c r="B35" s="18"/>
      <c r="C35" s="18"/>
      <c r="D35" s="19"/>
      <c r="E35" s="19"/>
    </row>
    <row r="36" spans="1:7" ht="16.5" customHeight="1">
      <c r="A36" s="17">
        <v>5</v>
      </c>
      <c r="B36" s="18"/>
      <c r="C36" s="18"/>
      <c r="D36" s="19"/>
      <c r="E36" s="19"/>
    </row>
    <row r="37" spans="1:7" ht="16.5" customHeight="1">
      <c r="A37" s="17">
        <v>6</v>
      </c>
      <c r="B37" s="21"/>
      <c r="C37" s="21"/>
      <c r="D37" s="22"/>
      <c r="E37" s="22"/>
    </row>
    <row r="38" spans="1:7" ht="16.5" customHeight="1">
      <c r="A38" s="23" t="s">
        <v>17</v>
      </c>
      <c r="B38" s="24" t="e">
        <f>AVERAGE(B32:B37)</f>
        <v>#DIV/0!</v>
      </c>
      <c r="C38" s="25" t="e">
        <f>AVERAGE(C32:C37)</f>
        <v>#DIV/0!</v>
      </c>
      <c r="D38" s="26" t="e">
        <f>AVERAGE(D32:D37)</f>
        <v>#DIV/0!</v>
      </c>
      <c r="E38" s="26" t="e">
        <f>AVERAGE(E32:E37)</f>
        <v>#DIV/0!</v>
      </c>
    </row>
    <row r="39" spans="1:7" ht="16.5" customHeight="1">
      <c r="A39" s="27" t="s">
        <v>18</v>
      </c>
      <c r="B39" s="28" t="e">
        <f>(STDEV(B32:B37)/B38)</f>
        <v>#DIV/0!</v>
      </c>
      <c r="C39" s="29"/>
      <c r="D39" s="29"/>
      <c r="E39" s="30"/>
      <c r="F39" s="2"/>
    </row>
    <row r="40" spans="1:7" s="2" customFormat="1" ht="16.5" customHeight="1">
      <c r="A40" s="31" t="s">
        <v>19</v>
      </c>
      <c r="B40" s="32">
        <f>COUNT(B32:B37)</f>
        <v>0</v>
      </c>
      <c r="C40" s="33"/>
      <c r="D40" s="34"/>
      <c r="E40" s="35"/>
    </row>
    <row r="41" spans="1:7" s="2" customFormat="1" ht="15.75" customHeight="1">
      <c r="A41" s="10"/>
      <c r="B41" s="10"/>
      <c r="C41" s="10"/>
      <c r="D41" s="10"/>
      <c r="E41" s="36"/>
    </row>
    <row r="42" spans="1:7" s="2" customFormat="1" ht="16.5" customHeight="1">
      <c r="A42" s="11" t="s">
        <v>20</v>
      </c>
      <c r="B42" s="37" t="s">
        <v>21</v>
      </c>
      <c r="C42" s="38"/>
      <c r="D42" s="38"/>
      <c r="E42" s="39"/>
    </row>
    <row r="43" spans="1:7" ht="16.5" customHeight="1">
      <c r="A43" s="11"/>
      <c r="B43" s="37" t="s">
        <v>22</v>
      </c>
      <c r="C43" s="38"/>
      <c r="D43" s="38"/>
      <c r="E43" s="39"/>
      <c r="F43" s="2"/>
    </row>
    <row r="44" spans="1:7" ht="16.5" customHeight="1">
      <c r="A44" s="11"/>
      <c r="B44" s="40" t="s">
        <v>23</v>
      </c>
      <c r="C44" s="38"/>
      <c r="D44" s="39"/>
      <c r="E44" s="38"/>
    </row>
    <row r="45" spans="1:7" ht="14.25" customHeight="1">
      <c r="A45" s="41"/>
      <c r="B45" s="42"/>
      <c r="D45" s="43"/>
      <c r="F45" s="44"/>
      <c r="G45" s="44"/>
    </row>
    <row r="46" spans="1:7" ht="15" customHeight="1">
      <c r="B46" s="384" t="s">
        <v>25</v>
      </c>
      <c r="C46" s="384"/>
      <c r="E46" s="45" t="s">
        <v>26</v>
      </c>
      <c r="F46" s="46"/>
      <c r="G46" s="45" t="s">
        <v>27</v>
      </c>
    </row>
    <row r="47" spans="1:7" ht="15" customHeight="1">
      <c r="A47" s="47" t="s">
        <v>28</v>
      </c>
      <c r="B47" s="48"/>
      <c r="C47" s="49" t="s">
        <v>157</v>
      </c>
      <c r="E47" s="49" t="s">
        <v>155</v>
      </c>
      <c r="F47" s="2"/>
      <c r="G47" s="49"/>
    </row>
    <row r="48" spans="1:7" ht="15" customHeight="1">
      <c r="A48" s="47" t="s">
        <v>29</v>
      </c>
      <c r="B48" s="50"/>
      <c r="C48" s="50"/>
      <c r="E48" s="50"/>
      <c r="F48" s="2"/>
      <c r="G48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6:C46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2" zoomScale="40" zoomScaleNormal="60" zoomScaleSheetLayoutView="40" zoomScalePageLayoutView="55" workbookViewId="0">
      <selection activeCell="C123" sqref="C123"/>
    </sheetView>
  </sheetViews>
  <sheetFormatPr defaultColWidth="9.140625" defaultRowHeight="13.5"/>
  <cols>
    <col min="1" max="1" width="55.42578125" style="109" customWidth="1"/>
    <col min="2" max="2" width="33.7109375" style="109" customWidth="1"/>
    <col min="3" max="3" width="42.28515625" style="109" customWidth="1"/>
    <col min="4" max="4" width="30.5703125" style="109" customWidth="1"/>
    <col min="5" max="5" width="39.85546875" style="109" customWidth="1"/>
    <col min="6" max="6" width="30.7109375" style="109" customWidth="1"/>
    <col min="7" max="7" width="39.85546875" style="109" customWidth="1"/>
    <col min="8" max="8" width="30" style="109" customWidth="1"/>
    <col min="9" max="9" width="30.28515625" style="109" hidden="1" customWidth="1"/>
    <col min="10" max="10" width="30.42578125" style="109" customWidth="1"/>
    <col min="11" max="11" width="21.28515625" style="109" customWidth="1"/>
    <col min="12" max="12" width="9.140625" style="109"/>
    <col min="13" max="16384" width="9.140625" style="110"/>
  </cols>
  <sheetData>
    <row r="1" spans="1:9" ht="18.75" customHeight="1">
      <c r="A1" s="428" t="s">
        <v>44</v>
      </c>
      <c r="B1" s="428"/>
      <c r="C1" s="428"/>
      <c r="D1" s="428"/>
      <c r="E1" s="428"/>
      <c r="F1" s="428"/>
      <c r="G1" s="428"/>
      <c r="H1" s="428"/>
      <c r="I1" s="428"/>
    </row>
    <row r="2" spans="1:9" ht="18.75" customHeight="1">
      <c r="A2" s="428"/>
      <c r="B2" s="428"/>
      <c r="C2" s="428"/>
      <c r="D2" s="428"/>
      <c r="E2" s="428"/>
      <c r="F2" s="428"/>
      <c r="G2" s="428"/>
      <c r="H2" s="428"/>
      <c r="I2" s="428"/>
    </row>
    <row r="3" spans="1:9" ht="18.75" customHeight="1">
      <c r="A3" s="428"/>
      <c r="B3" s="428"/>
      <c r="C3" s="428"/>
      <c r="D3" s="428"/>
      <c r="E3" s="428"/>
      <c r="F3" s="428"/>
      <c r="G3" s="428"/>
      <c r="H3" s="428"/>
      <c r="I3" s="428"/>
    </row>
    <row r="4" spans="1:9" ht="18.75" customHeight="1">
      <c r="A4" s="428"/>
      <c r="B4" s="428"/>
      <c r="C4" s="428"/>
      <c r="D4" s="428"/>
      <c r="E4" s="428"/>
      <c r="F4" s="428"/>
      <c r="G4" s="428"/>
      <c r="H4" s="428"/>
      <c r="I4" s="428"/>
    </row>
    <row r="5" spans="1:9" ht="18.75" customHeight="1">
      <c r="A5" s="428"/>
      <c r="B5" s="428"/>
      <c r="C5" s="428"/>
      <c r="D5" s="428"/>
      <c r="E5" s="428"/>
      <c r="F5" s="428"/>
      <c r="G5" s="428"/>
      <c r="H5" s="428"/>
      <c r="I5" s="428"/>
    </row>
    <row r="6" spans="1:9" ht="18.75" customHeight="1">
      <c r="A6" s="428"/>
      <c r="B6" s="428"/>
      <c r="C6" s="428"/>
      <c r="D6" s="428"/>
      <c r="E6" s="428"/>
      <c r="F6" s="428"/>
      <c r="G6" s="428"/>
      <c r="H6" s="428"/>
      <c r="I6" s="428"/>
    </row>
    <row r="7" spans="1:9" ht="18.75" customHeight="1">
      <c r="A7" s="428"/>
      <c r="B7" s="428"/>
      <c r="C7" s="428"/>
      <c r="D7" s="428"/>
      <c r="E7" s="428"/>
      <c r="F7" s="428"/>
      <c r="G7" s="428"/>
      <c r="H7" s="428"/>
      <c r="I7" s="428"/>
    </row>
    <row r="8" spans="1:9">
      <c r="A8" s="429" t="s">
        <v>45</v>
      </c>
      <c r="B8" s="429"/>
      <c r="C8" s="429"/>
      <c r="D8" s="429"/>
      <c r="E8" s="429"/>
      <c r="F8" s="429"/>
      <c r="G8" s="429"/>
      <c r="H8" s="429"/>
      <c r="I8" s="429"/>
    </row>
    <row r="9" spans="1:9">
      <c r="A9" s="429"/>
      <c r="B9" s="429"/>
      <c r="C9" s="429"/>
      <c r="D9" s="429"/>
      <c r="E9" s="429"/>
      <c r="F9" s="429"/>
      <c r="G9" s="429"/>
      <c r="H9" s="429"/>
      <c r="I9" s="429"/>
    </row>
    <row r="10" spans="1:9">
      <c r="A10" s="429"/>
      <c r="B10" s="429"/>
      <c r="C10" s="429"/>
      <c r="D10" s="429"/>
      <c r="E10" s="429"/>
      <c r="F10" s="429"/>
      <c r="G10" s="429"/>
      <c r="H10" s="429"/>
      <c r="I10" s="429"/>
    </row>
    <row r="11" spans="1:9">
      <c r="A11" s="429"/>
      <c r="B11" s="429"/>
      <c r="C11" s="429"/>
      <c r="D11" s="429"/>
      <c r="E11" s="429"/>
      <c r="F11" s="429"/>
      <c r="G11" s="429"/>
      <c r="H11" s="429"/>
      <c r="I11" s="429"/>
    </row>
    <row r="12" spans="1:9">
      <c r="A12" s="429"/>
      <c r="B12" s="429"/>
      <c r="C12" s="429"/>
      <c r="D12" s="429"/>
      <c r="E12" s="429"/>
      <c r="F12" s="429"/>
      <c r="G12" s="429"/>
      <c r="H12" s="429"/>
      <c r="I12" s="429"/>
    </row>
    <row r="13" spans="1:9">
      <c r="A13" s="429"/>
      <c r="B13" s="429"/>
      <c r="C13" s="429"/>
      <c r="D13" s="429"/>
      <c r="E13" s="429"/>
      <c r="F13" s="429"/>
      <c r="G13" s="429"/>
      <c r="H13" s="429"/>
      <c r="I13" s="429"/>
    </row>
    <row r="14" spans="1:9">
      <c r="A14" s="429"/>
      <c r="B14" s="429"/>
      <c r="C14" s="429"/>
      <c r="D14" s="429"/>
      <c r="E14" s="429"/>
      <c r="F14" s="429"/>
      <c r="G14" s="429"/>
      <c r="H14" s="429"/>
      <c r="I14" s="429"/>
    </row>
    <row r="15" spans="1:9" ht="19.5" customHeight="1" thickBot="1">
      <c r="A15" s="111"/>
    </row>
    <row r="16" spans="1:9" ht="19.5" customHeight="1" thickBot="1">
      <c r="A16" s="430" t="s">
        <v>30</v>
      </c>
      <c r="B16" s="431"/>
      <c r="C16" s="431"/>
      <c r="D16" s="431"/>
      <c r="E16" s="431"/>
      <c r="F16" s="431"/>
      <c r="G16" s="431"/>
      <c r="H16" s="432"/>
    </row>
    <row r="17" spans="1:14" ht="20.25" customHeight="1">
      <c r="A17" s="433" t="s">
        <v>46</v>
      </c>
      <c r="B17" s="433"/>
      <c r="C17" s="433"/>
      <c r="D17" s="433"/>
      <c r="E17" s="433"/>
      <c r="F17" s="433"/>
      <c r="G17" s="433"/>
      <c r="H17" s="433"/>
    </row>
    <row r="18" spans="1:14" ht="26.25" customHeight="1">
      <c r="A18" s="112" t="s">
        <v>32</v>
      </c>
      <c r="B18" s="393" t="s">
        <v>4</v>
      </c>
      <c r="C18" s="393"/>
      <c r="D18" s="113"/>
      <c r="E18" s="114"/>
      <c r="F18" s="115"/>
      <c r="G18" s="115"/>
      <c r="H18" s="115"/>
    </row>
    <row r="19" spans="1:14" ht="26.25" customHeight="1">
      <c r="A19" s="112" t="s">
        <v>33</v>
      </c>
      <c r="B19" s="108" t="s">
        <v>6</v>
      </c>
      <c r="C19" s="115">
        <v>29</v>
      </c>
      <c r="D19" s="115"/>
      <c r="E19" s="115"/>
      <c r="F19" s="115"/>
      <c r="G19" s="115"/>
      <c r="H19" s="115"/>
    </row>
    <row r="20" spans="1:14" ht="26.25" customHeight="1">
      <c r="A20" s="112" t="s">
        <v>34</v>
      </c>
      <c r="B20" s="394" t="s">
        <v>8</v>
      </c>
      <c r="C20" s="394"/>
      <c r="D20" s="115"/>
      <c r="E20" s="115"/>
      <c r="F20" s="115"/>
      <c r="G20" s="115"/>
      <c r="H20" s="115"/>
    </row>
    <row r="21" spans="1:14" ht="26.25" customHeight="1">
      <c r="A21" s="112" t="s">
        <v>35</v>
      </c>
      <c r="B21" s="425" t="s">
        <v>10</v>
      </c>
      <c r="C21" s="425"/>
      <c r="D21" s="425"/>
      <c r="E21" s="425"/>
      <c r="F21" s="425"/>
      <c r="G21" s="425"/>
      <c r="H21" s="425"/>
      <c r="I21" s="116"/>
    </row>
    <row r="22" spans="1:14" ht="26.25" customHeight="1">
      <c r="A22" s="112" t="s">
        <v>36</v>
      </c>
      <c r="B22" s="117">
        <v>42506</v>
      </c>
      <c r="C22" s="115"/>
      <c r="D22" s="115"/>
      <c r="E22" s="115"/>
      <c r="F22" s="115"/>
      <c r="G22" s="115"/>
      <c r="H22" s="115"/>
    </row>
    <row r="23" spans="1:14" ht="26.25" customHeight="1">
      <c r="A23" s="112" t="s">
        <v>37</v>
      </c>
      <c r="B23" s="117">
        <v>42515</v>
      </c>
      <c r="C23" s="115"/>
      <c r="D23" s="115"/>
      <c r="E23" s="115"/>
      <c r="F23" s="115"/>
      <c r="G23" s="115"/>
      <c r="H23" s="115"/>
    </row>
    <row r="24" spans="1:14" ht="18.75">
      <c r="A24" s="112"/>
      <c r="B24" s="118"/>
    </row>
    <row r="25" spans="1:14" ht="18.75">
      <c r="A25" s="119" t="s">
        <v>1</v>
      </c>
      <c r="B25" s="118"/>
    </row>
    <row r="26" spans="1:14" ht="26.25" customHeight="1">
      <c r="A26" s="120" t="s">
        <v>3</v>
      </c>
      <c r="B26" s="426" t="s">
        <v>119</v>
      </c>
      <c r="C26" s="426"/>
    </row>
    <row r="27" spans="1:14" ht="26.25" customHeight="1">
      <c r="A27" s="121" t="s">
        <v>47</v>
      </c>
      <c r="B27" s="427" t="s">
        <v>120</v>
      </c>
      <c r="C27" s="427"/>
    </row>
    <row r="28" spans="1:14" ht="27" customHeight="1" thickBot="1">
      <c r="A28" s="121" t="s">
        <v>5</v>
      </c>
      <c r="B28" s="122">
        <v>99.59</v>
      </c>
    </row>
    <row r="29" spans="1:14" s="124" customFormat="1" ht="27" customHeight="1" thickBot="1">
      <c r="A29" s="121" t="s">
        <v>48</v>
      </c>
      <c r="B29" s="123">
        <v>0</v>
      </c>
      <c r="C29" s="405" t="s">
        <v>104</v>
      </c>
      <c r="D29" s="406"/>
      <c r="E29" s="406"/>
      <c r="F29" s="406"/>
      <c r="G29" s="407"/>
      <c r="I29" s="125"/>
      <c r="J29" s="125"/>
      <c r="K29" s="125"/>
      <c r="L29" s="125"/>
    </row>
    <row r="30" spans="1:14" s="124" customFormat="1" ht="19.5" customHeight="1" thickBot="1">
      <c r="A30" s="121" t="s">
        <v>50</v>
      </c>
      <c r="B30" s="126">
        <f>B28-B29</f>
        <v>99.59</v>
      </c>
      <c r="C30" s="127"/>
      <c r="D30" s="127"/>
      <c r="E30" s="127"/>
      <c r="F30" s="127"/>
      <c r="G30" s="128"/>
      <c r="I30" s="125"/>
      <c r="J30" s="125"/>
      <c r="K30" s="125"/>
      <c r="L30" s="125"/>
    </row>
    <row r="31" spans="1:14" s="124" customFormat="1" ht="27" customHeight="1" thickBot="1">
      <c r="A31" s="121" t="s">
        <v>51</v>
      </c>
      <c r="B31" s="129">
        <v>1</v>
      </c>
      <c r="C31" s="408" t="s">
        <v>52</v>
      </c>
      <c r="D31" s="409"/>
      <c r="E31" s="409"/>
      <c r="F31" s="409"/>
      <c r="G31" s="409"/>
      <c r="H31" s="410"/>
      <c r="I31" s="125"/>
      <c r="J31" s="125"/>
      <c r="K31" s="125"/>
      <c r="L31" s="125"/>
    </row>
    <row r="32" spans="1:14" s="124" customFormat="1" ht="27" customHeight="1" thickBot="1">
      <c r="A32" s="121" t="s">
        <v>53</v>
      </c>
      <c r="B32" s="129">
        <v>1</v>
      </c>
      <c r="C32" s="408" t="s">
        <v>54</v>
      </c>
      <c r="D32" s="409"/>
      <c r="E32" s="409"/>
      <c r="F32" s="409"/>
      <c r="G32" s="409"/>
      <c r="H32" s="410"/>
      <c r="I32" s="125"/>
      <c r="J32" s="125"/>
      <c r="K32" s="125"/>
      <c r="L32" s="130"/>
      <c r="M32" s="130"/>
      <c r="N32" s="131"/>
    </row>
    <row r="33" spans="1:14" s="124" customFormat="1" ht="17.25" customHeight="1">
      <c r="A33" s="121"/>
      <c r="B33" s="132"/>
      <c r="C33" s="133"/>
      <c r="D33" s="133"/>
      <c r="E33" s="133"/>
      <c r="F33" s="133"/>
      <c r="G33" s="133"/>
      <c r="H33" s="133"/>
      <c r="I33" s="125"/>
      <c r="J33" s="125"/>
      <c r="K33" s="125"/>
      <c r="L33" s="130"/>
      <c r="M33" s="130"/>
      <c r="N33" s="131"/>
    </row>
    <row r="34" spans="1:14" s="124" customFormat="1" ht="18.75">
      <c r="A34" s="121" t="s">
        <v>55</v>
      </c>
      <c r="B34" s="134">
        <f>B31/B32</f>
        <v>1</v>
      </c>
      <c r="C34" s="111" t="s">
        <v>56</v>
      </c>
      <c r="D34" s="111"/>
      <c r="E34" s="111"/>
      <c r="F34" s="111"/>
      <c r="G34" s="111"/>
      <c r="I34" s="125"/>
      <c r="J34" s="125"/>
      <c r="K34" s="125"/>
      <c r="L34" s="130"/>
      <c r="M34" s="130"/>
      <c r="N34" s="131"/>
    </row>
    <row r="35" spans="1:14" s="124" customFormat="1" ht="19.5" customHeight="1" thickBot="1">
      <c r="A35" s="121"/>
      <c r="B35" s="126"/>
      <c r="G35" s="111"/>
      <c r="I35" s="125"/>
      <c r="J35" s="125"/>
      <c r="K35" s="125"/>
      <c r="L35" s="130"/>
      <c r="M35" s="130"/>
      <c r="N35" s="131"/>
    </row>
    <row r="36" spans="1:14" s="124" customFormat="1" ht="27" customHeight="1" thickBot="1">
      <c r="A36" s="135" t="s">
        <v>121</v>
      </c>
      <c r="B36" s="136">
        <v>100</v>
      </c>
      <c r="C36" s="111"/>
      <c r="D36" s="411" t="s">
        <v>58</v>
      </c>
      <c r="E36" s="424"/>
      <c r="F36" s="411" t="s">
        <v>59</v>
      </c>
      <c r="G36" s="412"/>
      <c r="J36" s="125"/>
      <c r="K36" s="125"/>
      <c r="L36" s="130"/>
      <c r="M36" s="130"/>
      <c r="N36" s="131"/>
    </row>
    <row r="37" spans="1:14" s="124" customFormat="1" ht="27" customHeight="1" thickBot="1">
      <c r="A37" s="137" t="s">
        <v>60</v>
      </c>
      <c r="B37" s="138">
        <v>1</v>
      </c>
      <c r="C37" s="139" t="s">
        <v>61</v>
      </c>
      <c r="D37" s="140" t="s">
        <v>62</v>
      </c>
      <c r="E37" s="141" t="s">
        <v>63</v>
      </c>
      <c r="F37" s="140" t="s">
        <v>62</v>
      </c>
      <c r="G37" s="142" t="s">
        <v>63</v>
      </c>
      <c r="I37" s="143" t="s">
        <v>122</v>
      </c>
      <c r="J37" s="125"/>
      <c r="K37" s="125"/>
      <c r="L37" s="130"/>
      <c r="M37" s="130"/>
      <c r="N37" s="131"/>
    </row>
    <row r="38" spans="1:14" s="124" customFormat="1" ht="26.25" customHeight="1">
      <c r="A38" s="137" t="s">
        <v>64</v>
      </c>
      <c r="B38" s="138">
        <v>1</v>
      </c>
      <c r="C38" s="144">
        <v>1</v>
      </c>
      <c r="D38" s="145">
        <v>106622815</v>
      </c>
      <c r="E38" s="146">
        <f>IF(ISBLANK(D38),"-",$D$48/$D$45*D38)</f>
        <v>93178214.316644296</v>
      </c>
      <c r="F38" s="145">
        <v>99305911</v>
      </c>
      <c r="G38" s="147">
        <f>IF(ISBLANK(F38),"-",$D$48/$F$45*F38)</f>
        <v>94966420.418955818</v>
      </c>
      <c r="I38" s="148"/>
      <c r="J38" s="125"/>
      <c r="K38" s="125"/>
      <c r="L38" s="130"/>
      <c r="M38" s="130"/>
      <c r="N38" s="131"/>
    </row>
    <row r="39" spans="1:14" s="124" customFormat="1" ht="26.25" customHeight="1">
      <c r="A39" s="137" t="s">
        <v>65</v>
      </c>
      <c r="B39" s="138">
        <v>1</v>
      </c>
      <c r="C39" s="149">
        <v>2</v>
      </c>
      <c r="D39" s="150">
        <v>106798680</v>
      </c>
      <c r="E39" s="151">
        <f>IF(ISBLANK(D39),"-",$D$48/$D$45*D39)</f>
        <v>93331903.624704644</v>
      </c>
      <c r="F39" s="150">
        <v>99440562</v>
      </c>
      <c r="G39" s="152">
        <f>IF(ISBLANK(F39),"-",$D$48/$F$45*F39)</f>
        <v>95095187.411243245</v>
      </c>
      <c r="I39" s="395">
        <f>ABS((F43/D43*D42)-F42)/D42</f>
        <v>1.7330823854035005E-2</v>
      </c>
      <c r="J39" s="125"/>
      <c r="K39" s="125"/>
      <c r="L39" s="130"/>
      <c r="M39" s="130"/>
      <c r="N39" s="131"/>
    </row>
    <row r="40" spans="1:14" ht="26.25" customHeight="1">
      <c r="A40" s="137" t="s">
        <v>66</v>
      </c>
      <c r="B40" s="138">
        <v>1</v>
      </c>
      <c r="C40" s="149">
        <v>3</v>
      </c>
      <c r="D40" s="150">
        <v>106735470</v>
      </c>
      <c r="E40" s="151">
        <f>IF(ISBLANK(D40),"-",$D$48/$D$45*D40)</f>
        <v>93276664.087772936</v>
      </c>
      <c r="F40" s="150">
        <v>99373750</v>
      </c>
      <c r="G40" s="152">
        <f>IF(ISBLANK(F40),"-",$D$48/$F$45*F40)</f>
        <v>95031294.976068556</v>
      </c>
      <c r="I40" s="395"/>
      <c r="L40" s="130"/>
      <c r="M40" s="130"/>
      <c r="N40" s="111"/>
    </row>
    <row r="41" spans="1:14" ht="27" customHeight="1" thickBot="1">
      <c r="A41" s="137" t="s">
        <v>67</v>
      </c>
      <c r="B41" s="138">
        <v>1</v>
      </c>
      <c r="C41" s="153">
        <v>4</v>
      </c>
      <c r="D41" s="154"/>
      <c r="E41" s="155" t="str">
        <f>IF(ISBLANK(D41),"-",$D$48/$D$45*D41)</f>
        <v>-</v>
      </c>
      <c r="F41" s="154"/>
      <c r="G41" s="156" t="str">
        <f>IF(ISBLANK(F41),"-",$D$48/$F$45*F41)</f>
        <v>-</v>
      </c>
      <c r="I41" s="157"/>
      <c r="L41" s="130"/>
      <c r="M41" s="130"/>
      <c r="N41" s="111"/>
    </row>
    <row r="42" spans="1:14" ht="27" customHeight="1" thickBot="1">
      <c r="A42" s="137" t="s">
        <v>68</v>
      </c>
      <c r="B42" s="138">
        <v>1</v>
      </c>
      <c r="C42" s="158" t="s">
        <v>69</v>
      </c>
      <c r="D42" s="159">
        <f>AVERAGE(D38:D41)</f>
        <v>106718988.33333333</v>
      </c>
      <c r="E42" s="160">
        <f>AVERAGE(E38:E41)</f>
        <v>93262260.676373959</v>
      </c>
      <c r="F42" s="159">
        <f>AVERAGE(F38:F41)</f>
        <v>99373407.666666672</v>
      </c>
      <c r="G42" s="161">
        <f>AVERAGE(G38:G41)</f>
        <v>95030967.602089211</v>
      </c>
      <c r="H42" s="162"/>
    </row>
    <row r="43" spans="1:14" ht="26.25" customHeight="1">
      <c r="A43" s="137" t="s">
        <v>70</v>
      </c>
      <c r="B43" s="138">
        <v>1</v>
      </c>
      <c r="C43" s="163" t="s">
        <v>123</v>
      </c>
      <c r="D43" s="164">
        <v>11.49</v>
      </c>
      <c r="E43" s="111"/>
      <c r="F43" s="164">
        <v>10.5</v>
      </c>
      <c r="H43" s="162"/>
    </row>
    <row r="44" spans="1:14" ht="26.25" customHeight="1">
      <c r="A44" s="137" t="s">
        <v>72</v>
      </c>
      <c r="B44" s="138">
        <v>1</v>
      </c>
      <c r="C44" s="165" t="s">
        <v>124</v>
      </c>
      <c r="D44" s="166">
        <f>D43*$B$34</f>
        <v>11.49</v>
      </c>
      <c r="E44" s="167"/>
      <c r="F44" s="166">
        <f>F43*$B$34</f>
        <v>10.5</v>
      </c>
      <c r="H44" s="162"/>
    </row>
    <row r="45" spans="1:14" ht="19.5" customHeight="1" thickBot="1">
      <c r="A45" s="137" t="s">
        <v>74</v>
      </c>
      <c r="B45" s="149">
        <f>(B44/B43)*(B42/B41)*(B40/B39)*(B38/B37)*B36</f>
        <v>100</v>
      </c>
      <c r="C45" s="165" t="s">
        <v>75</v>
      </c>
      <c r="D45" s="168">
        <f>D44*$B$30/100</f>
        <v>11.442890999999999</v>
      </c>
      <c r="E45" s="169"/>
      <c r="F45" s="168">
        <f>F44*$B$30/100</f>
        <v>10.456949999999999</v>
      </c>
      <c r="H45" s="162"/>
    </row>
    <row r="46" spans="1:14" ht="19.5" customHeight="1" thickBot="1">
      <c r="A46" s="396" t="s">
        <v>76</v>
      </c>
      <c r="B46" s="400"/>
      <c r="C46" s="165" t="s">
        <v>77</v>
      </c>
      <c r="D46" s="170">
        <f>D45/$B$45</f>
        <v>0.11442890999999999</v>
      </c>
      <c r="E46" s="171"/>
      <c r="F46" s="172">
        <f>F45/$B$45</f>
        <v>0.1045695</v>
      </c>
      <c r="H46" s="162"/>
    </row>
    <row r="47" spans="1:14" ht="27" customHeight="1" thickBot="1">
      <c r="A47" s="398"/>
      <c r="B47" s="401"/>
      <c r="C47" s="173" t="s">
        <v>125</v>
      </c>
      <c r="D47" s="174">
        <v>0.1</v>
      </c>
      <c r="E47" s="175"/>
      <c r="F47" s="171"/>
      <c r="H47" s="162"/>
    </row>
    <row r="48" spans="1:14" ht="18.75">
      <c r="C48" s="176" t="s">
        <v>79</v>
      </c>
      <c r="D48" s="168">
        <f>D47*$B$45</f>
        <v>10</v>
      </c>
      <c r="F48" s="177"/>
      <c r="H48" s="162"/>
    </row>
    <row r="49" spans="1:12" ht="19.5" customHeight="1" thickBot="1">
      <c r="C49" s="178" t="s">
        <v>80</v>
      </c>
      <c r="D49" s="179">
        <f>D48/B34</f>
        <v>10</v>
      </c>
      <c r="F49" s="177"/>
      <c r="H49" s="162"/>
    </row>
    <row r="50" spans="1:12" ht="18.75">
      <c r="C50" s="135" t="s">
        <v>81</v>
      </c>
      <c r="D50" s="180">
        <f>AVERAGE(E38:E41,G38:G41)</f>
        <v>94146614.139231578</v>
      </c>
      <c r="F50" s="181"/>
      <c r="H50" s="162"/>
    </row>
    <row r="51" spans="1:12" ht="18.75">
      <c r="C51" s="137" t="s">
        <v>82</v>
      </c>
      <c r="D51" s="182">
        <f>STDEV(E38:E41,G38:G41)/D50</f>
        <v>1.0312271208197407E-2</v>
      </c>
      <c r="F51" s="181"/>
      <c r="H51" s="162"/>
    </row>
    <row r="52" spans="1:12" ht="19.5" customHeight="1" thickBot="1">
      <c r="C52" s="183" t="s">
        <v>19</v>
      </c>
      <c r="D52" s="184">
        <f>COUNT(E38:E41,G38:G41)</f>
        <v>6</v>
      </c>
      <c r="F52" s="181"/>
    </row>
    <row r="54" spans="1:12" ht="18.75">
      <c r="A54" s="185" t="s">
        <v>1</v>
      </c>
      <c r="B54" s="186" t="s">
        <v>83</v>
      </c>
    </row>
    <row r="55" spans="1:12" ht="18.75">
      <c r="A55" s="111" t="s">
        <v>84</v>
      </c>
      <c r="B55" s="187" t="str">
        <f>B21</f>
        <v>Each tablet contains: Glimepiride 4 mg</v>
      </c>
    </row>
    <row r="56" spans="1:12" ht="26.25" customHeight="1">
      <c r="A56" s="187" t="s">
        <v>85</v>
      </c>
      <c r="B56" s="188">
        <v>4</v>
      </c>
      <c r="C56" s="111" t="str">
        <f>B20</f>
        <v>Glimepiride 4 mg</v>
      </c>
      <c r="H56" s="167"/>
    </row>
    <row r="57" spans="1:12" ht="18.75">
      <c r="A57" s="187" t="s">
        <v>86</v>
      </c>
      <c r="B57" s="189">
        <f>Uniformity!C46</f>
        <v>142.874</v>
      </c>
      <c r="H57" s="167"/>
    </row>
    <row r="58" spans="1:12" ht="19.5" customHeight="1" thickBot="1">
      <c r="H58" s="167"/>
    </row>
    <row r="59" spans="1:12" s="124" customFormat="1" ht="27" customHeight="1" thickBot="1">
      <c r="A59" s="135" t="s">
        <v>126</v>
      </c>
      <c r="B59" s="136">
        <v>100</v>
      </c>
      <c r="C59" s="111"/>
      <c r="D59" s="190" t="s">
        <v>127</v>
      </c>
      <c r="E59" s="191" t="s">
        <v>61</v>
      </c>
      <c r="F59" s="191" t="s">
        <v>62</v>
      </c>
      <c r="G59" s="191" t="s">
        <v>128</v>
      </c>
      <c r="H59" s="139" t="s">
        <v>129</v>
      </c>
      <c r="L59" s="125"/>
    </row>
    <row r="60" spans="1:12" s="124" customFormat="1" ht="26.25" customHeight="1">
      <c r="A60" s="137" t="s">
        <v>130</v>
      </c>
      <c r="B60" s="138">
        <v>1</v>
      </c>
      <c r="C60" s="413" t="s">
        <v>131</v>
      </c>
      <c r="D60" s="416">
        <v>395.78</v>
      </c>
      <c r="E60" s="192">
        <v>1</v>
      </c>
      <c r="F60" s="193">
        <v>99563697</v>
      </c>
      <c r="G60" s="194">
        <f>IF(ISBLANK(F60),"-",(F60/$D$50*$D$47*$B$68)*($B$57/$D$60))</f>
        <v>3.8176461163755695</v>
      </c>
      <c r="H60" s="195">
        <f t="shared" ref="H60:H71" si="0">IF(ISBLANK(F60),"-",G60/$B$56)</f>
        <v>0.95441152909389237</v>
      </c>
      <c r="L60" s="125"/>
    </row>
    <row r="61" spans="1:12" s="124" customFormat="1" ht="26.25" customHeight="1">
      <c r="A61" s="137" t="s">
        <v>109</v>
      </c>
      <c r="B61" s="138">
        <v>1</v>
      </c>
      <c r="C61" s="414"/>
      <c r="D61" s="417"/>
      <c r="E61" s="196">
        <v>2</v>
      </c>
      <c r="F61" s="150">
        <v>99346039</v>
      </c>
      <c r="G61" s="197">
        <f>IF(ISBLANK(F61),"-",(F61/$D$50*$D$47*$B$68)*($B$57/$D$60))</f>
        <v>3.8093002911055613</v>
      </c>
      <c r="H61" s="198">
        <f t="shared" si="0"/>
        <v>0.95232507277639034</v>
      </c>
      <c r="L61" s="125"/>
    </row>
    <row r="62" spans="1:12" s="124" customFormat="1" ht="26.25" customHeight="1">
      <c r="A62" s="137" t="s">
        <v>110</v>
      </c>
      <c r="B62" s="138">
        <v>1</v>
      </c>
      <c r="C62" s="414"/>
      <c r="D62" s="417"/>
      <c r="E62" s="196">
        <v>3</v>
      </c>
      <c r="F62" s="199">
        <v>99445227</v>
      </c>
      <c r="G62" s="197">
        <f>IF(ISBLANK(F62),"-",(F62/$D$50*$D$47*$B$68)*($B$57/$D$60))</f>
        <v>3.8131035315877932</v>
      </c>
      <c r="H62" s="198">
        <f t="shared" si="0"/>
        <v>0.95327588289694831</v>
      </c>
      <c r="L62" s="125"/>
    </row>
    <row r="63" spans="1:12" ht="27" customHeight="1" thickBot="1">
      <c r="A63" s="137" t="s">
        <v>111</v>
      </c>
      <c r="B63" s="138">
        <v>1</v>
      </c>
      <c r="C63" s="415"/>
      <c r="D63" s="418"/>
      <c r="E63" s="200">
        <v>4</v>
      </c>
      <c r="F63" s="201"/>
      <c r="G63" s="197" t="str">
        <f>IF(ISBLANK(F63),"-",(F63/$D$50*$D$47*$B$68)*($B$57/$D$60))</f>
        <v>-</v>
      </c>
      <c r="H63" s="198" t="str">
        <f t="shared" si="0"/>
        <v>-</v>
      </c>
    </row>
    <row r="64" spans="1:12" ht="26.25" customHeight="1">
      <c r="A64" s="137" t="s">
        <v>112</v>
      </c>
      <c r="B64" s="138">
        <v>1</v>
      </c>
      <c r="C64" s="413" t="s">
        <v>132</v>
      </c>
      <c r="D64" s="416">
        <v>357.97</v>
      </c>
      <c r="E64" s="192">
        <v>1</v>
      </c>
      <c r="F64" s="193">
        <v>86722744</v>
      </c>
      <c r="G64" s="202">
        <f>IF(ISBLANK(F64),"-",(F64/$D$50*$D$47*$B$68)*($B$57/$D$64))</f>
        <v>3.6765025974769401</v>
      </c>
      <c r="H64" s="203">
        <f t="shared" si="0"/>
        <v>0.91912564936923502</v>
      </c>
    </row>
    <row r="65" spans="1:8" ht="26.25" customHeight="1">
      <c r="A65" s="137" t="s">
        <v>113</v>
      </c>
      <c r="B65" s="138">
        <v>1</v>
      </c>
      <c r="C65" s="414"/>
      <c r="D65" s="417"/>
      <c r="E65" s="196">
        <v>2</v>
      </c>
      <c r="F65" s="150">
        <v>87005167</v>
      </c>
      <c r="G65" s="204">
        <f>IF(ISBLANK(F65),"-",(F65/$D$50*$D$47*$B$68)*($B$57/$D$64))</f>
        <v>3.6884755684093085</v>
      </c>
      <c r="H65" s="205">
        <f t="shared" si="0"/>
        <v>0.92211889210232711</v>
      </c>
    </row>
    <row r="66" spans="1:8" ht="26.25" customHeight="1">
      <c r="A66" s="137" t="s">
        <v>114</v>
      </c>
      <c r="B66" s="138">
        <v>1</v>
      </c>
      <c r="C66" s="414"/>
      <c r="D66" s="417"/>
      <c r="E66" s="196">
        <v>3</v>
      </c>
      <c r="F66" s="150">
        <v>86853562</v>
      </c>
      <c r="G66" s="204">
        <f>IF(ISBLANK(F66),"-",(F66/$D$50*$D$47*$B$68)*($B$57/$D$64))</f>
        <v>3.6820484634702573</v>
      </c>
      <c r="H66" s="205">
        <f t="shared" si="0"/>
        <v>0.92051211586756432</v>
      </c>
    </row>
    <row r="67" spans="1:8" ht="27" customHeight="1" thickBot="1">
      <c r="A67" s="137" t="s">
        <v>115</v>
      </c>
      <c r="B67" s="138">
        <v>1</v>
      </c>
      <c r="C67" s="415"/>
      <c r="D67" s="418"/>
      <c r="E67" s="200">
        <v>4</v>
      </c>
      <c r="F67" s="201"/>
      <c r="G67" s="206" t="str">
        <f>IF(ISBLANK(F67),"-",(F67/$D$50*$D$47*$B$68)*($B$57/$D$64))</f>
        <v>-</v>
      </c>
      <c r="H67" s="207" t="str">
        <f t="shared" si="0"/>
        <v>-</v>
      </c>
    </row>
    <row r="68" spans="1:8" ht="26.25" customHeight="1">
      <c r="A68" s="137" t="s">
        <v>116</v>
      </c>
      <c r="B68" s="208">
        <f>(B67/B66)*(B65/B64)*(B63/B62)*(B61/B60)*B59</f>
        <v>100</v>
      </c>
      <c r="C68" s="413" t="s">
        <v>133</v>
      </c>
      <c r="D68" s="416">
        <v>365.51</v>
      </c>
      <c r="E68" s="192">
        <v>1</v>
      </c>
      <c r="F68" s="193">
        <v>91840073</v>
      </c>
      <c r="G68" s="202">
        <f>IF(ISBLANK(F68),"-",(F68/$D$50*$D$47*$B$68)*($B$57/$D$68))</f>
        <v>3.8131286217932963</v>
      </c>
      <c r="H68" s="198">
        <f t="shared" si="0"/>
        <v>0.95328215544832406</v>
      </c>
    </row>
    <row r="69" spans="1:8" ht="27" customHeight="1" thickBot="1">
      <c r="A69" s="183" t="s">
        <v>134</v>
      </c>
      <c r="B69" s="209">
        <f>(D47*B68)/B56*B57</f>
        <v>357.185</v>
      </c>
      <c r="C69" s="414"/>
      <c r="D69" s="417"/>
      <c r="E69" s="196">
        <v>2</v>
      </c>
      <c r="F69" s="150">
        <v>91918912</v>
      </c>
      <c r="G69" s="204">
        <f>IF(ISBLANK(F69),"-",(F69/$D$50*$D$47*$B$68)*($B$57/$D$68))</f>
        <v>3.8164019559446491</v>
      </c>
      <c r="H69" s="198">
        <f t="shared" si="0"/>
        <v>0.95410048898616229</v>
      </c>
    </row>
    <row r="70" spans="1:8" ht="26.25" customHeight="1">
      <c r="A70" s="420" t="s">
        <v>76</v>
      </c>
      <c r="B70" s="421"/>
      <c r="C70" s="414"/>
      <c r="D70" s="417"/>
      <c r="E70" s="196">
        <v>3</v>
      </c>
      <c r="F70" s="150">
        <v>92032344</v>
      </c>
      <c r="G70" s="204">
        <f>IF(ISBLANK(F70),"-",(F70/$D$50*$D$47*$B$68)*($B$57/$D$68))</f>
        <v>3.821111564633954</v>
      </c>
      <c r="H70" s="198">
        <f t="shared" si="0"/>
        <v>0.95527789115848849</v>
      </c>
    </row>
    <row r="71" spans="1:8" ht="27" customHeight="1" thickBot="1">
      <c r="A71" s="422"/>
      <c r="B71" s="423"/>
      <c r="C71" s="419"/>
      <c r="D71" s="418"/>
      <c r="E71" s="200">
        <v>4</v>
      </c>
      <c r="F71" s="201"/>
      <c r="G71" s="206" t="str">
        <f>IF(ISBLANK(F71),"-",(F71/$D$50*$D$47*$B$68)*($B$57/$D$68))</f>
        <v>-</v>
      </c>
      <c r="H71" s="210" t="str">
        <f t="shared" si="0"/>
        <v>-</v>
      </c>
    </row>
    <row r="72" spans="1:8" ht="26.25" customHeight="1">
      <c r="A72" s="167"/>
      <c r="B72" s="167"/>
      <c r="C72" s="167"/>
      <c r="D72" s="167"/>
      <c r="E72" s="167"/>
      <c r="F72" s="211" t="s">
        <v>69</v>
      </c>
      <c r="G72" s="212">
        <f>AVERAGE(G60:G71)</f>
        <v>3.7708576345330362</v>
      </c>
      <c r="H72" s="213">
        <f>AVERAGE(H60:H71)</f>
        <v>0.94271440863325906</v>
      </c>
    </row>
    <row r="73" spans="1:8" ht="26.25" customHeight="1">
      <c r="C73" s="167"/>
      <c r="D73" s="167"/>
      <c r="E73" s="167"/>
      <c r="F73" s="214" t="s">
        <v>82</v>
      </c>
      <c r="G73" s="215">
        <f>STDEV(G60:G71)/G72</f>
        <v>1.7644475275130276E-2</v>
      </c>
      <c r="H73" s="215">
        <f>STDEV(H60:H71)/H72</f>
        <v>1.7644475275126938E-2</v>
      </c>
    </row>
    <row r="74" spans="1:8" ht="27" customHeight="1" thickBot="1">
      <c r="A74" s="167"/>
      <c r="B74" s="167"/>
      <c r="C74" s="167"/>
      <c r="D74" s="167"/>
      <c r="E74" s="169"/>
      <c r="F74" s="216" t="s">
        <v>19</v>
      </c>
      <c r="G74" s="217">
        <f>COUNT(G60:G71)</f>
        <v>9</v>
      </c>
      <c r="H74" s="217">
        <f>COUNT(H60:H71)</f>
        <v>9</v>
      </c>
    </row>
    <row r="76" spans="1:8" ht="26.25" customHeight="1">
      <c r="A76" s="120" t="s">
        <v>135</v>
      </c>
      <c r="B76" s="121" t="s">
        <v>95</v>
      </c>
      <c r="C76" s="402" t="str">
        <f>B20</f>
        <v>Glimepiride 4 mg</v>
      </c>
      <c r="D76" s="402"/>
      <c r="E76" s="111" t="s">
        <v>96</v>
      </c>
      <c r="F76" s="111"/>
      <c r="G76" s="218">
        <f>H72</f>
        <v>0.94271440863325906</v>
      </c>
      <c r="H76" s="126"/>
    </row>
    <row r="77" spans="1:8" ht="18.75">
      <c r="A77" s="119" t="s">
        <v>102</v>
      </c>
      <c r="B77" s="119" t="s">
        <v>103</v>
      </c>
    </row>
    <row r="78" spans="1:8" ht="18.75">
      <c r="A78" s="119"/>
      <c r="B78" s="119"/>
    </row>
    <row r="79" spans="1:8" ht="26.25" customHeight="1">
      <c r="A79" s="120" t="s">
        <v>3</v>
      </c>
      <c r="B79" s="404" t="str">
        <f>B26</f>
        <v>Glimepiride</v>
      </c>
      <c r="C79" s="404"/>
    </row>
    <row r="80" spans="1:8" ht="26.25" customHeight="1">
      <c r="A80" s="121" t="s">
        <v>47</v>
      </c>
      <c r="B80" s="404" t="str">
        <f>B27</f>
        <v>G2-7</v>
      </c>
      <c r="C80" s="404"/>
    </row>
    <row r="81" spans="1:12" ht="27" customHeight="1" thickBot="1">
      <c r="A81" s="121" t="s">
        <v>5</v>
      </c>
      <c r="B81" s="122">
        <f>B28</f>
        <v>99.59</v>
      </c>
    </row>
    <row r="82" spans="1:12" s="124" customFormat="1" ht="27" customHeight="1" thickBot="1">
      <c r="A82" s="121" t="s">
        <v>48</v>
      </c>
      <c r="B82" s="123">
        <v>0</v>
      </c>
      <c r="C82" s="405" t="s">
        <v>104</v>
      </c>
      <c r="D82" s="406"/>
      <c r="E82" s="406"/>
      <c r="F82" s="406"/>
      <c r="G82" s="407"/>
      <c r="I82" s="125"/>
      <c r="J82" s="125"/>
      <c r="K82" s="125"/>
      <c r="L82" s="125"/>
    </row>
    <row r="83" spans="1:12" s="124" customFormat="1" ht="19.5" customHeight="1" thickBot="1">
      <c r="A83" s="121" t="s">
        <v>50</v>
      </c>
      <c r="B83" s="126">
        <f>B81-B82</f>
        <v>99.59</v>
      </c>
      <c r="C83" s="127"/>
      <c r="D83" s="127"/>
      <c r="E83" s="127"/>
      <c r="F83" s="127"/>
      <c r="G83" s="128"/>
      <c r="I83" s="125"/>
      <c r="J83" s="125"/>
      <c r="K83" s="125"/>
      <c r="L83" s="125"/>
    </row>
    <row r="84" spans="1:12" s="124" customFormat="1" ht="27" customHeight="1" thickBot="1">
      <c r="A84" s="121" t="s">
        <v>51</v>
      </c>
      <c r="B84" s="129">
        <v>1</v>
      </c>
      <c r="C84" s="408" t="s">
        <v>136</v>
      </c>
      <c r="D84" s="409"/>
      <c r="E84" s="409"/>
      <c r="F84" s="409"/>
      <c r="G84" s="409"/>
      <c r="H84" s="410"/>
      <c r="I84" s="125"/>
      <c r="J84" s="125"/>
      <c r="K84" s="125"/>
      <c r="L84" s="125"/>
    </row>
    <row r="85" spans="1:12" s="124" customFormat="1" ht="27" customHeight="1" thickBot="1">
      <c r="A85" s="121" t="s">
        <v>53</v>
      </c>
      <c r="B85" s="129">
        <v>1</v>
      </c>
      <c r="C85" s="408" t="s">
        <v>137</v>
      </c>
      <c r="D85" s="409"/>
      <c r="E85" s="409"/>
      <c r="F85" s="409"/>
      <c r="G85" s="409"/>
      <c r="H85" s="410"/>
      <c r="I85" s="125"/>
      <c r="J85" s="125"/>
      <c r="K85" s="125"/>
      <c r="L85" s="125"/>
    </row>
    <row r="86" spans="1:12" s="124" customFormat="1" ht="18.75">
      <c r="A86" s="121"/>
      <c r="B86" s="132"/>
      <c r="C86" s="133"/>
      <c r="D86" s="133"/>
      <c r="E86" s="133"/>
      <c r="F86" s="133"/>
      <c r="G86" s="133"/>
      <c r="H86" s="133"/>
      <c r="I86" s="125"/>
      <c r="J86" s="125"/>
      <c r="K86" s="125"/>
      <c r="L86" s="125"/>
    </row>
    <row r="87" spans="1:12" s="124" customFormat="1" ht="18.75">
      <c r="A87" s="121" t="s">
        <v>55</v>
      </c>
      <c r="B87" s="134">
        <f>B84/B85</f>
        <v>1</v>
      </c>
      <c r="C87" s="111" t="s">
        <v>56</v>
      </c>
      <c r="D87" s="111"/>
      <c r="E87" s="111"/>
      <c r="F87" s="111"/>
      <c r="G87" s="111"/>
      <c r="I87" s="125"/>
      <c r="J87" s="125"/>
      <c r="K87" s="125"/>
      <c r="L87" s="125"/>
    </row>
    <row r="88" spans="1:12" ht="19.5" customHeight="1" thickBot="1">
      <c r="A88" s="119"/>
      <c r="B88" s="119"/>
    </row>
    <row r="89" spans="1:12" ht="27" customHeight="1" thickBot="1">
      <c r="A89" s="135" t="s">
        <v>121</v>
      </c>
      <c r="B89" s="101">
        <v>100</v>
      </c>
      <c r="D89" s="219" t="s">
        <v>58</v>
      </c>
      <c r="E89" s="220"/>
      <c r="F89" s="411" t="s">
        <v>59</v>
      </c>
      <c r="G89" s="412"/>
    </row>
    <row r="90" spans="1:12" ht="27" customHeight="1" thickBot="1">
      <c r="A90" s="137" t="s">
        <v>60</v>
      </c>
      <c r="B90" s="102">
        <v>5</v>
      </c>
      <c r="C90" s="221" t="s">
        <v>61</v>
      </c>
      <c r="D90" s="140" t="s">
        <v>62</v>
      </c>
      <c r="E90" s="141" t="s">
        <v>63</v>
      </c>
      <c r="F90" s="140" t="s">
        <v>62</v>
      </c>
      <c r="G90" s="222" t="s">
        <v>63</v>
      </c>
      <c r="I90" s="143" t="s">
        <v>122</v>
      </c>
    </row>
    <row r="91" spans="1:12" ht="26.25" customHeight="1">
      <c r="A91" s="137" t="s">
        <v>64</v>
      </c>
      <c r="B91" s="102">
        <v>100</v>
      </c>
      <c r="C91" s="223">
        <v>1</v>
      </c>
      <c r="D91" s="98">
        <v>53907664</v>
      </c>
      <c r="E91" s="146">
        <f>IF(ISBLANK(D91),"-",$D$101/$D$98*D91)</f>
        <v>41875714.41129306</v>
      </c>
      <c r="F91" s="103">
        <v>50288689</v>
      </c>
      <c r="G91" s="147">
        <f>IF(ISBLANK(F91),"-",$D$101/$F$98*F91)</f>
        <v>42747700.705166318</v>
      </c>
      <c r="I91" s="148"/>
    </row>
    <row r="92" spans="1:12" ht="26.25" customHeight="1">
      <c r="A92" s="137" t="s">
        <v>65</v>
      </c>
      <c r="B92" s="138">
        <v>1</v>
      </c>
      <c r="C92" s="167">
        <v>2</v>
      </c>
      <c r="D92" s="99">
        <v>53833006</v>
      </c>
      <c r="E92" s="151">
        <f>IF(ISBLANK(D92),"-",$D$101/$D$98*D92)</f>
        <v>41817719.74310416</v>
      </c>
      <c r="F92" s="100">
        <v>49938593</v>
      </c>
      <c r="G92" s="152">
        <f>IF(ISBLANK(F92),"-",$D$101/$F$98*F92)</f>
        <v>42450102.988389969</v>
      </c>
      <c r="I92" s="395">
        <f>ABS((F96/D96*D95)-F95)/D95</f>
        <v>1.6228966637526755E-2</v>
      </c>
    </row>
    <row r="93" spans="1:12" ht="26.25" customHeight="1">
      <c r="A93" s="137" t="s">
        <v>66</v>
      </c>
      <c r="B93" s="138">
        <v>1</v>
      </c>
      <c r="C93" s="167">
        <v>3</v>
      </c>
      <c r="D93" s="99">
        <v>53512801</v>
      </c>
      <c r="E93" s="151">
        <f>IF(ISBLANK(D93),"-",$D$101/$D$98*D93)</f>
        <v>41568983.067497738</v>
      </c>
      <c r="F93" s="104">
        <v>49749264</v>
      </c>
      <c r="G93" s="152">
        <f>IF(ISBLANK(F93),"-",$D$101/$F$98*F93)</f>
        <v>42289164.622571595</v>
      </c>
      <c r="I93" s="395"/>
    </row>
    <row r="94" spans="1:12" ht="27" customHeight="1" thickBot="1">
      <c r="A94" s="137" t="s">
        <v>67</v>
      </c>
      <c r="B94" s="138">
        <v>1</v>
      </c>
      <c r="C94" s="224">
        <v>4</v>
      </c>
      <c r="D94" s="154"/>
      <c r="E94" s="155" t="str">
        <f>IF(ISBLANK(D94),"-",$D$101/$D$98*D94)</f>
        <v>-</v>
      </c>
      <c r="F94" s="105"/>
      <c r="G94" s="156" t="str">
        <f>IF(ISBLANK(F94),"-",$D$101/$F$98*F94)</f>
        <v>-</v>
      </c>
      <c r="I94" s="157"/>
    </row>
    <row r="95" spans="1:12" ht="27" customHeight="1" thickBot="1">
      <c r="A95" s="137" t="s">
        <v>68</v>
      </c>
      <c r="B95" s="138">
        <v>1</v>
      </c>
      <c r="C95" s="121" t="s">
        <v>69</v>
      </c>
      <c r="D95" s="225">
        <f>AVERAGE(D91:D94)</f>
        <v>53751157</v>
      </c>
      <c r="E95" s="160">
        <f>AVERAGE(E91:E94)</f>
        <v>41754139.073964983</v>
      </c>
      <c r="F95" s="226">
        <f>AVERAGE(F91:F94)</f>
        <v>49992182</v>
      </c>
      <c r="G95" s="227">
        <f>AVERAGE(G91:G94)</f>
        <v>42495656.105375953</v>
      </c>
    </row>
    <row r="96" spans="1:12" ht="26.25" customHeight="1">
      <c r="A96" s="137" t="s">
        <v>70</v>
      </c>
      <c r="B96" s="122">
        <v>1</v>
      </c>
      <c r="C96" s="228" t="s">
        <v>71</v>
      </c>
      <c r="D96" s="229">
        <f>D43</f>
        <v>11.49</v>
      </c>
      <c r="E96" s="111"/>
      <c r="F96" s="164">
        <f>F43</f>
        <v>10.5</v>
      </c>
    </row>
    <row r="97" spans="1:10" ht="26.25" customHeight="1">
      <c r="A97" s="137" t="s">
        <v>72</v>
      </c>
      <c r="B97" s="122">
        <v>1</v>
      </c>
      <c r="C97" s="230" t="s">
        <v>73</v>
      </c>
      <c r="D97" s="231">
        <f>D96*$B$87</f>
        <v>11.49</v>
      </c>
      <c r="E97" s="167"/>
      <c r="F97" s="166">
        <f>F96*$B$87</f>
        <v>10.5</v>
      </c>
    </row>
    <row r="98" spans="1:10" ht="19.5" customHeight="1" thickBot="1">
      <c r="A98" s="137" t="s">
        <v>74</v>
      </c>
      <c r="B98" s="167">
        <f>(B97/B96)*(B95/B94)*(B93/B92)*(B91/B90)*B89</f>
        <v>2000</v>
      </c>
      <c r="C98" s="230" t="s">
        <v>138</v>
      </c>
      <c r="D98" s="232">
        <f>D97*$B$83/100</f>
        <v>11.442890999999999</v>
      </c>
      <c r="E98" s="169"/>
      <c r="F98" s="168">
        <f>F97*$B$83/100</f>
        <v>10.456949999999999</v>
      </c>
    </row>
    <row r="99" spans="1:10" ht="19.5" customHeight="1" thickBot="1">
      <c r="A99" s="396" t="s">
        <v>76</v>
      </c>
      <c r="B99" s="397"/>
      <c r="C99" s="230" t="s">
        <v>139</v>
      </c>
      <c r="D99" s="233">
        <f>D98/$B$98</f>
        <v>5.7214455000000001E-3</v>
      </c>
      <c r="E99" s="169"/>
      <c r="F99" s="172">
        <f>F98/$B$98</f>
        <v>5.2284749999999998E-3</v>
      </c>
      <c r="H99" s="162"/>
    </row>
    <row r="100" spans="1:10" ht="19.5" customHeight="1" thickBot="1">
      <c r="A100" s="398"/>
      <c r="B100" s="399"/>
      <c r="C100" s="230" t="s">
        <v>125</v>
      </c>
      <c r="D100" s="234">
        <f>$B$56/$B$116</f>
        <v>4.4444444444444444E-3</v>
      </c>
      <c r="F100" s="177"/>
      <c r="G100" s="235"/>
      <c r="H100" s="162"/>
    </row>
    <row r="101" spans="1:10" ht="18.75">
      <c r="C101" s="230" t="s">
        <v>79</v>
      </c>
      <c r="D101" s="231">
        <f>D100*$B$98</f>
        <v>8.8888888888888893</v>
      </c>
      <c r="F101" s="177"/>
      <c r="H101" s="162"/>
    </row>
    <row r="102" spans="1:10" ht="19.5" customHeight="1" thickBot="1">
      <c r="C102" s="236" t="s">
        <v>80</v>
      </c>
      <c r="D102" s="237">
        <f>D101/B34</f>
        <v>8.8888888888888893</v>
      </c>
      <c r="F102" s="181"/>
      <c r="H102" s="162"/>
      <c r="J102" s="238"/>
    </row>
    <row r="103" spans="1:10" ht="18.75">
      <c r="C103" s="239" t="s">
        <v>140</v>
      </c>
      <c r="D103" s="240">
        <f>AVERAGE(E91:E94,G91:G94)</f>
        <v>42124897.589670472</v>
      </c>
      <c r="F103" s="181"/>
      <c r="G103" s="235"/>
      <c r="H103" s="162"/>
      <c r="J103" s="241"/>
    </row>
    <row r="104" spans="1:10" ht="18.75">
      <c r="C104" s="214" t="s">
        <v>82</v>
      </c>
      <c r="D104" s="242">
        <f>STDEV(E91:E94,G91:G94)/D103</f>
        <v>1.0542423167053708E-2</v>
      </c>
      <c r="F104" s="181"/>
      <c r="H104" s="162"/>
      <c r="J104" s="241"/>
    </row>
    <row r="105" spans="1:10" ht="19.5" customHeight="1" thickBot="1">
      <c r="C105" s="216" t="s">
        <v>19</v>
      </c>
      <c r="D105" s="243">
        <f>COUNT(E91:E94,G91:G94)</f>
        <v>6</v>
      </c>
      <c r="F105" s="181"/>
      <c r="H105" s="162"/>
      <c r="J105" s="241"/>
    </row>
    <row r="106" spans="1:10" ht="19.5" customHeight="1" thickBot="1">
      <c r="A106" s="185"/>
      <c r="B106" s="185"/>
      <c r="C106" s="185"/>
      <c r="D106" s="185"/>
      <c r="E106" s="185"/>
    </row>
    <row r="107" spans="1:10" ht="26.25" customHeight="1">
      <c r="A107" s="135" t="s">
        <v>105</v>
      </c>
      <c r="B107" s="136">
        <v>900</v>
      </c>
      <c r="C107" s="219" t="s">
        <v>141</v>
      </c>
      <c r="D107" s="244" t="s">
        <v>62</v>
      </c>
      <c r="E107" s="245" t="s">
        <v>106</v>
      </c>
      <c r="F107" s="246" t="s">
        <v>107</v>
      </c>
    </row>
    <row r="108" spans="1:10" ht="26.25" customHeight="1">
      <c r="A108" s="137" t="s">
        <v>108</v>
      </c>
      <c r="B108" s="138">
        <v>1</v>
      </c>
      <c r="C108" s="247">
        <v>1</v>
      </c>
      <c r="D108" s="106">
        <v>37884409</v>
      </c>
      <c r="E108" s="248">
        <f t="shared" ref="E108:E113" si="1">IF(ISBLANK(D108),"-",D108/$D$103*$D$100*$B$116)</f>
        <v>3.5973413508584731</v>
      </c>
      <c r="F108" s="249">
        <f t="shared" ref="F108:F113" si="2">IF(ISBLANK(D108), "-", E108/$B$56)</f>
        <v>0.89933533771461827</v>
      </c>
    </row>
    <row r="109" spans="1:10" ht="26.25" customHeight="1">
      <c r="A109" s="137" t="s">
        <v>109</v>
      </c>
      <c r="B109" s="138">
        <v>1</v>
      </c>
      <c r="C109" s="247">
        <v>2</v>
      </c>
      <c r="D109" s="106">
        <v>37801923</v>
      </c>
      <c r="E109" s="250">
        <f t="shared" si="1"/>
        <v>3.5895088333004739</v>
      </c>
      <c r="F109" s="251">
        <f t="shared" si="2"/>
        <v>0.89737720832511847</v>
      </c>
    </row>
    <row r="110" spans="1:10" ht="26.25" customHeight="1">
      <c r="A110" s="137" t="s">
        <v>110</v>
      </c>
      <c r="B110" s="138">
        <v>1</v>
      </c>
      <c r="C110" s="247">
        <v>3</v>
      </c>
      <c r="D110" s="106">
        <v>38023591</v>
      </c>
      <c r="E110" s="250">
        <f t="shared" si="1"/>
        <v>3.610557477943765</v>
      </c>
      <c r="F110" s="251">
        <f t="shared" si="2"/>
        <v>0.90263936948594126</v>
      </c>
    </row>
    <row r="111" spans="1:10" ht="26.25" customHeight="1">
      <c r="A111" s="137" t="s">
        <v>111</v>
      </c>
      <c r="B111" s="138">
        <v>1</v>
      </c>
      <c r="C111" s="247">
        <v>4</v>
      </c>
      <c r="D111" s="106">
        <v>38009386</v>
      </c>
      <c r="E111" s="250">
        <f t="shared" si="1"/>
        <v>3.6092086319346079</v>
      </c>
      <c r="F111" s="251">
        <f t="shared" si="2"/>
        <v>0.90230215798365199</v>
      </c>
    </row>
    <row r="112" spans="1:10" ht="26.25" customHeight="1">
      <c r="A112" s="137" t="s">
        <v>112</v>
      </c>
      <c r="B112" s="138">
        <v>1</v>
      </c>
      <c r="C112" s="247">
        <v>5</v>
      </c>
      <c r="D112" s="106">
        <v>37677501</v>
      </c>
      <c r="E112" s="250">
        <f t="shared" si="1"/>
        <v>3.5776942526491951</v>
      </c>
      <c r="F112" s="251">
        <f t="shared" si="2"/>
        <v>0.89442356316229876</v>
      </c>
    </row>
    <row r="113" spans="1:10" ht="26.25" customHeight="1">
      <c r="A113" s="137" t="s">
        <v>113</v>
      </c>
      <c r="B113" s="138">
        <v>1</v>
      </c>
      <c r="C113" s="252">
        <v>6</v>
      </c>
      <c r="D113" s="107">
        <v>38566560</v>
      </c>
      <c r="E113" s="253">
        <f t="shared" si="1"/>
        <v>3.6621154905271016</v>
      </c>
      <c r="F113" s="254">
        <f t="shared" si="2"/>
        <v>0.9155288726317754</v>
      </c>
    </row>
    <row r="114" spans="1:10" ht="26.25" customHeight="1">
      <c r="A114" s="137" t="s">
        <v>114</v>
      </c>
      <c r="B114" s="138">
        <v>1</v>
      </c>
      <c r="C114" s="247"/>
      <c r="D114" s="167"/>
      <c r="E114" s="111"/>
      <c r="F114" s="255"/>
    </row>
    <row r="115" spans="1:10" ht="26.25" customHeight="1">
      <c r="A115" s="137" t="s">
        <v>115</v>
      </c>
      <c r="B115" s="138">
        <v>1</v>
      </c>
      <c r="C115" s="247"/>
      <c r="D115" s="256" t="s">
        <v>69</v>
      </c>
      <c r="E115" s="257">
        <f>AVERAGE(E108:E113)</f>
        <v>3.6077376728689359</v>
      </c>
      <c r="F115" s="258">
        <f>AVERAGE(F108:F113)</f>
        <v>0.90193441821723397</v>
      </c>
    </row>
    <row r="116" spans="1:10" ht="27" customHeight="1" thickBot="1">
      <c r="A116" s="137" t="s">
        <v>116</v>
      </c>
      <c r="B116" s="149">
        <f>(B115/B114)*(B113/B112)*(B111/B110)*(B109/B108)*B107</f>
        <v>900</v>
      </c>
      <c r="C116" s="259"/>
      <c r="D116" s="121" t="s">
        <v>82</v>
      </c>
      <c r="E116" s="260">
        <f>STDEV(E108:E113)/E115</f>
        <v>8.1380595191503195E-3</v>
      </c>
      <c r="F116" s="260">
        <f>STDEV(F108:F113)/F115</f>
        <v>8.1380595191503195E-3</v>
      </c>
      <c r="I116" s="111"/>
    </row>
    <row r="117" spans="1:10" ht="27" customHeight="1" thickBot="1">
      <c r="A117" s="396" t="s">
        <v>76</v>
      </c>
      <c r="B117" s="400"/>
      <c r="C117" s="261"/>
      <c r="D117" s="262" t="s">
        <v>19</v>
      </c>
      <c r="E117" s="263">
        <f>COUNT(E108:E113)</f>
        <v>6</v>
      </c>
      <c r="F117" s="263">
        <f>COUNT(F108:F113)</f>
        <v>6</v>
      </c>
      <c r="I117" s="111"/>
      <c r="J117" s="241"/>
    </row>
    <row r="118" spans="1:10" ht="19.5" customHeight="1" thickBot="1">
      <c r="A118" s="398"/>
      <c r="B118" s="401"/>
      <c r="C118" s="111"/>
      <c r="D118" s="111"/>
      <c r="E118" s="111"/>
      <c r="F118" s="167"/>
      <c r="G118" s="111"/>
      <c r="H118" s="111"/>
      <c r="I118" s="111"/>
    </row>
    <row r="119" spans="1:10" ht="18.75">
      <c r="A119" s="264"/>
      <c r="B119" s="133"/>
      <c r="C119" s="111"/>
      <c r="D119" s="111"/>
      <c r="E119" s="111"/>
      <c r="F119" s="167"/>
      <c r="G119" s="111"/>
      <c r="H119" s="111"/>
      <c r="I119" s="111"/>
    </row>
    <row r="120" spans="1:10" ht="26.25" customHeight="1">
      <c r="A120" s="120" t="s">
        <v>135</v>
      </c>
      <c r="B120" s="121" t="s">
        <v>117</v>
      </c>
      <c r="C120" s="402" t="str">
        <f>B20</f>
        <v>Glimepiride 4 mg</v>
      </c>
      <c r="D120" s="402"/>
      <c r="E120" s="111" t="s">
        <v>118</v>
      </c>
      <c r="F120" s="111"/>
      <c r="G120" s="218">
        <f>F115</f>
        <v>0.90193441821723397</v>
      </c>
      <c r="H120" s="111"/>
      <c r="I120" s="111"/>
    </row>
    <row r="121" spans="1:10" ht="19.5" customHeight="1" thickBot="1">
      <c r="A121" s="265"/>
      <c r="B121" s="265"/>
      <c r="C121" s="266"/>
      <c r="D121" s="266"/>
      <c r="E121" s="266"/>
      <c r="F121" s="266"/>
      <c r="G121" s="266"/>
      <c r="H121" s="266"/>
    </row>
    <row r="122" spans="1:10" ht="18.75">
      <c r="B122" s="403" t="s">
        <v>25</v>
      </c>
      <c r="C122" s="403"/>
      <c r="E122" s="221" t="s">
        <v>26</v>
      </c>
      <c r="F122" s="267"/>
      <c r="G122" s="403" t="s">
        <v>27</v>
      </c>
      <c r="H122" s="403"/>
    </row>
    <row r="123" spans="1:10" ht="69.95" customHeight="1">
      <c r="A123" s="120" t="s">
        <v>28</v>
      </c>
      <c r="B123" s="268"/>
      <c r="C123" s="268"/>
      <c r="E123" s="268"/>
      <c r="F123" s="111"/>
      <c r="G123" s="268"/>
      <c r="H123" s="268"/>
    </row>
    <row r="124" spans="1:10" ht="69.95" customHeight="1">
      <c r="A124" s="120" t="s">
        <v>29</v>
      </c>
      <c r="B124" s="269"/>
      <c r="C124" s="269"/>
      <c r="E124" s="269"/>
      <c r="F124" s="111"/>
      <c r="G124" s="270"/>
      <c r="H124" s="270"/>
    </row>
    <row r="125" spans="1:10" ht="18.75">
      <c r="A125" s="167"/>
      <c r="B125" s="167"/>
      <c r="C125" s="167"/>
      <c r="D125" s="167"/>
      <c r="E125" s="167"/>
      <c r="F125" s="169"/>
      <c r="G125" s="167"/>
      <c r="H125" s="167"/>
      <c r="I125" s="111"/>
    </row>
    <row r="126" spans="1:10" ht="18.75">
      <c r="A126" s="167"/>
      <c r="B126" s="167"/>
      <c r="C126" s="167"/>
      <c r="D126" s="167"/>
      <c r="E126" s="167"/>
      <c r="F126" s="169"/>
      <c r="G126" s="167"/>
      <c r="H126" s="167"/>
      <c r="I126" s="111"/>
    </row>
    <row r="127" spans="1:10" ht="18.75">
      <c r="A127" s="167"/>
      <c r="B127" s="167"/>
      <c r="C127" s="167"/>
      <c r="D127" s="167"/>
      <c r="E127" s="167"/>
      <c r="F127" s="169"/>
      <c r="G127" s="167"/>
      <c r="H127" s="167"/>
      <c r="I127" s="111"/>
    </row>
    <row r="128" spans="1:10" ht="18.75">
      <c r="A128" s="167"/>
      <c r="B128" s="167"/>
      <c r="C128" s="167"/>
      <c r="D128" s="167"/>
      <c r="E128" s="167"/>
      <c r="F128" s="169"/>
      <c r="G128" s="167"/>
      <c r="H128" s="167"/>
      <c r="I128" s="111"/>
    </row>
    <row r="129" spans="1:9" ht="18.75">
      <c r="A129" s="167"/>
      <c r="B129" s="167"/>
      <c r="C129" s="167"/>
      <c r="D129" s="167"/>
      <c r="E129" s="167"/>
      <c r="F129" s="169"/>
      <c r="G129" s="167"/>
      <c r="H129" s="167"/>
      <c r="I129" s="111"/>
    </row>
    <row r="130" spans="1:9" ht="18.75">
      <c r="A130" s="167"/>
      <c r="B130" s="167"/>
      <c r="C130" s="167"/>
      <c r="D130" s="167"/>
      <c r="E130" s="167"/>
      <c r="F130" s="169"/>
      <c r="G130" s="167"/>
      <c r="H130" s="167"/>
      <c r="I130" s="111"/>
    </row>
    <row r="131" spans="1:9" ht="18.75">
      <c r="A131" s="167"/>
      <c r="B131" s="167"/>
      <c r="C131" s="167"/>
      <c r="D131" s="167"/>
      <c r="E131" s="167"/>
      <c r="F131" s="169"/>
      <c r="G131" s="167"/>
      <c r="H131" s="167"/>
      <c r="I131" s="111"/>
    </row>
    <row r="132" spans="1:9" ht="18.75">
      <c r="A132" s="167"/>
      <c r="B132" s="167"/>
      <c r="C132" s="167"/>
      <c r="D132" s="167"/>
      <c r="E132" s="167"/>
      <c r="F132" s="169"/>
      <c r="G132" s="167"/>
      <c r="H132" s="167"/>
      <c r="I132" s="111"/>
    </row>
    <row r="133" spans="1:9" ht="18.75">
      <c r="A133" s="167"/>
      <c r="B133" s="167"/>
      <c r="C133" s="167"/>
      <c r="D133" s="167"/>
      <c r="E133" s="167"/>
      <c r="F133" s="169"/>
      <c r="G133" s="167"/>
      <c r="H133" s="167"/>
      <c r="I133" s="111"/>
    </row>
    <row r="250" spans="1:1">
      <c r="A250" s="10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0" priority="9" operator="greaterThan">
      <formula>0.02</formula>
    </cfRule>
  </conditionalFormatting>
  <conditionalFormatting sqref="D51">
    <cfRule type="cellIs" dxfId="9" priority="8" operator="greaterThan">
      <formula>0.02</formula>
    </cfRule>
  </conditionalFormatting>
  <conditionalFormatting sqref="G73">
    <cfRule type="cellIs" dxfId="8" priority="7" operator="greaterThan">
      <formula>0.02</formula>
    </cfRule>
  </conditionalFormatting>
  <conditionalFormatting sqref="H73">
    <cfRule type="cellIs" dxfId="7" priority="6" operator="greaterThan">
      <formula>0.02</formula>
    </cfRule>
  </conditionalFormatting>
  <conditionalFormatting sqref="D104">
    <cfRule type="cellIs" dxfId="6" priority="5" operator="greaterThan">
      <formula>0.02</formula>
    </cfRule>
  </conditionalFormatting>
  <conditionalFormatting sqref="I39">
    <cfRule type="cellIs" dxfId="5" priority="4" operator="lessThanOrEqual">
      <formula>0.02</formula>
    </cfRule>
  </conditionalFormatting>
  <conditionalFormatting sqref="I39">
    <cfRule type="cellIs" dxfId="4" priority="3" operator="greaterThan">
      <formula>0.02</formula>
    </cfRule>
  </conditionalFormatting>
  <conditionalFormatting sqref="I92">
    <cfRule type="cellIs" dxfId="3" priority="2" operator="lessThanOrEqual">
      <formula>0.02</formula>
    </cfRule>
  </conditionalFormatting>
  <conditionalFormatting sqref="I92">
    <cfRule type="cellIs" dxfId="2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204"/>
  <sheetViews>
    <sheetView tabSelected="1" view="pageBreakPreview" topLeftCell="A34" zoomScale="50" zoomScaleNormal="60" zoomScaleSheetLayoutView="50" workbookViewId="0">
      <selection activeCell="B24" sqref="B24"/>
    </sheetView>
  </sheetViews>
  <sheetFormatPr defaultRowHeight="12.75"/>
  <cols>
    <col min="1" max="1" width="54.85546875" style="271" customWidth="1"/>
    <col min="2" max="2" width="39.42578125" style="271" customWidth="1"/>
    <col min="3" max="3" width="42.5703125" style="271" customWidth="1"/>
    <col min="4" max="4" width="21" style="271" customWidth="1"/>
    <col min="5" max="5" width="28.28515625" style="271" customWidth="1"/>
    <col min="6" max="6" width="23.85546875" style="271" customWidth="1"/>
    <col min="7" max="7" width="26" style="271" customWidth="1"/>
    <col min="8" max="16384" width="9.140625" style="271"/>
  </cols>
  <sheetData>
    <row r="1" spans="1:7">
      <c r="A1" s="451" t="s">
        <v>44</v>
      </c>
      <c r="B1" s="451"/>
      <c r="C1" s="451"/>
      <c r="D1" s="451"/>
      <c r="E1" s="451"/>
      <c r="F1" s="451"/>
      <c r="G1" s="451"/>
    </row>
    <row r="2" spans="1:7">
      <c r="A2" s="451"/>
      <c r="B2" s="451"/>
      <c r="C2" s="451"/>
      <c r="D2" s="451"/>
      <c r="E2" s="451"/>
      <c r="F2" s="451"/>
      <c r="G2" s="451"/>
    </row>
    <row r="3" spans="1:7">
      <c r="A3" s="451"/>
      <c r="B3" s="451"/>
      <c r="C3" s="451"/>
      <c r="D3" s="451"/>
      <c r="E3" s="451"/>
      <c r="F3" s="451"/>
      <c r="G3" s="451"/>
    </row>
    <row r="4" spans="1:7">
      <c r="A4" s="451"/>
      <c r="B4" s="451"/>
      <c r="C4" s="451"/>
      <c r="D4" s="451"/>
      <c r="E4" s="451"/>
      <c r="F4" s="451"/>
      <c r="G4" s="451"/>
    </row>
    <row r="5" spans="1:7">
      <c r="A5" s="451"/>
      <c r="B5" s="451"/>
      <c r="C5" s="451"/>
      <c r="D5" s="451"/>
      <c r="E5" s="451"/>
      <c r="F5" s="451"/>
      <c r="G5" s="451"/>
    </row>
    <row r="6" spans="1:7">
      <c r="A6" s="451"/>
      <c r="B6" s="451"/>
      <c r="C6" s="451"/>
      <c r="D6" s="451"/>
      <c r="E6" s="451"/>
      <c r="F6" s="451"/>
      <c r="G6" s="451"/>
    </row>
    <row r="7" spans="1:7">
      <c r="A7" s="451"/>
      <c r="B7" s="451"/>
      <c r="C7" s="451"/>
      <c r="D7" s="451"/>
      <c r="E7" s="451"/>
      <c r="F7" s="451"/>
      <c r="G7" s="451"/>
    </row>
    <row r="8" spans="1:7">
      <c r="A8" s="452" t="s">
        <v>45</v>
      </c>
      <c r="B8" s="452"/>
      <c r="C8" s="452"/>
      <c r="D8" s="452"/>
      <c r="E8" s="452"/>
      <c r="F8" s="452"/>
      <c r="G8" s="452"/>
    </row>
    <row r="9" spans="1:7">
      <c r="A9" s="452"/>
      <c r="B9" s="452"/>
      <c r="C9" s="452"/>
      <c r="D9" s="452"/>
      <c r="E9" s="452"/>
      <c r="F9" s="452"/>
      <c r="G9" s="452"/>
    </row>
    <row r="10" spans="1:7">
      <c r="A10" s="452"/>
      <c r="B10" s="452"/>
      <c r="C10" s="452"/>
      <c r="D10" s="452"/>
      <c r="E10" s="452"/>
      <c r="F10" s="452"/>
      <c r="G10" s="452"/>
    </row>
    <row r="11" spans="1:7">
      <c r="A11" s="452"/>
      <c r="B11" s="452"/>
      <c r="C11" s="452"/>
      <c r="D11" s="452"/>
      <c r="E11" s="452"/>
      <c r="F11" s="452"/>
      <c r="G11" s="452"/>
    </row>
    <row r="12" spans="1:7">
      <c r="A12" s="452"/>
      <c r="B12" s="452"/>
      <c r="C12" s="452"/>
      <c r="D12" s="452"/>
      <c r="E12" s="452"/>
      <c r="F12" s="452"/>
      <c r="G12" s="452"/>
    </row>
    <row r="13" spans="1:7">
      <c r="A13" s="452"/>
      <c r="B13" s="452"/>
      <c r="C13" s="452"/>
      <c r="D13" s="452"/>
      <c r="E13" s="452"/>
      <c r="F13" s="452"/>
      <c r="G13" s="452"/>
    </row>
    <row r="14" spans="1:7">
      <c r="A14" s="452"/>
      <c r="B14" s="452"/>
      <c r="C14" s="452"/>
      <c r="D14" s="452"/>
      <c r="E14" s="452"/>
      <c r="F14" s="452"/>
      <c r="G14" s="452"/>
    </row>
    <row r="15" spans="1:7" ht="19.5" customHeight="1" thickBot="1">
      <c r="A15" s="272"/>
      <c r="B15" s="272"/>
      <c r="C15" s="272"/>
      <c r="D15" s="272"/>
      <c r="E15" s="272"/>
      <c r="F15" s="272"/>
      <c r="G15" s="272"/>
    </row>
    <row r="16" spans="1:7" ht="19.5" customHeight="1" thickBot="1">
      <c r="A16" s="453" t="s">
        <v>30</v>
      </c>
      <c r="B16" s="454"/>
      <c r="C16" s="454"/>
      <c r="D16" s="454"/>
      <c r="E16" s="454"/>
      <c r="F16" s="454"/>
      <c r="G16" s="454"/>
    </row>
    <row r="17" spans="1:7" ht="18.75" customHeight="1">
      <c r="A17" s="273" t="s">
        <v>46</v>
      </c>
      <c r="B17" s="273"/>
      <c r="C17" s="272"/>
      <c r="D17" s="272"/>
      <c r="E17" s="272"/>
      <c r="F17" s="272"/>
      <c r="G17" s="272"/>
    </row>
    <row r="18" spans="1:7" ht="26.25" customHeight="1">
      <c r="A18" s="274" t="s">
        <v>32</v>
      </c>
      <c r="B18" s="455" t="s">
        <v>142</v>
      </c>
      <c r="C18" s="455"/>
      <c r="D18" s="275"/>
      <c r="E18" s="275"/>
      <c r="F18" s="272"/>
      <c r="G18" s="272"/>
    </row>
    <row r="19" spans="1:7" ht="26.25" customHeight="1">
      <c r="A19" s="274" t="s">
        <v>33</v>
      </c>
      <c r="B19" s="276" t="s">
        <v>143</v>
      </c>
      <c r="C19" s="272">
        <v>12</v>
      </c>
      <c r="E19" s="272"/>
      <c r="F19" s="272"/>
      <c r="G19" s="272"/>
    </row>
    <row r="20" spans="1:7" ht="26.25" customHeight="1">
      <c r="A20" s="274" t="s">
        <v>34</v>
      </c>
      <c r="B20" s="444" t="s">
        <v>144</v>
      </c>
      <c r="C20" s="444"/>
      <c r="D20" s="272"/>
      <c r="E20" s="272"/>
      <c r="F20" s="272"/>
      <c r="G20" s="272"/>
    </row>
    <row r="21" spans="1:7" ht="26.25" customHeight="1">
      <c r="A21" s="274" t="s">
        <v>35</v>
      </c>
      <c r="B21" s="276" t="s">
        <v>8</v>
      </c>
      <c r="C21" s="277"/>
      <c r="D21" s="278"/>
      <c r="E21" s="278"/>
      <c r="F21" s="278"/>
      <c r="G21" s="278"/>
    </row>
    <row r="22" spans="1:7" ht="26.25" customHeight="1">
      <c r="A22" s="274" t="s">
        <v>36</v>
      </c>
      <c r="B22" s="279">
        <v>42506</v>
      </c>
      <c r="C22" s="280"/>
      <c r="D22" s="272"/>
      <c r="E22" s="272"/>
      <c r="F22" s="272"/>
      <c r="G22" s="272"/>
    </row>
    <row r="23" spans="1:7" ht="26.25" customHeight="1">
      <c r="A23" s="274" t="s">
        <v>37</v>
      </c>
      <c r="B23" s="279">
        <v>42515</v>
      </c>
      <c r="C23" s="280"/>
      <c r="D23" s="272"/>
      <c r="E23" s="272"/>
      <c r="F23" s="272"/>
      <c r="G23" s="272"/>
    </row>
    <row r="24" spans="1:7" ht="18.75" customHeight="1">
      <c r="A24" s="274"/>
      <c r="B24" s="281"/>
      <c r="C24" s="272"/>
      <c r="D24" s="272"/>
      <c r="E24" s="272"/>
      <c r="F24" s="272"/>
      <c r="G24" s="272"/>
    </row>
    <row r="25" spans="1:7" ht="18.75" customHeight="1">
      <c r="A25" s="282" t="s">
        <v>1</v>
      </c>
      <c r="B25" s="281"/>
      <c r="C25" s="272"/>
      <c r="D25" s="272"/>
      <c r="E25" s="272"/>
      <c r="F25" s="272"/>
      <c r="G25" s="272"/>
    </row>
    <row r="26" spans="1:7" ht="26.25" customHeight="1">
      <c r="A26" s="283" t="s">
        <v>3</v>
      </c>
      <c r="B26" s="455" t="s">
        <v>119</v>
      </c>
      <c r="C26" s="455"/>
      <c r="D26" s="272"/>
      <c r="E26" s="272"/>
      <c r="F26" s="272"/>
      <c r="G26" s="272"/>
    </row>
    <row r="27" spans="1:7" ht="26.25" customHeight="1">
      <c r="A27" s="284" t="s">
        <v>47</v>
      </c>
      <c r="B27" s="444" t="s">
        <v>120</v>
      </c>
      <c r="C27" s="444"/>
      <c r="D27" s="272"/>
      <c r="E27" s="272"/>
      <c r="F27" s="272"/>
      <c r="G27" s="272"/>
    </row>
    <row r="28" spans="1:7" ht="27" customHeight="1" thickBot="1">
      <c r="A28" s="284" t="s">
        <v>5</v>
      </c>
      <c r="B28" s="285">
        <v>99.59</v>
      </c>
      <c r="C28" s="272"/>
      <c r="D28" s="272"/>
      <c r="E28" s="272"/>
      <c r="F28" s="272"/>
      <c r="G28" s="272"/>
    </row>
    <row r="29" spans="1:7" ht="27" customHeight="1" thickBot="1">
      <c r="A29" s="284" t="s">
        <v>48</v>
      </c>
      <c r="B29" s="286">
        <v>0</v>
      </c>
      <c r="C29" s="445" t="s">
        <v>49</v>
      </c>
      <c r="D29" s="446"/>
      <c r="E29" s="446"/>
      <c r="F29" s="446"/>
      <c r="G29" s="447"/>
    </row>
    <row r="30" spans="1:7" ht="19.5" customHeight="1" thickBot="1">
      <c r="A30" s="284" t="s">
        <v>50</v>
      </c>
      <c r="B30" s="287">
        <f>B28-B29</f>
        <v>99.59</v>
      </c>
      <c r="C30" s="288"/>
      <c r="D30" s="288"/>
      <c r="E30" s="288"/>
      <c r="F30" s="288"/>
      <c r="G30" s="288"/>
    </row>
    <row r="31" spans="1:7" ht="27" customHeight="1" thickBot="1">
      <c r="A31" s="284" t="s">
        <v>51</v>
      </c>
      <c r="B31" s="289">
        <v>1</v>
      </c>
      <c r="C31" s="445" t="s">
        <v>52</v>
      </c>
      <c r="D31" s="446"/>
      <c r="E31" s="446"/>
      <c r="F31" s="446"/>
      <c r="G31" s="447"/>
    </row>
    <row r="32" spans="1:7" ht="27" customHeight="1" thickBot="1">
      <c r="A32" s="284" t="s">
        <v>53</v>
      </c>
      <c r="B32" s="289">
        <v>1</v>
      </c>
      <c r="C32" s="445" t="s">
        <v>54</v>
      </c>
      <c r="D32" s="446"/>
      <c r="E32" s="446"/>
      <c r="F32" s="446"/>
      <c r="G32" s="447"/>
    </row>
    <row r="33" spans="1:7" ht="18.75" customHeight="1">
      <c r="A33" s="284"/>
      <c r="B33" s="290"/>
      <c r="C33" s="291"/>
      <c r="D33" s="291"/>
      <c r="E33" s="291"/>
      <c r="F33" s="291"/>
      <c r="G33" s="291"/>
    </row>
    <row r="34" spans="1:7" ht="18.75" customHeight="1">
      <c r="A34" s="284" t="s">
        <v>55</v>
      </c>
      <c r="B34" s="292">
        <f>B31/B32</f>
        <v>1</v>
      </c>
      <c r="C34" s="272" t="s">
        <v>56</v>
      </c>
      <c r="D34" s="272"/>
      <c r="E34" s="272"/>
      <c r="F34" s="272"/>
      <c r="G34" s="272"/>
    </row>
    <row r="35" spans="1:7" ht="19.5" customHeight="1" thickBot="1">
      <c r="A35" s="284"/>
      <c r="B35" s="287"/>
      <c r="C35" s="293"/>
      <c r="D35" s="293"/>
      <c r="E35" s="293"/>
      <c r="F35" s="293"/>
      <c r="G35" s="272"/>
    </row>
    <row r="36" spans="1:7" ht="27" customHeight="1" thickBot="1">
      <c r="A36" s="294" t="s">
        <v>57</v>
      </c>
      <c r="B36" s="295">
        <v>100</v>
      </c>
      <c r="C36" s="272"/>
      <c r="D36" s="448" t="s">
        <v>58</v>
      </c>
      <c r="E36" s="449"/>
      <c r="F36" s="448" t="s">
        <v>59</v>
      </c>
      <c r="G36" s="450"/>
    </row>
    <row r="37" spans="1:7" ht="26.25" customHeight="1">
      <c r="A37" s="296" t="s">
        <v>145</v>
      </c>
      <c r="B37" s="297">
        <v>1</v>
      </c>
      <c r="C37" s="298" t="s">
        <v>61</v>
      </c>
      <c r="D37" s="299" t="s">
        <v>62</v>
      </c>
      <c r="E37" s="300" t="s">
        <v>63</v>
      </c>
      <c r="F37" s="299" t="s">
        <v>62</v>
      </c>
      <c r="G37" s="301" t="s">
        <v>63</v>
      </c>
    </row>
    <row r="38" spans="1:7" ht="26.25" customHeight="1">
      <c r="A38" s="296" t="s">
        <v>146</v>
      </c>
      <c r="B38" s="297">
        <v>1</v>
      </c>
      <c r="C38" s="302">
        <v>1</v>
      </c>
      <c r="D38" s="303">
        <v>106622815</v>
      </c>
      <c r="E38" s="304">
        <f>IF(ISBLANK(D38),"-",$D$48/$D$45*D38)</f>
        <v>93178214.316644296</v>
      </c>
      <c r="F38" s="303">
        <v>99305911</v>
      </c>
      <c r="G38" s="305">
        <f>IF(ISBLANK(F38),"-",$D$48/$F$45*F38)</f>
        <v>94966420.418955818</v>
      </c>
    </row>
    <row r="39" spans="1:7" ht="26.25" customHeight="1">
      <c r="A39" s="296" t="s">
        <v>147</v>
      </c>
      <c r="B39" s="297">
        <v>1</v>
      </c>
      <c r="C39" s="306">
        <v>2</v>
      </c>
      <c r="D39" s="307">
        <v>106798680</v>
      </c>
      <c r="E39" s="308">
        <f>IF(ISBLANK(D39),"-",$D$48/$D$45*D39)</f>
        <v>93331903.624704644</v>
      </c>
      <c r="F39" s="307">
        <v>99440562</v>
      </c>
      <c r="G39" s="309">
        <f>IF(ISBLANK(F39),"-",$D$48/$F$45*F39)</f>
        <v>95095187.411243245</v>
      </c>
    </row>
    <row r="40" spans="1:7" ht="26.25" customHeight="1">
      <c r="A40" s="296" t="s">
        <v>148</v>
      </c>
      <c r="B40" s="297">
        <v>1</v>
      </c>
      <c r="C40" s="306">
        <v>3</v>
      </c>
      <c r="D40" s="307">
        <v>106735470</v>
      </c>
      <c r="E40" s="308">
        <f>IF(ISBLANK(D40),"-",$D$48/$D$45*D40)</f>
        <v>93276664.087772936</v>
      </c>
      <c r="F40" s="307">
        <v>99373750</v>
      </c>
      <c r="G40" s="309">
        <f>IF(ISBLANK(F40),"-",$D$48/$F$45*F40)</f>
        <v>95031294.976068556</v>
      </c>
    </row>
    <row r="41" spans="1:7" ht="26.25" customHeight="1">
      <c r="A41" s="296" t="s">
        <v>149</v>
      </c>
      <c r="B41" s="297">
        <v>1</v>
      </c>
      <c r="C41" s="310">
        <v>4</v>
      </c>
      <c r="D41" s="311"/>
      <c r="E41" s="312" t="str">
        <f>IF(ISBLANK(D41),"-",$D$48/$D$45*D41)</f>
        <v>-</v>
      </c>
      <c r="F41" s="311"/>
      <c r="G41" s="313" t="str">
        <f>IF(ISBLANK(F41),"-",$D$48/$F$45*F41)</f>
        <v>-</v>
      </c>
    </row>
    <row r="42" spans="1:7" ht="27" customHeight="1" thickBot="1">
      <c r="A42" s="296" t="s">
        <v>150</v>
      </c>
      <c r="B42" s="297">
        <v>1</v>
      </c>
      <c r="C42" s="314" t="s">
        <v>69</v>
      </c>
      <c r="D42" s="315">
        <f>AVERAGE(D38:D41)</f>
        <v>106718988.33333333</v>
      </c>
      <c r="E42" s="316">
        <f>AVERAGE(E38:E41)</f>
        <v>93262260.676373959</v>
      </c>
      <c r="F42" s="315">
        <f>AVERAGE(F38:F41)</f>
        <v>99373407.666666672</v>
      </c>
      <c r="G42" s="317">
        <f>AVERAGE(G38:G41)</f>
        <v>95030967.602089211</v>
      </c>
    </row>
    <row r="43" spans="1:7" ht="26.25" customHeight="1">
      <c r="A43" s="296" t="s">
        <v>151</v>
      </c>
      <c r="B43" s="297">
        <v>1</v>
      </c>
      <c r="C43" s="318" t="s">
        <v>71</v>
      </c>
      <c r="D43" s="319">
        <v>11.49</v>
      </c>
      <c r="E43" s="272"/>
      <c r="F43" s="319">
        <v>10.5</v>
      </c>
      <c r="G43" s="272"/>
    </row>
    <row r="44" spans="1:7" ht="26.25" customHeight="1">
      <c r="A44" s="296" t="s">
        <v>152</v>
      </c>
      <c r="B44" s="297">
        <v>1</v>
      </c>
      <c r="C44" s="320" t="s">
        <v>73</v>
      </c>
      <c r="D44" s="321">
        <f>D43*$B$34</f>
        <v>11.49</v>
      </c>
      <c r="E44" s="322"/>
      <c r="F44" s="321">
        <f>F43*$B$34</f>
        <v>10.5</v>
      </c>
      <c r="G44" s="272"/>
    </row>
    <row r="45" spans="1:7" ht="19.5" customHeight="1" thickBot="1">
      <c r="A45" s="296" t="s">
        <v>74</v>
      </c>
      <c r="B45" s="323">
        <f>(B44/B43)*(B42/B41)*(B40/B39)*(B38/B37)*B36</f>
        <v>100</v>
      </c>
      <c r="C45" s="320" t="s">
        <v>75</v>
      </c>
      <c r="D45" s="324">
        <f>D44*$B$30/100</f>
        <v>11.442890999999999</v>
      </c>
      <c r="E45" s="325"/>
      <c r="F45" s="324">
        <f>F44*$B$30/100</f>
        <v>10.456949999999999</v>
      </c>
      <c r="G45" s="272"/>
    </row>
    <row r="46" spans="1:7" ht="19.5" customHeight="1" thickBot="1">
      <c r="A46" s="434" t="s">
        <v>76</v>
      </c>
      <c r="B46" s="435"/>
      <c r="C46" s="320" t="s">
        <v>77</v>
      </c>
      <c r="D46" s="321">
        <f>D45/$B$45</f>
        <v>0.11442890999999999</v>
      </c>
      <c r="E46" s="325"/>
      <c r="F46" s="326">
        <f>F45/$B$45</f>
        <v>0.1045695</v>
      </c>
      <c r="G46" s="272"/>
    </row>
    <row r="47" spans="1:7" ht="27" customHeight="1" thickBot="1">
      <c r="A47" s="436"/>
      <c r="B47" s="437"/>
      <c r="C47" s="327" t="s">
        <v>78</v>
      </c>
      <c r="D47" s="328">
        <v>0.1</v>
      </c>
      <c r="E47" s="272"/>
      <c r="F47" s="329"/>
      <c r="G47" s="272"/>
    </row>
    <row r="48" spans="1:7" ht="18.75" customHeight="1">
      <c r="A48" s="272"/>
      <c r="B48" s="272"/>
      <c r="C48" s="330" t="s">
        <v>79</v>
      </c>
      <c r="D48" s="324">
        <f>D47*$B$45</f>
        <v>10</v>
      </c>
      <c r="E48" s="272"/>
      <c r="F48" s="329"/>
      <c r="G48" s="272"/>
    </row>
    <row r="49" spans="1:7" ht="19.5" customHeight="1" thickBot="1">
      <c r="A49" s="272"/>
      <c r="B49" s="272"/>
      <c r="C49" s="284" t="s">
        <v>80</v>
      </c>
      <c r="D49" s="331">
        <f>D48/B34</f>
        <v>10</v>
      </c>
      <c r="E49" s="272"/>
      <c r="F49" s="329"/>
      <c r="G49" s="272"/>
    </row>
    <row r="50" spans="1:7" ht="18.75" customHeight="1">
      <c r="A50" s="272"/>
      <c r="B50" s="272"/>
      <c r="C50" s="294" t="s">
        <v>81</v>
      </c>
      <c r="D50" s="332">
        <f>AVERAGE(E38:E41,G38:G41)</f>
        <v>94146614.139231578</v>
      </c>
      <c r="E50" s="272"/>
      <c r="F50" s="333"/>
      <c r="G50" s="272"/>
    </row>
    <row r="51" spans="1:7" ht="18.75" customHeight="1">
      <c r="A51" s="272"/>
      <c r="B51" s="272"/>
      <c r="C51" s="296" t="s">
        <v>82</v>
      </c>
      <c r="D51" s="334">
        <f>STDEV(E38:E41,G38:G41)/D50</f>
        <v>1.0312271208197407E-2</v>
      </c>
      <c r="E51" s="272"/>
      <c r="F51" s="333"/>
      <c r="G51" s="272"/>
    </row>
    <row r="52" spans="1:7" ht="19.5" customHeight="1" thickBot="1">
      <c r="A52" s="272"/>
      <c r="B52" s="272"/>
      <c r="C52" s="335" t="s">
        <v>19</v>
      </c>
      <c r="D52" s="336">
        <f>COUNT(E38:E41,G38:G41)</f>
        <v>6</v>
      </c>
      <c r="E52" s="272"/>
      <c r="F52" s="333"/>
      <c r="G52" s="272"/>
    </row>
    <row r="53" spans="1:7" ht="18.75" customHeight="1">
      <c r="A53" s="272"/>
      <c r="B53" s="272"/>
      <c r="C53" s="272"/>
      <c r="D53" s="272"/>
      <c r="E53" s="272"/>
      <c r="F53" s="272"/>
      <c r="G53" s="272"/>
    </row>
    <row r="54" spans="1:7" ht="18.75" customHeight="1">
      <c r="A54" s="273" t="s">
        <v>1</v>
      </c>
      <c r="B54" s="337" t="s">
        <v>83</v>
      </c>
      <c r="C54" s="272"/>
      <c r="D54" s="272"/>
      <c r="E54" s="272"/>
      <c r="F54" s="272"/>
      <c r="G54" s="272"/>
    </row>
    <row r="55" spans="1:7" ht="18.75" customHeight="1">
      <c r="A55" s="272" t="s">
        <v>84</v>
      </c>
      <c r="B55" s="338" t="str">
        <f>B21</f>
        <v>Glimepiride 4 mg</v>
      </c>
      <c r="C55" s="272"/>
      <c r="D55" s="272"/>
      <c r="E55" s="272"/>
      <c r="F55" s="272"/>
      <c r="G55" s="272"/>
    </row>
    <row r="56" spans="1:7" ht="26.25" customHeight="1">
      <c r="A56" s="338" t="s">
        <v>85</v>
      </c>
      <c r="B56" s="285">
        <v>4</v>
      </c>
      <c r="C56" s="272" t="str">
        <f>B20</f>
        <v xml:space="preserve">Glimepiride   </v>
      </c>
      <c r="D56" s="272"/>
      <c r="E56" s="272"/>
      <c r="F56" s="272"/>
      <c r="G56" s="272"/>
    </row>
    <row r="57" spans="1:7" ht="17.25" customHeight="1" thickBot="1">
      <c r="A57" s="339" t="s">
        <v>86</v>
      </c>
      <c r="B57" s="339">
        <v>142.874</v>
      </c>
      <c r="C57" s="339"/>
      <c r="D57" s="340"/>
      <c r="E57" s="340"/>
      <c r="F57" s="340"/>
      <c r="G57" s="340"/>
    </row>
    <row r="58" spans="1:7" ht="57.75" customHeight="1">
      <c r="A58" s="294" t="s">
        <v>87</v>
      </c>
      <c r="B58" s="295">
        <v>50</v>
      </c>
      <c r="C58" s="341" t="s">
        <v>88</v>
      </c>
      <c r="D58" s="342" t="s">
        <v>89</v>
      </c>
      <c r="E58" s="343" t="s">
        <v>90</v>
      </c>
      <c r="F58" s="344" t="s">
        <v>91</v>
      </c>
      <c r="G58" s="345" t="s">
        <v>92</v>
      </c>
    </row>
    <row r="59" spans="1:7" ht="26.25" customHeight="1">
      <c r="A59" s="296" t="s">
        <v>145</v>
      </c>
      <c r="B59" s="297">
        <v>1</v>
      </c>
      <c r="C59" s="346">
        <v>1</v>
      </c>
      <c r="D59" s="347">
        <v>73179305</v>
      </c>
      <c r="E59" s="348">
        <f t="shared" ref="E59:E68" si="0">IF(ISBLANK(D59),"-",D59/$D$50*$D$47*$B$67)</f>
        <v>3.8864544237234373</v>
      </c>
      <c r="F59" s="349">
        <f t="shared" ref="F59:F68" si="1">IF(ISBLANK(D59),"-",E59/$E$70*100)</f>
        <v>96.27998256434266</v>
      </c>
      <c r="G59" s="350">
        <f t="shared" ref="G59:G68" si="2">IF(ISBLANK(D59),"-",E59/$B$56*100)</f>
        <v>97.161360593085931</v>
      </c>
    </row>
    <row r="60" spans="1:7" ht="26.25" customHeight="1">
      <c r="A60" s="296" t="s">
        <v>146</v>
      </c>
      <c r="B60" s="297">
        <v>1</v>
      </c>
      <c r="C60" s="351">
        <v>2</v>
      </c>
      <c r="D60" s="352">
        <v>75336309</v>
      </c>
      <c r="E60" s="353">
        <f t="shared" si="0"/>
        <v>4.0010100038534908</v>
      </c>
      <c r="F60" s="354">
        <f t="shared" si="1"/>
        <v>99.117892920436049</v>
      </c>
      <c r="G60" s="355">
        <f t="shared" si="2"/>
        <v>100.02525009633727</v>
      </c>
    </row>
    <row r="61" spans="1:7" ht="26.25" customHeight="1">
      <c r="A61" s="296" t="s">
        <v>147</v>
      </c>
      <c r="B61" s="297">
        <v>1</v>
      </c>
      <c r="C61" s="351">
        <v>3</v>
      </c>
      <c r="D61" s="352">
        <v>75885835</v>
      </c>
      <c r="E61" s="353">
        <f t="shared" si="0"/>
        <v>4.0301945903107015</v>
      </c>
      <c r="F61" s="354">
        <f t="shared" si="1"/>
        <v>99.840889042067076</v>
      </c>
      <c r="G61" s="355">
        <f t="shared" si="2"/>
        <v>100.75486475776754</v>
      </c>
    </row>
    <row r="62" spans="1:7" ht="26.25" customHeight="1">
      <c r="A62" s="296" t="s">
        <v>148</v>
      </c>
      <c r="B62" s="297">
        <v>1</v>
      </c>
      <c r="C62" s="351">
        <v>4</v>
      </c>
      <c r="D62" s="352">
        <v>78469329</v>
      </c>
      <c r="E62" s="353">
        <f t="shared" si="0"/>
        <v>4.1674004804863856</v>
      </c>
      <c r="F62" s="354">
        <f t="shared" si="1"/>
        <v>103.23992046597965</v>
      </c>
      <c r="G62" s="355">
        <f t="shared" si="2"/>
        <v>104.18501201215963</v>
      </c>
    </row>
    <row r="63" spans="1:7" ht="26.25" customHeight="1">
      <c r="A63" s="296" t="s">
        <v>149</v>
      </c>
      <c r="B63" s="297">
        <v>1</v>
      </c>
      <c r="C63" s="351">
        <v>5</v>
      </c>
      <c r="D63" s="352">
        <v>75347583</v>
      </c>
      <c r="E63" s="353">
        <f t="shared" si="0"/>
        <v>4.0016087508240039</v>
      </c>
      <c r="F63" s="354">
        <f t="shared" si="1"/>
        <v>99.132725809644668</v>
      </c>
      <c r="G63" s="355">
        <f t="shared" si="2"/>
        <v>100.04021877060009</v>
      </c>
    </row>
    <row r="64" spans="1:7" ht="26.25" customHeight="1">
      <c r="A64" s="296" t="s">
        <v>150</v>
      </c>
      <c r="B64" s="297">
        <v>1</v>
      </c>
      <c r="C64" s="351">
        <v>6</v>
      </c>
      <c r="D64" s="352">
        <v>76546875</v>
      </c>
      <c r="E64" s="353">
        <f t="shared" si="0"/>
        <v>4.065301535262666</v>
      </c>
      <c r="F64" s="354">
        <f t="shared" si="1"/>
        <v>100.71060104157745</v>
      </c>
      <c r="G64" s="355">
        <f t="shared" si="2"/>
        <v>101.63253838156665</v>
      </c>
    </row>
    <row r="65" spans="1:7" ht="26.25" customHeight="1">
      <c r="A65" s="296" t="s">
        <v>151</v>
      </c>
      <c r="B65" s="297">
        <v>1</v>
      </c>
      <c r="C65" s="351">
        <v>7</v>
      </c>
      <c r="D65" s="352">
        <v>75674723</v>
      </c>
      <c r="E65" s="353">
        <f t="shared" si="0"/>
        <v>4.0189827160478728</v>
      </c>
      <c r="F65" s="354">
        <f t="shared" si="1"/>
        <v>99.563134837116294</v>
      </c>
      <c r="G65" s="355">
        <f t="shared" si="2"/>
        <v>100.47456790119682</v>
      </c>
    </row>
    <row r="66" spans="1:7" ht="26.25" customHeight="1">
      <c r="A66" s="296" t="s">
        <v>152</v>
      </c>
      <c r="B66" s="297">
        <v>1</v>
      </c>
      <c r="C66" s="351">
        <v>8</v>
      </c>
      <c r="D66" s="352">
        <v>76808572</v>
      </c>
      <c r="E66" s="353">
        <f t="shared" si="0"/>
        <v>4.079199910811945</v>
      </c>
      <c r="F66" s="354">
        <f t="shared" si="1"/>
        <v>101.05490852847068</v>
      </c>
      <c r="G66" s="355">
        <f t="shared" si="2"/>
        <v>101.97999777029862</v>
      </c>
    </row>
    <row r="67" spans="1:7" ht="27" customHeight="1" thickBot="1">
      <c r="A67" s="296" t="s">
        <v>74</v>
      </c>
      <c r="B67" s="323">
        <f>(B66/B65)*(B64/B63)*(B62/B61)*(B60/B59)*B58</f>
        <v>50</v>
      </c>
      <c r="C67" s="351">
        <v>9</v>
      </c>
      <c r="D67" s="352">
        <v>77647891</v>
      </c>
      <c r="E67" s="353">
        <f t="shared" si="0"/>
        <v>4.1237750135744689</v>
      </c>
      <c r="F67" s="354">
        <f t="shared" si="1"/>
        <v>102.15917726518416</v>
      </c>
      <c r="G67" s="355">
        <f t="shared" si="2"/>
        <v>103.09437533936172</v>
      </c>
    </row>
    <row r="68" spans="1:7" ht="27" customHeight="1" thickBot="1">
      <c r="A68" s="434" t="s">
        <v>76</v>
      </c>
      <c r="B68" s="438"/>
      <c r="C68" s="356">
        <v>10</v>
      </c>
      <c r="D68" s="357">
        <v>75171279</v>
      </c>
      <c r="E68" s="358">
        <f t="shared" si="0"/>
        <v>3.9922454826060272</v>
      </c>
      <c r="F68" s="359">
        <f t="shared" si="1"/>
        <v>98.90076752518128</v>
      </c>
      <c r="G68" s="360">
        <f t="shared" si="2"/>
        <v>99.806137065150679</v>
      </c>
    </row>
    <row r="69" spans="1:7" ht="19.5" customHeight="1" thickBot="1">
      <c r="A69" s="436"/>
      <c r="B69" s="439"/>
      <c r="C69" s="351"/>
      <c r="D69" s="325"/>
      <c r="E69" s="272"/>
      <c r="F69" s="340"/>
      <c r="G69" s="361"/>
    </row>
    <row r="70" spans="1:7" ht="26.25" customHeight="1">
      <c r="A70" s="340"/>
      <c r="B70" s="340"/>
      <c r="C70" s="351" t="s">
        <v>93</v>
      </c>
      <c r="D70" s="362"/>
      <c r="E70" s="363">
        <f>AVERAGE(E59:E68)</f>
        <v>4.0366172907501001</v>
      </c>
      <c r="F70" s="363">
        <f>AVERAGE(F59:F68)</f>
        <v>100.00000000000001</v>
      </c>
      <c r="G70" s="364">
        <f>AVERAGE(G59:G68)</f>
        <v>100.91543226875248</v>
      </c>
    </row>
    <row r="71" spans="1:7" ht="26.25" customHeight="1">
      <c r="A71" s="340"/>
      <c r="B71" s="340"/>
      <c r="C71" s="351"/>
      <c r="D71" s="362"/>
      <c r="E71" s="365">
        <f>STDEV(E59:E68)/E70</f>
        <v>1.9313266475522499E-2</v>
      </c>
      <c r="F71" s="365">
        <f>STDEV(F59:F68)/F70</f>
        <v>1.9313266475520643E-2</v>
      </c>
      <c r="G71" s="366">
        <f>STDEV(G59:G68)/G70</f>
        <v>1.9313266475530957E-2</v>
      </c>
    </row>
    <row r="72" spans="1:7" ht="27" customHeight="1" thickBot="1">
      <c r="A72" s="340"/>
      <c r="B72" s="340"/>
      <c r="C72" s="356"/>
      <c r="D72" s="367"/>
      <c r="E72" s="368">
        <f>COUNT(E59:E68)</f>
        <v>10</v>
      </c>
      <c r="F72" s="368">
        <f>COUNT(F59:F68)</f>
        <v>10</v>
      </c>
      <c r="G72" s="369">
        <f>COUNT(G59:G68)</f>
        <v>10</v>
      </c>
    </row>
    <row r="73" spans="1:7" ht="18.75" customHeight="1">
      <c r="A73" s="340"/>
      <c r="B73" s="272"/>
      <c r="C73" s="272"/>
      <c r="D73" s="322"/>
      <c r="E73" s="362"/>
      <c r="F73" s="272"/>
      <c r="G73" s="370"/>
    </row>
    <row r="74" spans="1:7" ht="18.75" customHeight="1">
      <c r="A74" s="283" t="s">
        <v>94</v>
      </c>
      <c r="B74" s="284" t="s">
        <v>95</v>
      </c>
      <c r="C74" s="440" t="str">
        <f>B20</f>
        <v xml:space="preserve">Glimepiride   </v>
      </c>
      <c r="D74" s="440"/>
      <c r="E74" s="272" t="s">
        <v>96</v>
      </c>
      <c r="F74" s="272"/>
      <c r="G74" s="371">
        <f>G70</f>
        <v>100.91543226875248</v>
      </c>
    </row>
    <row r="75" spans="1:7" ht="18.75" customHeight="1">
      <c r="A75" s="283"/>
      <c r="B75" s="284"/>
      <c r="C75" s="287"/>
      <c r="D75" s="287"/>
      <c r="E75" s="272"/>
      <c r="F75" s="272"/>
      <c r="G75" s="372"/>
    </row>
    <row r="76" spans="1:7" ht="18.75" customHeight="1">
      <c r="A76" s="273" t="s">
        <v>1</v>
      </c>
      <c r="B76" s="282" t="s">
        <v>97</v>
      </c>
      <c r="C76" s="272"/>
      <c r="D76" s="272"/>
      <c r="E76" s="272"/>
      <c r="F76" s="272"/>
      <c r="G76" s="340"/>
    </row>
    <row r="77" spans="1:7" ht="18.75" customHeight="1">
      <c r="A77" s="273"/>
      <c r="B77" s="337"/>
      <c r="C77" s="272"/>
      <c r="D77" s="272"/>
      <c r="E77" s="272"/>
      <c r="F77" s="272"/>
      <c r="G77" s="340"/>
    </row>
    <row r="78" spans="1:7" ht="18.75" customHeight="1">
      <c r="A78" s="340"/>
      <c r="B78" s="441" t="s">
        <v>98</v>
      </c>
      <c r="C78" s="442"/>
      <c r="D78" s="272"/>
      <c r="E78" s="340"/>
      <c r="F78" s="340"/>
      <c r="G78" s="340"/>
    </row>
    <row r="79" spans="1:7" ht="18.75" customHeight="1">
      <c r="A79" s="340"/>
      <c r="B79" s="373" t="s">
        <v>42</v>
      </c>
      <c r="C79" s="374">
        <f>G70</f>
        <v>100.91543226875248</v>
      </c>
      <c r="D79" s="272"/>
      <c r="E79" s="340"/>
      <c r="F79" s="340"/>
      <c r="G79" s="340"/>
    </row>
    <row r="80" spans="1:7" ht="26.25" customHeight="1">
      <c r="A80" s="340"/>
      <c r="B80" s="373" t="s">
        <v>99</v>
      </c>
      <c r="C80" s="375">
        <v>2.4</v>
      </c>
      <c r="D80" s="272"/>
      <c r="E80" s="340"/>
      <c r="F80" s="340"/>
      <c r="G80" s="340"/>
    </row>
    <row r="81" spans="1:7" ht="18.75" customHeight="1">
      <c r="A81" s="340"/>
      <c r="B81" s="373" t="s">
        <v>100</v>
      </c>
      <c r="C81" s="374">
        <f>STDEV(G59:G68)</f>
        <v>1.9490066348998123</v>
      </c>
      <c r="D81" s="272"/>
      <c r="E81" s="340"/>
      <c r="F81" s="340"/>
      <c r="G81" s="340"/>
    </row>
    <row r="82" spans="1:7" ht="18.75" customHeight="1">
      <c r="A82" s="340"/>
      <c r="B82" s="373" t="s">
        <v>101</v>
      </c>
      <c r="C82" s="374">
        <f>IF(OR(G70&lt;98.5,G70&gt;101.5),(IF(98.5&gt;G70,98.5,101.5)),C79)</f>
        <v>100.91543226875248</v>
      </c>
      <c r="D82" s="272"/>
      <c r="E82" s="340"/>
      <c r="F82" s="340"/>
      <c r="G82" s="340"/>
    </row>
    <row r="83" spans="1:7" ht="18.75" customHeight="1">
      <c r="A83" s="340"/>
      <c r="B83" s="373" t="s">
        <v>153</v>
      </c>
      <c r="C83" s="376">
        <f>ABS(C82-C79)+(C80*C81)</f>
        <v>4.6776159237595492</v>
      </c>
      <c r="D83" s="272"/>
      <c r="E83" s="340"/>
      <c r="F83" s="340"/>
      <c r="G83" s="340"/>
    </row>
    <row r="84" spans="1:7" ht="18.75" customHeight="1" thickBot="1">
      <c r="A84" s="338"/>
      <c r="B84" s="377"/>
      <c r="C84" s="272"/>
      <c r="D84" s="272"/>
      <c r="E84" s="272"/>
      <c r="F84" s="272"/>
      <c r="G84" s="272"/>
    </row>
    <row r="85" spans="1:7" ht="18.75" customHeight="1">
      <c r="A85" s="272"/>
      <c r="B85" s="443" t="s">
        <v>25</v>
      </c>
      <c r="C85" s="443"/>
      <c r="D85" s="272"/>
      <c r="E85" s="378" t="s">
        <v>26</v>
      </c>
      <c r="F85" s="379"/>
      <c r="G85" s="378" t="s">
        <v>27</v>
      </c>
    </row>
    <row r="86" spans="1:7" ht="60" customHeight="1">
      <c r="A86" s="283" t="s">
        <v>28</v>
      </c>
      <c r="B86" s="380"/>
      <c r="C86" s="380" t="s">
        <v>154</v>
      </c>
      <c r="D86" s="272"/>
      <c r="E86" s="380" t="s">
        <v>155</v>
      </c>
      <c r="F86" s="272"/>
      <c r="G86" s="380"/>
    </row>
    <row r="87" spans="1:7" ht="60" customHeight="1">
      <c r="A87" s="283" t="s">
        <v>29</v>
      </c>
      <c r="B87" s="381"/>
      <c r="C87" s="381"/>
      <c r="D87" s="272"/>
      <c r="E87" s="381"/>
      <c r="F87" s="272"/>
      <c r="G87" s="382"/>
    </row>
    <row r="204" spans="1:1">
      <c r="A204" s="27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17">
    <mergeCell ref="B26:C26"/>
    <mergeCell ref="A1:G7"/>
    <mergeCell ref="A8:G14"/>
    <mergeCell ref="A16:G16"/>
    <mergeCell ref="B18:C18"/>
    <mergeCell ref="B20:C20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5:C85"/>
  </mergeCells>
  <conditionalFormatting sqref="D51">
    <cfRule type="cellIs" dxfId="1" priority="2" operator="greaterThan">
      <formula>0.02</formula>
    </cfRule>
  </conditionalFormatting>
  <conditionalFormatting sqref="C83">
    <cfRule type="cellIs" dxfId="0" priority="1" operator="greaterThan">
      <formula>15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2" manualBreakCount="2">
    <brk id="91" max="7" man="1"/>
    <brk id="9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Uniformity</vt:lpstr>
      <vt:lpstr>SST</vt:lpstr>
      <vt:lpstr>Glimepiride Assay Diss</vt:lpstr>
      <vt:lpstr>Glimepiride CU</vt:lpstr>
      <vt:lpstr>'Glimepiride Assay Diss'!Print_Area</vt:lpstr>
      <vt:lpstr>'Glimepiride CU'!Print_Area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dcterms:created xsi:type="dcterms:W3CDTF">2005-07-05T10:19:27Z</dcterms:created>
  <dcterms:modified xsi:type="dcterms:W3CDTF">2016-05-23T03:47:42Z</dcterms:modified>
</cp:coreProperties>
</file>