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September 2016\"/>
    </mc:Choice>
  </mc:AlternateContent>
  <bookViews>
    <workbookView xWindow="510" yWindow="525" windowWidth="15015" windowHeight="7620" activeTab="2"/>
  </bookViews>
  <sheets>
    <sheet name="SST" sheetId="4" r:id="rId1"/>
    <sheet name="Uniformity" sheetId="3" r:id="rId2"/>
    <sheet name="Sofosbuvir " sheetId="2" r:id="rId3"/>
  </sheets>
  <definedNames>
    <definedName name="_xlnm.Print_Area" localSheetId="2">'Sofosbuvir '!$A$1:$I$124</definedName>
    <definedName name="_xlnm.Print_Area" localSheetId="0">SST!$A$15:$G$61</definedName>
    <definedName name="_xlnm.Print_Area" localSheetId="1">Uniformity!$A$12:$F$54</definedName>
  </definedNames>
  <calcPr calcId="152511"/>
</workbook>
</file>

<file path=xl/calcChain.xml><?xml version="1.0" encoding="utf-8"?>
<calcChain xmlns="http://schemas.openxmlformats.org/spreadsheetml/2006/main">
  <c r="B20" i="4" l="1"/>
  <c r="B19" i="4"/>
  <c r="F96" i="2"/>
  <c r="D96" i="2"/>
  <c r="B18" i="4"/>
  <c r="B53" i="4"/>
  <c r="E51" i="4"/>
  <c r="D51" i="4"/>
  <c r="C51" i="4"/>
  <c r="B51" i="4"/>
  <c r="B52" i="4" s="1"/>
  <c r="B32" i="4"/>
  <c r="E30" i="4"/>
  <c r="D30" i="4"/>
  <c r="C30" i="4"/>
  <c r="B30" i="4"/>
  <c r="B31" i="4" s="1"/>
  <c r="C46" i="3"/>
  <c r="D50" i="3" s="1"/>
  <c r="C45" i="3"/>
  <c r="C19" i="3"/>
  <c r="C120" i="2"/>
  <c r="B116" i="2"/>
  <c r="D100" i="2" s="1"/>
  <c r="B98" i="2"/>
  <c r="F95" i="2"/>
  <c r="D95" i="2"/>
  <c r="B87" i="2"/>
  <c r="D97" i="2" s="1"/>
  <c r="B81" i="2"/>
  <c r="B83" i="2" s="1"/>
  <c r="B80" i="2"/>
  <c r="B79" i="2"/>
  <c r="C76" i="2"/>
  <c r="B68" i="2"/>
  <c r="C56" i="2"/>
  <c r="B55" i="2"/>
  <c r="B45" i="2"/>
  <c r="D48" i="2" s="1"/>
  <c r="F42" i="2"/>
  <c r="D42" i="2"/>
  <c r="B34" i="2"/>
  <c r="F44" i="2" s="1"/>
  <c r="B30" i="2"/>
  <c r="B57" i="2" l="1"/>
  <c r="B69" i="2" s="1"/>
  <c r="I92" i="2"/>
  <c r="D101" i="2"/>
  <c r="F97" i="2"/>
  <c r="I39" i="2"/>
  <c r="F45" i="2"/>
  <c r="F46" i="2" s="1"/>
  <c r="D24" i="3"/>
  <c r="D28" i="3"/>
  <c r="D32" i="3"/>
  <c r="D36" i="3"/>
  <c r="D40" i="3"/>
  <c r="D49" i="3"/>
  <c r="D25" i="3"/>
  <c r="D29" i="3"/>
  <c r="D33" i="3"/>
  <c r="D37" i="3"/>
  <c r="D41" i="3"/>
  <c r="D27" i="3"/>
  <c r="D31" i="3"/>
  <c r="D35" i="3"/>
  <c r="D39" i="3"/>
  <c r="D43" i="3"/>
  <c r="C49" i="3"/>
  <c r="C50" i="3"/>
  <c r="D26" i="3"/>
  <c r="D30" i="3"/>
  <c r="D34" i="3"/>
  <c r="D38" i="3"/>
  <c r="D42" i="3"/>
  <c r="B49" i="3"/>
  <c r="E38" i="2"/>
  <c r="D49" i="2"/>
  <c r="E40" i="2"/>
  <c r="D98" i="2"/>
  <c r="D99" i="2" s="1"/>
  <c r="F98" i="2"/>
  <c r="F99" i="2" s="1"/>
  <c r="D102" i="2"/>
  <c r="D44" i="2"/>
  <c r="D45" i="2" s="1"/>
  <c r="D46" i="2" s="1"/>
  <c r="B21" i="4" s="1"/>
  <c r="G39" i="2" l="1"/>
  <c r="G38" i="2"/>
  <c r="E92" i="2"/>
  <c r="E94" i="2"/>
  <c r="G40" i="2"/>
  <c r="E91" i="2"/>
  <c r="E93" i="2"/>
  <c r="G41" i="2"/>
  <c r="E41" i="2"/>
  <c r="G93" i="2"/>
  <c r="G94" i="2"/>
  <c r="E39" i="2"/>
  <c r="G91" i="2"/>
  <c r="G92" i="2"/>
  <c r="G42" i="2" l="1"/>
  <c r="E95" i="2"/>
  <c r="E42" i="2"/>
  <c r="D103" i="2"/>
  <c r="E109" i="2" s="1"/>
  <c r="F109" i="2" s="1"/>
  <c r="D105" i="2"/>
  <c r="G95" i="2"/>
  <c r="D52" i="2"/>
  <c r="D50" i="2"/>
  <c r="D51" i="2" s="1"/>
  <c r="G67" i="2"/>
  <c r="H67" i="2" s="1"/>
  <c r="G63" i="2"/>
  <c r="H63" i="2" s="1"/>
  <c r="G71" i="2"/>
  <c r="H71" i="2" s="1"/>
  <c r="G60" i="2" l="1"/>
  <c r="H60" i="2" s="1"/>
  <c r="G65" i="2"/>
  <c r="H65" i="2" s="1"/>
  <c r="G69" i="2"/>
  <c r="H69" i="2" s="1"/>
  <c r="G62" i="2"/>
  <c r="H62" i="2" s="1"/>
  <c r="G64" i="2"/>
  <c r="H64" i="2" s="1"/>
  <c r="G61" i="2"/>
  <c r="H61" i="2" s="1"/>
  <c r="G70" i="2"/>
  <c r="H70" i="2" s="1"/>
  <c r="G66" i="2"/>
  <c r="H66" i="2" s="1"/>
  <c r="G68" i="2"/>
  <c r="H68" i="2" s="1"/>
  <c r="E111" i="2"/>
  <c r="F111" i="2" s="1"/>
  <c r="D104" i="2"/>
  <c r="E108" i="2"/>
  <c r="F108" i="2" s="1"/>
  <c r="E110" i="2"/>
  <c r="F110" i="2" s="1"/>
  <c r="E112" i="2"/>
  <c r="F112" i="2" s="1"/>
  <c r="E113" i="2"/>
  <c r="F113" i="2" s="1"/>
  <c r="G72" i="2" l="1"/>
  <c r="G73" i="2" s="1"/>
  <c r="G74" i="2"/>
  <c r="E117" i="2"/>
  <c r="E115" i="2"/>
  <c r="E116" i="2" s="1"/>
  <c r="H72" i="2"/>
  <c r="H74" i="2"/>
  <c r="F117" i="2"/>
  <c r="F115" i="2"/>
  <c r="H73" i="2" l="1"/>
  <c r="G76" i="2"/>
  <c r="G120" i="2"/>
  <c r="F116" i="2"/>
</calcChain>
</file>

<file path=xl/sharedStrings.xml><?xml version="1.0" encoding="utf-8"?>
<sst xmlns="http://schemas.openxmlformats.org/spreadsheetml/2006/main" count="230" uniqueCount="132">
  <si>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</si>
  <si>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</si>
  <si>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</si>
  <si>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</si>
  <si>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</si>
  <si>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HEPCINAT 400</t>
  </si>
  <si>
    <t>Laboratory Ref No:</t>
  </si>
  <si>
    <t>NDQD201602746</t>
  </si>
  <si>
    <t>Active Ingredient:</t>
  </si>
  <si>
    <t>Sofosbuvir 400mg</t>
  </si>
  <si>
    <t>Label Claim:</t>
  </si>
  <si>
    <t>each tablets contains sofosbuvir 400mg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</si>
  <si>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</si>
  <si>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</si>
  <si>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</si>
  <si>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</si>
  <si>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</si>
  <si>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</si>
  <si>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</si>
  <si>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</si>
  <si>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</si>
  <si>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</si>
  <si>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</si>
  <si>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</si>
  <si>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</si>
  <si>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</si>
  <si>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</si>
  <si>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</si>
  <si>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</si>
  <si>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</si>
  <si>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</si>
  <si>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</si>
  <si>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</si>
  <si>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</si>
  <si>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</si>
  <si>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</si>
  <si>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</si>
  <si>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</si>
  <si>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</si>
  <si>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</si>
  <si>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</si>
  <si>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</si>
  <si>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</si>
  <si>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</si>
  <si>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</si>
  <si>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</si>
  <si>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</si>
  <si>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</si>
  <si>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</si>
  <si>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</si>
  <si>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</si>
  <si>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</si>
  <si>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</si>
  <si>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</si>
  <si>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</si>
  <si>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</si>
  <si>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</si>
  <si>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</si>
  <si>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</si>
  <si>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</si>
  <si>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</si>
  <si>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</si>
  <si>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</si>
  <si>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</si>
  <si>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</si>
  <si>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</si>
  <si>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</si>
  <si>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</si>
  <si>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</si>
  <si>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</si>
  <si>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</si>
  <si>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</si>
  <si>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</si>
  <si>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</si>
  <si>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</si>
  <si>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</si>
  <si>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</si>
  <si>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</si>
  <si>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</si>
  <si>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</si>
  <si>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</si>
  <si>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</si>
  <si>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</si>
  <si>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</si>
  <si>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</si>
  <si>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</si>
  <si>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</si>
  <si>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</si>
  <si>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</si>
  <si>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</si>
  <si>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</si>
  <si>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</si>
  <si>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</si>
  <si>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</si>
  <si>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</si>
  <si>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</si>
  <si>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</si>
  <si>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</si>
  <si>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</si>
  <si>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</si>
  <si>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Uniformity of Weight Test Report</t>
  </si>
  <si>
    <t>TENOFOVIR DISOPROXIL FUMARATE/  LAMIVUDINE/ EFAVIRENZ  TABLETS 300 MG/300 MG /600 MG</t>
  </si>
  <si>
    <t>NDQB201607044</t>
  </si>
  <si>
    <t xml:space="preserve">Tenofovir Disoproxil Fumarate , Lamivudine  &amp; Efavirenz </t>
  </si>
  <si>
    <t>Each film coated tablet contains Tenofovir Disoproxil Fumarate 300mg, Lamivudine 300mg &amp; Efavirenz 600mg tablets</t>
  </si>
  <si>
    <t>2016-07-26 15:16:09</t>
  </si>
  <si>
    <t>Uniformity of weight</t>
  </si>
  <si>
    <t>Tablet weight (mg)</t>
  </si>
  <si>
    <t>% Deviation</t>
  </si>
  <si>
    <t>Total</t>
  </si>
  <si>
    <t>Average</t>
  </si>
  <si>
    <t>% Deviation from mean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</si>
  <si>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</si>
  <si>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</si>
  <si>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</si>
  <si>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</si>
  <si>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</si>
  <si>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</si>
  <si>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</si>
  <si>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</si>
  <si>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</si>
  <si>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</si>
  <si>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</si>
  <si>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</si>
  <si>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</si>
  <si>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</si>
  <si>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</si>
  <si>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</si>
  <si>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</si>
  <si>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NDQB201602746</t>
  </si>
  <si>
    <t>Sofosbuvir</t>
  </si>
  <si>
    <t>S48-1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</si>
</sst>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yy"/>
    <numFmt numFmtId="165" formatCode="dd\-mmm\-yy"/>
    <numFmt numFmtId="166" formatCode="0.0000\ &quot;mg&quot;"/>
    <numFmt numFmtId="167" formatCode="0.000"/>
    <numFmt numFmtId="168" formatCode="0.0000"/>
    <numFmt numFmtId="169" formatCode="0.0\ &quot;mg&quot;"/>
    <numFmt numFmtId="170" formatCode="0.0%"/>
    <numFmt numFmtId="171" formatCode="[$-409]d/mmm/yy;@"/>
    <numFmt numFmtId="172" formatCode="0.00000"/>
  </numFmts>
  <fonts count="32" x14ac:knownFonts="1">
    <font>
      <sz val="10"/>
      <color rgb="FF000000"/>
      <name val="Arial"/>
    </font>
    <font>
      <sz val="10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7" fillId="2" borderId="0"/>
    <xf numFmtId="0" fontId="24" fillId="2" borderId="0"/>
  </cellStyleXfs>
  <cellXfs count="324"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6" fillId="3" borderId="0" xfId="0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164" fontId="6" fillId="3" borderId="0" xfId="0" applyNumberFormat="1" applyFont="1" applyFill="1" applyAlignment="1" applyProtection="1">
      <alignment horizontal="center"/>
      <protection locked="0"/>
    </xf>
    <xf numFmtId="165" fontId="3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vertical="center" wrapText="1"/>
    </xf>
    <xf numFmtId="0" fontId="11" fillId="2" borderId="0" xfId="0" applyFont="1" applyFill="1"/>
    <xf numFmtId="2" fontId="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6" fontId="4" fillId="2" borderId="0" xfId="0" applyNumberFormat="1" applyFont="1" applyFill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5" fillId="3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right"/>
    </xf>
    <xf numFmtId="0" fontId="5" fillId="3" borderId="5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1" xfId="0" applyFont="1" applyFill="1" applyBorder="1" applyAlignment="1" applyProtection="1">
      <alignment horizontal="center"/>
      <protection locked="0"/>
    </xf>
    <xf numFmtId="167" fontId="3" fillId="2" borderId="7" xfId="0" applyNumberFormat="1" applyFont="1" applyFill="1" applyBorder="1" applyAlignment="1">
      <alignment horizontal="center"/>
    </xf>
    <xf numFmtId="167" fontId="3" fillId="2" borderId="1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3" fillId="2" borderId="5" xfId="0" applyFont="1" applyFill="1" applyBorder="1" applyAlignment="1">
      <alignment horizontal="center"/>
    </xf>
    <xf numFmtId="0" fontId="5" fillId="3" borderId="4" xfId="0" applyFont="1" applyFill="1" applyBorder="1" applyAlignment="1" applyProtection="1">
      <alignment horizontal="center"/>
      <protection locked="0"/>
    </xf>
    <xf numFmtId="167" fontId="3" fillId="2" borderId="14" xfId="0" applyNumberFormat="1" applyFont="1" applyFill="1" applyBorder="1" applyAlignment="1">
      <alignment horizontal="center"/>
    </xf>
    <xf numFmtId="167" fontId="3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16" xfId="0" applyFont="1" applyFill="1" applyBorder="1" applyAlignment="1">
      <alignment horizontal="center"/>
    </xf>
    <xf numFmtId="0" fontId="5" fillId="3" borderId="17" xfId="0" applyFont="1" applyFill="1" applyBorder="1" applyAlignment="1" applyProtection="1">
      <alignment horizontal="center"/>
      <protection locked="0"/>
    </xf>
    <xf numFmtId="167" fontId="3" fillId="2" borderId="18" xfId="0" applyNumberFormat="1" applyFont="1" applyFill="1" applyBorder="1" applyAlignment="1">
      <alignment horizontal="center"/>
    </xf>
    <xf numFmtId="167" fontId="3" fillId="2" borderId="19" xfId="0" applyNumberFormat="1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5" xfId="0" applyFont="1" applyFill="1" applyBorder="1" applyAlignment="1">
      <alignment horizontal="right"/>
    </xf>
    <xf numFmtId="1" fontId="4" fillId="4" borderId="21" xfId="0" applyNumberFormat="1" applyFont="1" applyFill="1" applyBorder="1" applyAlignment="1">
      <alignment horizontal="center"/>
    </xf>
    <xf numFmtId="167" fontId="4" fillId="4" borderId="22" xfId="0" applyNumberFormat="1" applyFont="1" applyFill="1" applyBorder="1" applyAlignment="1">
      <alignment horizontal="center"/>
    </xf>
    <xf numFmtId="167" fontId="4" fillId="4" borderId="2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24" xfId="0" applyFont="1" applyFill="1" applyBorder="1" applyAlignment="1">
      <alignment horizontal="right"/>
    </xf>
    <xf numFmtId="0" fontId="5" fillId="3" borderId="25" xfId="0" applyFont="1" applyFill="1" applyBorder="1" applyAlignment="1" applyProtection="1">
      <alignment horizontal="center"/>
      <protection locked="0"/>
    </xf>
    <xf numFmtId="0" fontId="3" fillId="2" borderId="26" xfId="0" applyFont="1" applyFill="1" applyBorder="1" applyAlignment="1">
      <alignment horizontal="right"/>
    </xf>
    <xf numFmtId="2" fontId="3" fillId="4" borderId="2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3" fillId="5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68" fontId="3" fillId="4" borderId="27" xfId="0" applyNumberFormat="1" applyFont="1" applyFill="1" applyBorder="1" applyAlignment="1">
      <alignment horizontal="center"/>
    </xf>
    <xf numFmtId="168" fontId="3" fillId="2" borderId="0" xfId="0" applyNumberFormat="1" applyFont="1" applyFill="1" applyAlignment="1">
      <alignment horizontal="center"/>
    </xf>
    <xf numFmtId="168" fontId="3" fillId="4" borderId="28" xfId="0" applyNumberFormat="1" applyFont="1" applyFill="1" applyBorder="1" applyAlignment="1">
      <alignment horizontal="center"/>
    </xf>
    <xf numFmtId="0" fontId="3" fillId="2" borderId="29" xfId="0" applyFont="1" applyFill="1" applyBorder="1" applyAlignment="1">
      <alignment horizontal="right"/>
    </xf>
    <xf numFmtId="168" fontId="5" fillId="3" borderId="27" xfId="0" applyNumberFormat="1" applyFont="1" applyFill="1" applyBorder="1" applyAlignment="1" applyProtection="1">
      <alignment horizontal="center"/>
      <protection locked="0"/>
    </xf>
    <xf numFmtId="168" fontId="3" fillId="2" borderId="0" xfId="0" applyNumberFormat="1" applyFont="1" applyFill="1"/>
    <xf numFmtId="0" fontId="3" fillId="2" borderId="11" xfId="0" applyFont="1" applyFill="1" applyBorder="1" applyAlignment="1">
      <alignment horizontal="right"/>
    </xf>
    <xf numFmtId="1" fontId="3" fillId="2" borderId="0" xfId="0" applyNumberFormat="1" applyFont="1" applyFill="1" applyAlignment="1">
      <alignment horizontal="center"/>
    </xf>
    <xf numFmtId="0" fontId="3" fillId="2" borderId="20" xfId="0" applyFont="1" applyFill="1" applyBorder="1" applyAlignment="1">
      <alignment horizontal="right"/>
    </xf>
    <xf numFmtId="2" fontId="3" fillId="4" borderId="20" xfId="0" applyNumberFormat="1" applyFont="1" applyFill="1" applyBorder="1" applyAlignment="1">
      <alignment horizontal="center"/>
    </xf>
    <xf numFmtId="167" fontId="4" fillId="5" borderId="13" xfId="0" applyNumberFormat="1" applyFont="1" applyFill="1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10" fontId="3" fillId="4" borderId="27" xfId="0" applyNumberFormat="1" applyFont="1" applyFill="1" applyBorder="1" applyAlignment="1">
      <alignment horizontal="center"/>
    </xf>
    <xf numFmtId="0" fontId="3" fillId="2" borderId="30" xfId="0" applyFont="1" applyFill="1" applyBorder="1" applyAlignment="1">
      <alignment horizontal="right"/>
    </xf>
    <xf numFmtId="0" fontId="3" fillId="5" borderId="20" xfId="0" applyFont="1" applyFill="1" applyBorder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9" fontId="5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5" fillId="3" borderId="2" xfId="0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/>
    </xf>
    <xf numFmtId="10" fontId="3" fillId="2" borderId="31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center"/>
    </xf>
    <xf numFmtId="0" fontId="5" fillId="3" borderId="30" xfId="0" applyFont="1" applyFill="1" applyBorder="1" applyAlignment="1" applyProtection="1">
      <alignment horizontal="center"/>
      <protection locked="0"/>
    </xf>
    <xf numFmtId="10" fontId="3" fillId="2" borderId="3" xfId="0" applyNumberFormat="1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0" fontId="3" fillId="2" borderId="3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2" fontId="6" fillId="2" borderId="32" xfId="0" applyNumberFormat="1" applyFont="1" applyFill="1" applyBorder="1" applyAlignment="1">
      <alignment horizontal="center"/>
    </xf>
    <xf numFmtId="10" fontId="3" fillId="2" borderId="2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3" xfId="0" applyFont="1" applyFill="1" applyBorder="1" applyAlignment="1">
      <alignment horizontal="right"/>
    </xf>
    <xf numFmtId="10" fontId="5" fillId="5" borderId="16" xfId="0" applyNumberFormat="1" applyFont="1" applyFill="1" applyBorder="1" applyAlignment="1">
      <alignment horizontal="center"/>
    </xf>
    <xf numFmtId="0" fontId="3" fillId="2" borderId="27" xfId="0" applyFont="1" applyFill="1" applyBorder="1" applyAlignment="1">
      <alignment horizontal="right"/>
    </xf>
    <xf numFmtId="2" fontId="3" fillId="2" borderId="0" xfId="0" applyNumberFormat="1" applyFont="1" applyFill="1" applyAlignment="1">
      <alignment horizontal="center"/>
    </xf>
    <xf numFmtId="0" fontId="3" fillId="2" borderId="28" xfId="0" applyFont="1" applyFill="1" applyBorder="1" applyAlignment="1">
      <alignment horizontal="right"/>
    </xf>
    <xf numFmtId="0" fontId="5" fillId="5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170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4" fillId="2" borderId="3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167" fontId="5" fillId="3" borderId="1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right"/>
    </xf>
    <xf numFmtId="1" fontId="4" fillId="4" borderId="39" xfId="0" applyNumberFormat="1" applyFont="1" applyFill="1" applyBorder="1" applyAlignment="1">
      <alignment horizontal="center"/>
    </xf>
    <xf numFmtId="1" fontId="4" fillId="4" borderId="40" xfId="0" applyNumberFormat="1" applyFont="1" applyFill="1" applyBorder="1" applyAlignment="1">
      <alignment horizontal="center"/>
    </xf>
    <xf numFmtId="167" fontId="4" fillId="4" borderId="20" xfId="0" applyNumberFormat="1" applyFont="1" applyFill="1" applyBorder="1" applyAlignment="1">
      <alignment horizontal="center"/>
    </xf>
    <xf numFmtId="0" fontId="3" fillId="2" borderId="41" xfId="0" applyFont="1" applyFill="1" applyBorder="1" applyAlignment="1">
      <alignment horizontal="right"/>
    </xf>
    <xf numFmtId="0" fontId="5" fillId="3" borderId="42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>
      <alignment horizontal="right"/>
    </xf>
    <xf numFmtId="2" fontId="3" fillId="4" borderId="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5" borderId="8" xfId="0" applyNumberFormat="1" applyFont="1" applyFill="1" applyBorder="1" applyAlignment="1">
      <alignment horizontal="center"/>
    </xf>
    <xf numFmtId="168" fontId="3" fillId="4" borderId="8" xfId="0" applyNumberFormat="1" applyFont="1" applyFill="1" applyBorder="1" applyAlignment="1">
      <alignment horizontal="center"/>
    </xf>
    <xf numFmtId="0" fontId="1" fillId="2" borderId="0" xfId="0" applyFont="1" applyFill="1"/>
    <xf numFmtId="168" fontId="3" fillId="5" borderId="8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43" xfId="0" applyFont="1" applyFill="1" applyBorder="1" applyAlignment="1">
      <alignment horizontal="right"/>
    </xf>
    <xf numFmtId="2" fontId="3" fillId="5" borderId="1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3" fillId="2" borderId="25" xfId="0" applyFont="1" applyFill="1" applyBorder="1" applyAlignment="1">
      <alignment horizontal="right"/>
    </xf>
    <xf numFmtId="167" fontId="4" fillId="5" borderId="25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0" fontId="4" fillId="4" borderId="27" xfId="0" applyNumberFormat="1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10" fontId="3" fillId="2" borderId="12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0" fontId="3" fillId="2" borderId="19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167" fontId="3" fillId="2" borderId="46" xfId="0" applyNumberFormat="1" applyFont="1" applyFill="1" applyBorder="1" applyAlignment="1">
      <alignment horizontal="right"/>
    </xf>
    <xf numFmtId="10" fontId="5" fillId="5" borderId="8" xfId="0" applyNumberFormat="1" applyFont="1" applyFill="1" applyBorder="1" applyAlignment="1">
      <alignment horizontal="center"/>
    </xf>
    <xf numFmtId="0" fontId="3" fillId="2" borderId="4" xfId="0" applyFont="1" applyFill="1" applyBorder="1"/>
    <xf numFmtId="10" fontId="5" fillId="4" borderId="8" xfId="0" applyNumberFormat="1" applyFont="1" applyFill="1" applyBorder="1" applyAlignment="1">
      <alignment horizontal="center"/>
    </xf>
    <xf numFmtId="0" fontId="3" fillId="2" borderId="30" xfId="0" applyFont="1" applyFill="1" applyBorder="1"/>
    <xf numFmtId="0" fontId="3" fillId="2" borderId="47" xfId="0" applyFont="1" applyFill="1" applyBorder="1" applyAlignment="1">
      <alignment horizontal="right"/>
    </xf>
    <xf numFmtId="0" fontId="5" fillId="5" borderId="28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left" vertical="center" wrapText="1"/>
    </xf>
    <xf numFmtId="0" fontId="3" fillId="2" borderId="48" xfId="0" applyFont="1" applyFill="1" applyBorder="1"/>
    <xf numFmtId="0" fontId="3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2" borderId="38" xfId="0" applyFont="1" applyFill="1" applyBorder="1"/>
    <xf numFmtId="0" fontId="3" fillId="2" borderId="38" xfId="0" applyFont="1" applyFill="1" applyBorder="1"/>
    <xf numFmtId="0" fontId="4" fillId="2" borderId="26" xfId="0" applyFont="1" applyFill="1" applyBorder="1"/>
    <xf numFmtId="0" fontId="3" fillId="2" borderId="26" xfId="0" applyFont="1" applyFill="1" applyBorder="1"/>
    <xf numFmtId="0" fontId="12" fillId="2" borderId="0" xfId="0" applyFont="1" applyFill="1" applyAlignment="1">
      <alignment horizontal="right" vertical="center" wrapText="1"/>
    </xf>
    <xf numFmtId="0" fontId="5" fillId="2" borderId="0" xfId="0" applyFont="1" applyFill="1" applyAlignment="1" applyProtection="1">
      <alignment horizontal="right"/>
      <protection locked="0"/>
    </xf>
    <xf numFmtId="168" fontId="4" fillId="2" borderId="0" xfId="0" applyNumberFormat="1" applyFont="1" applyFill="1" applyAlignment="1" applyProtection="1">
      <alignment horizontal="center"/>
      <protection locked="0"/>
    </xf>
    <xf numFmtId="168" fontId="3" fillId="2" borderId="2" xfId="0" applyNumberFormat="1" applyFont="1" applyFill="1" applyBorder="1" applyAlignment="1">
      <alignment horizontal="center"/>
    </xf>
    <xf numFmtId="168" fontId="3" fillId="2" borderId="4" xfId="0" applyNumberFormat="1" applyFont="1" applyFill="1" applyBorder="1" applyAlignment="1">
      <alignment horizontal="center"/>
    </xf>
    <xf numFmtId="168" fontId="3" fillId="2" borderId="13" xfId="0" applyNumberFormat="1" applyFont="1" applyFill="1" applyBorder="1" applyAlignment="1">
      <alignment horizontal="center"/>
    </xf>
    <xf numFmtId="168" fontId="3" fillId="2" borderId="31" xfId="0" applyNumberFormat="1" applyFont="1" applyFill="1" applyBorder="1" applyAlignment="1">
      <alignment horizontal="center"/>
    </xf>
    <xf numFmtId="168" fontId="3" fillId="2" borderId="20" xfId="0" applyNumberFormat="1" applyFont="1" applyFill="1" applyBorder="1" applyAlignment="1">
      <alignment horizontal="center"/>
    </xf>
    <xf numFmtId="10" fontId="5" fillId="4" borderId="49" xfId="0" applyNumberFormat="1" applyFont="1" applyFill="1" applyBorder="1" applyAlignment="1">
      <alignment horizontal="center"/>
    </xf>
    <xf numFmtId="168" fontId="3" fillId="2" borderId="7" xfId="0" applyNumberFormat="1" applyFont="1" applyFill="1" applyBorder="1" applyAlignment="1">
      <alignment horizontal="center"/>
    </xf>
    <xf numFmtId="168" fontId="3" fillId="2" borderId="14" xfId="0" applyNumberFormat="1" applyFont="1" applyFill="1" applyBorder="1" applyAlignment="1">
      <alignment horizontal="center"/>
    </xf>
    <xf numFmtId="168" fontId="3" fillId="2" borderId="18" xfId="0" applyNumberFormat="1" applyFont="1" applyFill="1" applyBorder="1" applyAlignment="1">
      <alignment horizontal="center"/>
    </xf>
    <xf numFmtId="2" fontId="5" fillId="5" borderId="16" xfId="0" applyNumberFormat="1" applyFont="1" applyFill="1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0" fontId="6" fillId="2" borderId="0" xfId="0" applyFont="1" applyFill="1"/>
    <xf numFmtId="0" fontId="18" fillId="2" borderId="0" xfId="1" applyFont="1" applyFill="1"/>
    <xf numFmtId="0" fontId="19" fillId="2" borderId="0" xfId="1" applyFont="1" applyFill="1" applyAlignment="1">
      <alignment wrapText="1"/>
    </xf>
    <xf numFmtId="0" fontId="20" fillId="2" borderId="0" xfId="1" applyFont="1" applyFill="1"/>
    <xf numFmtId="0" fontId="21" fillId="2" borderId="0" xfId="1" applyFont="1" applyFill="1"/>
    <xf numFmtId="171" fontId="21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171" fontId="21" fillId="2" borderId="0" xfId="1" applyNumberFormat="1" applyFont="1" applyFill="1"/>
    <xf numFmtId="0" fontId="20" fillId="2" borderId="0" xfId="1" applyFont="1" applyFill="1" applyAlignment="1">
      <alignment horizontal="left"/>
    </xf>
    <xf numFmtId="0" fontId="22" fillId="2" borderId="0" xfId="1" applyFont="1" applyFill="1"/>
    <xf numFmtId="172" fontId="18" fillId="2" borderId="0" xfId="1" applyNumberFormat="1" applyFont="1" applyFill="1"/>
    <xf numFmtId="172" fontId="2" fillId="2" borderId="9" xfId="1" applyNumberFormat="1" applyFont="1" applyFill="1" applyBorder="1" applyAlignment="1">
      <alignment horizontal="center" wrapText="1"/>
    </xf>
    <xf numFmtId="0" fontId="2" fillId="2" borderId="9" xfId="1" applyFont="1" applyFill="1" applyBorder="1" applyAlignment="1">
      <alignment horizontal="center" wrapText="1"/>
    </xf>
    <xf numFmtId="0" fontId="1" fillId="2" borderId="0" xfId="1" applyFont="1" applyFill="1" applyAlignment="1">
      <alignment horizontal="center"/>
    </xf>
    <xf numFmtId="2" fontId="21" fillId="3" borderId="31" xfId="1" applyNumberFormat="1" applyFont="1" applyFill="1" applyBorder="1" applyProtection="1">
      <protection locked="0"/>
    </xf>
    <xf numFmtId="10" fontId="21" fillId="2" borderId="13" xfId="1" applyNumberFormat="1" applyFont="1" applyFill="1" applyBorder="1" applyAlignment="1">
      <alignment horizontal="center"/>
    </xf>
    <xf numFmtId="10" fontId="21" fillId="2" borderId="0" xfId="1" applyNumberFormat="1" applyFont="1" applyFill="1" applyAlignment="1">
      <alignment horizontal="center"/>
    </xf>
    <xf numFmtId="10" fontId="21" fillId="2" borderId="31" xfId="1" applyNumberFormat="1" applyFont="1" applyFill="1" applyBorder="1" applyAlignment="1">
      <alignment horizontal="center"/>
    </xf>
    <xf numFmtId="2" fontId="21" fillId="3" borderId="20" xfId="1" applyNumberFormat="1" applyFont="1" applyFill="1" applyBorder="1" applyProtection="1">
      <protection locked="0"/>
    </xf>
    <xf numFmtId="10" fontId="21" fillId="2" borderId="20" xfId="1" applyNumberFormat="1" applyFont="1" applyFill="1" applyBorder="1" applyAlignment="1">
      <alignment horizontal="center"/>
    </xf>
    <xf numFmtId="168" fontId="1" fillId="2" borderId="0" xfId="1" applyNumberFormat="1" applyFont="1" applyFill="1" applyAlignment="1">
      <alignment horizontal="center"/>
    </xf>
    <xf numFmtId="10" fontId="1" fillId="2" borderId="0" xfId="1" applyNumberFormat="1" applyFont="1" applyFill="1" applyAlignment="1">
      <alignment horizontal="center"/>
    </xf>
    <xf numFmtId="0" fontId="21" fillId="2" borderId="9" xfId="1" applyFont="1" applyFill="1" applyBorder="1" applyAlignment="1">
      <alignment horizontal="right" vertical="center"/>
    </xf>
    <xf numFmtId="168" fontId="21" fillId="2" borderId="9" xfId="1" applyNumberFormat="1" applyFont="1" applyFill="1" applyBorder="1" applyAlignment="1">
      <alignment horizontal="center" vertical="center"/>
    </xf>
    <xf numFmtId="168" fontId="21" fillId="2" borderId="0" xfId="1" applyNumberFormat="1" applyFont="1" applyFill="1" applyAlignment="1">
      <alignment horizontal="center"/>
    </xf>
    <xf numFmtId="172" fontId="2" fillId="2" borderId="9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right"/>
    </xf>
    <xf numFmtId="2" fontId="2" fillId="2" borderId="0" xfId="1" applyNumberFormat="1" applyFont="1" applyFill="1"/>
    <xf numFmtId="2" fontId="23" fillId="2" borderId="0" xfId="1" applyNumberFormat="1" applyFont="1" applyFill="1"/>
    <xf numFmtId="0" fontId="2" fillId="2" borderId="9" xfId="1" applyFont="1" applyFill="1" applyBorder="1" applyAlignment="1">
      <alignment horizontal="center" vertical="center"/>
    </xf>
    <xf numFmtId="10" fontId="1" fillId="2" borderId="0" xfId="1" applyNumberFormat="1" applyFont="1" applyFill="1"/>
    <xf numFmtId="170" fontId="2" fillId="2" borderId="25" xfId="1" applyNumberFormat="1" applyFont="1" applyFill="1" applyBorder="1" applyAlignment="1">
      <alignment horizontal="center"/>
    </xf>
    <xf numFmtId="2" fontId="2" fillId="2" borderId="9" xfId="1" applyNumberFormat="1" applyFont="1" applyFill="1" applyBorder="1" applyAlignment="1">
      <alignment horizontal="center" vertical="center"/>
    </xf>
    <xf numFmtId="170" fontId="2" fillId="2" borderId="28" xfId="1" applyNumberFormat="1" applyFont="1" applyFill="1" applyBorder="1" applyAlignment="1">
      <alignment horizontal="center"/>
    </xf>
    <xf numFmtId="0" fontId="21" fillId="2" borderId="48" xfId="1" applyFont="1" applyFill="1" applyBorder="1"/>
    <xf numFmtId="0" fontId="21" fillId="2" borderId="0" xfId="1" applyFont="1" applyFill="1" applyAlignment="1">
      <alignment horizontal="center"/>
    </xf>
    <xf numFmtId="10" fontId="21" fillId="2" borderId="48" xfId="1" applyNumberFormat="1" applyFont="1" applyFill="1" applyBorder="1"/>
    <xf numFmtId="0" fontId="2" fillId="2" borderId="36" xfId="1" applyFont="1" applyFill="1" applyBorder="1"/>
    <xf numFmtId="0" fontId="2" fillId="2" borderId="36" xfId="1" applyFont="1" applyFill="1" applyBorder="1" applyAlignment="1">
      <alignment horizontal="center"/>
    </xf>
    <xf numFmtId="0" fontId="21" fillId="2" borderId="36" xfId="1" applyFont="1" applyFill="1" applyBorder="1" applyAlignment="1">
      <alignment horizontal="center"/>
    </xf>
    <xf numFmtId="0" fontId="21" fillId="2" borderId="38" xfId="1" applyFont="1" applyFill="1" applyBorder="1"/>
    <xf numFmtId="0" fontId="2" fillId="2" borderId="26" xfId="1" applyFont="1" applyFill="1" applyBorder="1"/>
    <xf numFmtId="0" fontId="2" fillId="2" borderId="0" xfId="1" applyFont="1" applyFill="1"/>
    <xf numFmtId="0" fontId="21" fillId="2" borderId="26" xfId="1" applyFont="1" applyFill="1" applyBorder="1"/>
    <xf numFmtId="0" fontId="17" fillId="2" borderId="0" xfId="1" applyFill="1"/>
    <xf numFmtId="0" fontId="25" fillId="2" borderId="0" xfId="2" applyFont="1" applyFill="1"/>
    <xf numFmtId="0" fontId="26" fillId="2" borderId="0" xfId="2" applyFont="1" applyFill="1"/>
    <xf numFmtId="0" fontId="26" fillId="2" borderId="0" xfId="2" applyFont="1" applyFill="1" applyAlignment="1">
      <alignment horizontal="right"/>
    </xf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72" fontId="29" fillId="2" borderId="0" xfId="2" applyNumberFormat="1" applyFont="1" applyFill="1" applyAlignment="1">
      <alignment horizontal="center"/>
    </xf>
    <xf numFmtId="22" fontId="30" fillId="2" borderId="0" xfId="2" applyNumberFormat="1" applyFont="1" applyFill="1"/>
    <xf numFmtId="0" fontId="29" fillId="2" borderId="1" xfId="2" applyFont="1" applyFill="1" applyBorder="1" applyAlignment="1">
      <alignment horizontal="center"/>
    </xf>
    <xf numFmtId="0" fontId="29" fillId="2" borderId="46" xfId="2" applyFont="1" applyFill="1" applyBorder="1" applyAlignment="1">
      <alignment horizontal="center"/>
    </xf>
    <xf numFmtId="0" fontId="30" fillId="2" borderId="54" xfId="2" applyFont="1" applyFill="1" applyBorder="1" applyAlignment="1">
      <alignment horizontal="center"/>
    </xf>
    <xf numFmtId="0" fontId="31" fillId="3" borderId="54" xfId="2" applyFont="1" applyFill="1" applyBorder="1" applyAlignment="1" applyProtection="1">
      <alignment horizontal="center"/>
      <protection locked="0"/>
    </xf>
    <xf numFmtId="2" fontId="31" fillId="3" borderId="54" xfId="2" applyNumberFormat="1" applyFont="1" applyFill="1" applyBorder="1" applyAlignment="1" applyProtection="1">
      <alignment horizontal="center"/>
      <protection locked="0"/>
    </xf>
    <xf numFmtId="2" fontId="31" fillId="3" borderId="55" xfId="2" applyNumberFormat="1" applyFont="1" applyFill="1" applyBorder="1" applyAlignment="1" applyProtection="1">
      <alignment horizontal="center"/>
      <protection locked="0"/>
    </xf>
    <xf numFmtId="0" fontId="31" fillId="3" borderId="56" xfId="2" applyFont="1" applyFill="1" applyBorder="1" applyAlignment="1" applyProtection="1">
      <alignment horizontal="center"/>
      <protection locked="0"/>
    </xf>
    <xf numFmtId="2" fontId="31" fillId="3" borderId="56" xfId="2" applyNumberFormat="1" applyFont="1" applyFill="1" applyBorder="1" applyAlignment="1" applyProtection="1">
      <alignment horizontal="center"/>
      <protection locked="0"/>
    </xf>
    <xf numFmtId="0" fontId="30" fillId="2" borderId="55" xfId="2" applyFont="1" applyFill="1" applyBorder="1"/>
    <xf numFmtId="1" fontId="29" fillId="6" borderId="46" xfId="2" applyNumberFormat="1" applyFont="1" applyFill="1" applyBorder="1" applyAlignment="1">
      <alignment horizontal="center"/>
    </xf>
    <xf numFmtId="1" fontId="29" fillId="6" borderId="1" xfId="2" applyNumberFormat="1" applyFont="1" applyFill="1" applyBorder="1" applyAlignment="1">
      <alignment horizontal="center"/>
    </xf>
    <xf numFmtId="2" fontId="29" fillId="6" borderId="1" xfId="2" applyNumberFormat="1" applyFont="1" applyFill="1" applyBorder="1" applyAlignment="1">
      <alignment horizontal="center"/>
    </xf>
    <xf numFmtId="0" fontId="30" fillId="2" borderId="54" xfId="2" applyFont="1" applyFill="1" applyBorder="1"/>
    <xf numFmtId="10" fontId="29" fillId="7" borderId="1" xfId="2" applyNumberFormat="1" applyFont="1" applyFill="1" applyBorder="1" applyAlignment="1">
      <alignment horizontal="center"/>
    </xf>
    <xf numFmtId="170" fontId="29" fillId="2" borderId="0" xfId="2" applyNumberFormat="1" applyFont="1" applyFill="1" applyAlignment="1">
      <alignment horizontal="center"/>
    </xf>
    <xf numFmtId="0" fontId="30" fillId="2" borderId="57" xfId="2" applyFont="1" applyFill="1" applyBorder="1"/>
    <xf numFmtId="0" fontId="30" fillId="2" borderId="56" xfId="2" applyFont="1" applyFill="1" applyBorder="1"/>
    <xf numFmtId="0" fontId="29" fillId="6" borderId="1" xfId="2" applyFont="1" applyFill="1" applyBorder="1" applyAlignment="1">
      <alignment horizontal="center"/>
    </xf>
    <xf numFmtId="0" fontId="29" fillId="2" borderId="38" xfId="2" applyFont="1" applyFill="1" applyBorder="1" applyAlignment="1">
      <alignment horizontal="center"/>
    </xf>
    <xf numFmtId="0" fontId="30" fillId="2" borderId="38" xfId="2" applyFont="1" applyFill="1" applyBorder="1"/>
    <xf numFmtId="0" fontId="30" fillId="2" borderId="5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48" xfId="2" applyFont="1" applyFill="1" applyBorder="1"/>
    <xf numFmtId="0" fontId="26" fillId="2" borderId="0" xfId="2" applyFont="1" applyFill="1" applyAlignment="1">
      <alignment horizontal="center"/>
    </xf>
    <xf numFmtId="10" fontId="26" fillId="2" borderId="48" xfId="2" applyNumberFormat="1" applyFont="1" applyFill="1" applyBorder="1"/>
    <xf numFmtId="0" fontId="24" fillId="2" borderId="0" xfId="2" applyFill="1"/>
    <xf numFmtId="0" fontId="25" fillId="2" borderId="36" xfId="2" applyFont="1" applyFill="1" applyBorder="1" applyAlignment="1">
      <alignment horizontal="center"/>
    </xf>
    <xf numFmtId="0" fontId="26" fillId="2" borderId="36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38" xfId="2" applyFont="1" applyFill="1" applyBorder="1"/>
    <xf numFmtId="0" fontId="25" fillId="2" borderId="26" xfId="2" applyFont="1" applyFill="1" applyBorder="1"/>
    <xf numFmtId="0" fontId="26" fillId="2" borderId="26" xfId="2" applyFont="1" applyFill="1" applyBorder="1"/>
    <xf numFmtId="0" fontId="27" fillId="2" borderId="0" xfId="2" applyFont="1" applyFill="1" applyAlignment="1">
      <alignment horizontal="center"/>
    </xf>
    <xf numFmtId="0" fontId="25" fillId="2" borderId="36" xfId="2" applyFont="1" applyFill="1" applyBorder="1" applyAlignment="1">
      <alignment horizontal="center"/>
    </xf>
    <xf numFmtId="168" fontId="2" fillId="2" borderId="13" xfId="1" applyNumberFormat="1" applyFont="1" applyFill="1" applyBorder="1" applyAlignment="1">
      <alignment horizontal="center" vertical="center"/>
    </xf>
    <xf numFmtId="168" fontId="2" fillId="2" borderId="20" xfId="1" applyNumberFormat="1" applyFont="1" applyFill="1" applyBorder="1" applyAlignment="1">
      <alignment horizontal="center" vertical="center"/>
    </xf>
    <xf numFmtId="0" fontId="19" fillId="2" borderId="50" xfId="1" applyFont="1" applyFill="1" applyBorder="1" applyAlignment="1">
      <alignment horizontal="center" wrapText="1"/>
    </xf>
    <xf numFmtId="0" fontId="19" fillId="2" borderId="51" xfId="1" applyFont="1" applyFill="1" applyBorder="1" applyAlignment="1">
      <alignment horizontal="center" wrapText="1"/>
    </xf>
    <xf numFmtId="0" fontId="19" fillId="2" borderId="52" xfId="1" applyFont="1" applyFill="1" applyBorder="1" applyAlignment="1">
      <alignment horizontal="center" wrapText="1"/>
    </xf>
    <xf numFmtId="0" fontId="20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172" fontId="18" fillId="2" borderId="0" xfId="1" applyNumberFormat="1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30" xfId="0" applyFont="1" applyFill="1" applyBorder="1" applyAlignment="1">
      <alignment horizontal="left" vertical="center" wrapText="1"/>
    </xf>
    <xf numFmtId="0" fontId="12" fillId="2" borderId="32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justify" vertical="center" wrapText="1"/>
    </xf>
    <xf numFmtId="0" fontId="12" fillId="2" borderId="51" xfId="0" applyFont="1" applyFill="1" applyBorder="1" applyAlignment="1">
      <alignment horizontal="justify" vertical="center" wrapText="1"/>
    </xf>
    <xf numFmtId="0" fontId="12" fillId="2" borderId="52" xfId="0" applyFont="1" applyFill="1" applyBorder="1" applyAlignment="1">
      <alignment horizontal="justify" vertical="center" wrapText="1"/>
    </xf>
    <xf numFmtId="0" fontId="12" fillId="2" borderId="50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left" vertical="center" wrapText="1"/>
    </xf>
    <xf numFmtId="0" fontId="4" fillId="2" borderId="35" xfId="0" applyFont="1" applyFill="1" applyBorder="1" applyAlignment="1">
      <alignment horizontal="center"/>
    </xf>
    <xf numFmtId="0" fontId="4" fillId="2" borderId="53" xfId="0" applyFont="1" applyFill="1" applyBorder="1" applyAlignment="1">
      <alignment horizontal="center"/>
    </xf>
    <xf numFmtId="10" fontId="8" fillId="2" borderId="31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left" vertical="center" wrapText="1"/>
    </xf>
    <xf numFmtId="0" fontId="4" fillId="2" borderId="3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 applyProtection="1">
      <alignment horizontal="center" vertical="center"/>
      <protection locked="0"/>
    </xf>
    <xf numFmtId="2" fontId="5" fillId="3" borderId="31" xfId="0" applyNumberFormat="1" applyFont="1" applyFill="1" applyBorder="1" applyAlignment="1" applyProtection="1">
      <alignment horizontal="center" vertical="center"/>
      <protection locked="0"/>
    </xf>
    <xf numFmtId="2" fontId="5" fillId="3" borderId="20" xfId="0" applyNumberFormat="1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5" fillId="3" borderId="0" xfId="0" applyFont="1" applyFill="1" applyAlignment="1" applyProtection="1">
      <alignment horizontal="left"/>
      <protection locked="0"/>
    </xf>
    <xf numFmtId="0" fontId="4" fillId="2" borderId="48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/>
      <protection locked="0"/>
    </xf>
    <xf numFmtId="0" fontId="4" fillId="2" borderId="24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 wrapText="1"/>
      <protection locked="0"/>
    </xf>
    <xf numFmtId="0" fontId="12" fillId="2" borderId="5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 vertical="center"/>
    </xf>
    <xf numFmtId="0" fontId="5" fillId="3" borderId="0" xfId="0" applyFont="1" applyFill="1" applyAlignment="1" applyProtection="1">
      <alignment horizontal="left" wrapText="1"/>
      <protection locked="0"/>
    </xf>
    <xf numFmtId="167" fontId="5" fillId="3" borderId="14" xfId="0" applyNumberFormat="1" applyFont="1" applyFill="1" applyBorder="1" applyAlignment="1" applyProtection="1">
      <alignment horizontal="center"/>
      <protection locked="0"/>
    </xf>
    <xf numFmtId="167" fontId="5" fillId="3" borderId="18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2"/>
    <cellStyle name="Normal 3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E29" sqref="E29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266"/>
  </cols>
  <sheetData>
    <row r="14" spans="1:6" ht="15" customHeight="1" x14ac:dyDescent="0.3">
      <c r="A14" s="228"/>
      <c r="C14" s="230"/>
      <c r="F14" s="230"/>
    </row>
    <row r="15" spans="1:6" ht="18.75" customHeight="1" x14ac:dyDescent="0.3">
      <c r="A15" s="273" t="s">
        <v>112</v>
      </c>
      <c r="B15" s="273"/>
      <c r="C15" s="273"/>
      <c r="D15" s="273"/>
      <c r="E15" s="273"/>
    </row>
    <row r="16" spans="1:6" ht="16.5" customHeight="1" x14ac:dyDescent="0.3">
      <c r="A16" s="231" t="s">
        <v>14</v>
      </c>
      <c r="B16" s="232" t="s">
        <v>113</v>
      </c>
    </row>
    <row r="17" spans="1:5" ht="16.5" customHeight="1" x14ac:dyDescent="0.3">
      <c r="A17" s="233" t="s">
        <v>114</v>
      </c>
      <c r="B17" s="233" t="s">
        <v>129</v>
      </c>
      <c r="D17" s="234"/>
      <c r="E17" s="235"/>
    </row>
    <row r="18" spans="1:5" ht="16.5" customHeight="1" x14ac:dyDescent="0.3">
      <c r="A18" s="236" t="s">
        <v>15</v>
      </c>
      <c r="B18" s="237" t="str">
        <f>'Sofosbuvir '!B26:C26</f>
        <v>Sofosbuvir</v>
      </c>
      <c r="C18" s="235"/>
      <c r="D18" s="235"/>
      <c r="E18" s="235"/>
    </row>
    <row r="19" spans="1:5" ht="16.5" customHeight="1" x14ac:dyDescent="0.3">
      <c r="A19" s="236" t="s">
        <v>17</v>
      </c>
      <c r="B19" s="228">
        <f>'Sofosbuvir '!B28</f>
        <v>99.5</v>
      </c>
      <c r="C19" s="235"/>
      <c r="D19" s="235"/>
      <c r="E19" s="235"/>
    </row>
    <row r="20" spans="1:5" ht="16.5" customHeight="1" x14ac:dyDescent="0.3">
      <c r="A20" s="233" t="s">
        <v>115</v>
      </c>
      <c r="B20" s="237">
        <f>'Sofosbuvir '!D43</f>
        <v>19.09</v>
      </c>
      <c r="C20" s="235"/>
      <c r="D20" s="235"/>
      <c r="E20" s="235"/>
    </row>
    <row r="21" spans="1:5" ht="16.5" customHeight="1" x14ac:dyDescent="0.3">
      <c r="A21" s="233" t="s">
        <v>116</v>
      </c>
      <c r="B21" s="238">
        <f>'Sofosbuvir '!D46</f>
        <v>9.4972749999999995E-2</v>
      </c>
      <c r="C21" s="235"/>
      <c r="D21" s="235"/>
      <c r="E21" s="235"/>
    </row>
    <row r="22" spans="1:5" ht="15.75" customHeight="1" x14ac:dyDescent="0.25">
      <c r="A22" s="235"/>
      <c r="B22" s="239">
        <v>42592.632835648146</v>
      </c>
      <c r="C22" s="235"/>
      <c r="D22" s="235"/>
      <c r="E22" s="235"/>
    </row>
    <row r="23" spans="1:5" ht="16.5" customHeight="1" x14ac:dyDescent="0.3">
      <c r="A23" s="240" t="s">
        <v>117</v>
      </c>
      <c r="B23" s="241" t="s">
        <v>118</v>
      </c>
      <c r="C23" s="240" t="s">
        <v>119</v>
      </c>
      <c r="D23" s="240" t="s">
        <v>120</v>
      </c>
      <c r="E23" s="240" t="s">
        <v>121</v>
      </c>
    </row>
    <row r="24" spans="1:5" ht="16.5" customHeight="1" x14ac:dyDescent="0.3">
      <c r="A24" s="242">
        <v>1</v>
      </c>
      <c r="B24" s="243">
        <v>17643321</v>
      </c>
      <c r="C24" s="243">
        <v>4866.6400000000003</v>
      </c>
      <c r="D24" s="244">
        <v>1.05</v>
      </c>
      <c r="E24" s="245">
        <v>5.39</v>
      </c>
    </row>
    <row r="25" spans="1:5" ht="16.5" customHeight="1" x14ac:dyDescent="0.3">
      <c r="A25" s="242">
        <v>2</v>
      </c>
      <c r="B25" s="243">
        <v>17643549</v>
      </c>
      <c r="C25" s="243">
        <v>4858.6000000000004</v>
      </c>
      <c r="D25" s="244">
        <v>1.04</v>
      </c>
      <c r="E25" s="244">
        <v>5.39</v>
      </c>
    </row>
    <row r="26" spans="1:5" ht="16.5" customHeight="1" x14ac:dyDescent="0.3">
      <c r="A26" s="242">
        <v>3</v>
      </c>
      <c r="B26" s="243">
        <v>17658475</v>
      </c>
      <c r="C26" s="243">
        <v>4858.8</v>
      </c>
      <c r="D26" s="244">
        <v>1.04</v>
      </c>
      <c r="E26" s="244">
        <v>5.39</v>
      </c>
    </row>
    <row r="27" spans="1:5" ht="16.5" customHeight="1" x14ac:dyDescent="0.3">
      <c r="A27" s="242">
        <v>4</v>
      </c>
      <c r="B27" s="243">
        <v>17658626</v>
      </c>
      <c r="C27" s="243">
        <v>4862.4799999999996</v>
      </c>
      <c r="D27" s="244">
        <v>1.04</v>
      </c>
      <c r="E27" s="244">
        <v>5.39</v>
      </c>
    </row>
    <row r="28" spans="1:5" ht="16.5" customHeight="1" x14ac:dyDescent="0.3">
      <c r="A28" s="242">
        <v>5</v>
      </c>
      <c r="B28" s="243">
        <v>17670135</v>
      </c>
      <c r="C28" s="243">
        <v>4877.1499999999996</v>
      </c>
      <c r="D28" s="244">
        <v>1.05</v>
      </c>
      <c r="E28" s="244">
        <v>5.39</v>
      </c>
    </row>
    <row r="29" spans="1:5" ht="16.5" customHeight="1" x14ac:dyDescent="0.3">
      <c r="A29" s="242">
        <v>6</v>
      </c>
      <c r="B29" s="246">
        <v>17667775</v>
      </c>
      <c r="C29" s="246">
        <v>4865.4399999999996</v>
      </c>
      <c r="D29" s="247">
        <v>1.04</v>
      </c>
      <c r="E29" s="247">
        <v>5.39</v>
      </c>
    </row>
    <row r="30" spans="1:5" ht="16.5" customHeight="1" x14ac:dyDescent="0.3">
      <c r="A30" s="248" t="s">
        <v>122</v>
      </c>
      <c r="B30" s="249">
        <f>AVERAGE(B24:B29)</f>
        <v>17656980.166666668</v>
      </c>
      <c r="C30" s="250">
        <f>AVERAGE(C24:C29)</f>
        <v>4864.8516666666665</v>
      </c>
      <c r="D30" s="251">
        <f>AVERAGE(D24:D29)</f>
        <v>1.0433333333333332</v>
      </c>
      <c r="E30" s="251">
        <f>AVERAGE(E24:E29)</f>
        <v>5.39</v>
      </c>
    </row>
    <row r="31" spans="1:5" ht="16.5" customHeight="1" x14ac:dyDescent="0.3">
      <c r="A31" s="252" t="s">
        <v>123</v>
      </c>
      <c r="B31" s="253">
        <f>(STDEV(B24:B29)/B30)</f>
        <v>6.5141889619324826E-4</v>
      </c>
      <c r="C31" s="254"/>
      <c r="D31" s="254"/>
      <c r="E31" s="255"/>
    </row>
    <row r="32" spans="1:5" s="229" customFormat="1" ht="16.5" customHeight="1" x14ac:dyDescent="0.3">
      <c r="A32" s="256" t="s">
        <v>54</v>
      </c>
      <c r="B32" s="257">
        <f>COUNT(B24:B29)</f>
        <v>6</v>
      </c>
      <c r="C32" s="258"/>
      <c r="D32" s="259"/>
      <c r="E32" s="260"/>
    </row>
    <row r="33" spans="1:5" s="229" customFormat="1" ht="15.75" customHeight="1" x14ac:dyDescent="0.25">
      <c r="A33" s="235"/>
      <c r="B33" s="235"/>
      <c r="C33" s="235"/>
      <c r="D33" s="235"/>
      <c r="E33" s="235"/>
    </row>
    <row r="34" spans="1:5" s="229" customFormat="1" ht="16.5" customHeight="1" x14ac:dyDescent="0.3">
      <c r="A34" s="236" t="s">
        <v>124</v>
      </c>
      <c r="B34" s="261" t="s">
        <v>125</v>
      </c>
      <c r="C34" s="262"/>
      <c r="D34" s="262"/>
      <c r="E34" s="262"/>
    </row>
    <row r="35" spans="1:5" ht="16.5" customHeight="1" x14ac:dyDescent="0.3">
      <c r="A35" s="236"/>
      <c r="B35" s="261" t="s">
        <v>126</v>
      </c>
      <c r="C35" s="262"/>
      <c r="D35" s="262"/>
      <c r="E35" s="262"/>
    </row>
    <row r="36" spans="1:5" ht="16.5" customHeight="1" x14ac:dyDescent="0.3">
      <c r="A36" s="236"/>
      <c r="B36" s="261" t="s">
        <v>127</v>
      </c>
      <c r="C36" s="262"/>
      <c r="D36" s="262"/>
      <c r="E36" s="262"/>
    </row>
    <row r="37" spans="1:5" ht="15.75" customHeight="1" x14ac:dyDescent="0.25">
      <c r="A37" s="235"/>
      <c r="B37" s="235"/>
      <c r="C37" s="235"/>
      <c r="D37" s="235"/>
      <c r="E37" s="235"/>
    </row>
    <row r="38" spans="1:5" ht="16.5" customHeight="1" x14ac:dyDescent="0.3">
      <c r="A38" s="231" t="s">
        <v>14</v>
      </c>
      <c r="B38" s="232" t="s">
        <v>128</v>
      </c>
    </row>
    <row r="39" spans="1:5" ht="16.5" customHeight="1" x14ac:dyDescent="0.3">
      <c r="A39" s="236" t="s">
        <v>15</v>
      </c>
      <c r="B39" s="233"/>
      <c r="C39" s="235"/>
      <c r="D39" s="235"/>
      <c r="E39" s="235"/>
    </row>
    <row r="40" spans="1:5" ht="16.5" customHeight="1" x14ac:dyDescent="0.3">
      <c r="A40" s="236" t="s">
        <v>17</v>
      </c>
      <c r="B40" s="237"/>
      <c r="C40" s="235"/>
      <c r="D40" s="235"/>
      <c r="E40" s="235"/>
    </row>
    <row r="41" spans="1:5" ht="16.5" customHeight="1" x14ac:dyDescent="0.3">
      <c r="A41" s="233" t="s">
        <v>115</v>
      </c>
      <c r="B41" s="237"/>
      <c r="C41" s="235"/>
      <c r="D41" s="235"/>
      <c r="E41" s="235"/>
    </row>
    <row r="42" spans="1:5" ht="16.5" customHeight="1" x14ac:dyDescent="0.3">
      <c r="A42" s="233" t="s">
        <v>116</v>
      </c>
      <c r="B42" s="238"/>
      <c r="C42" s="235"/>
      <c r="D42" s="235"/>
      <c r="E42" s="235"/>
    </row>
    <row r="43" spans="1:5" ht="15.75" customHeight="1" x14ac:dyDescent="0.25">
      <c r="A43" s="235"/>
      <c r="B43" s="235"/>
      <c r="C43" s="235"/>
      <c r="D43" s="235"/>
      <c r="E43" s="235"/>
    </row>
    <row r="44" spans="1:5" ht="16.5" customHeight="1" x14ac:dyDescent="0.3">
      <c r="A44" s="240" t="s">
        <v>117</v>
      </c>
      <c r="B44" s="241" t="s">
        <v>118</v>
      </c>
      <c r="C44" s="240" t="s">
        <v>119</v>
      </c>
      <c r="D44" s="240" t="s">
        <v>120</v>
      </c>
      <c r="E44" s="240" t="s">
        <v>121</v>
      </c>
    </row>
    <row r="45" spans="1:5" ht="16.5" customHeight="1" x14ac:dyDescent="0.3">
      <c r="A45" s="242">
        <v>1</v>
      </c>
      <c r="B45" s="243"/>
      <c r="C45" s="243"/>
      <c r="D45" s="244"/>
      <c r="E45" s="245"/>
    </row>
    <row r="46" spans="1:5" ht="16.5" customHeight="1" x14ac:dyDescent="0.3">
      <c r="A46" s="242">
        <v>2</v>
      </c>
      <c r="B46" s="243"/>
      <c r="C46" s="243"/>
      <c r="D46" s="244"/>
      <c r="E46" s="244"/>
    </row>
    <row r="47" spans="1:5" ht="16.5" customHeight="1" x14ac:dyDescent="0.3">
      <c r="A47" s="242">
        <v>3</v>
      </c>
      <c r="B47" s="243"/>
      <c r="C47" s="243"/>
      <c r="D47" s="244"/>
      <c r="E47" s="244"/>
    </row>
    <row r="48" spans="1:5" ht="16.5" customHeight="1" x14ac:dyDescent="0.3">
      <c r="A48" s="242">
        <v>4</v>
      </c>
      <c r="B48" s="243"/>
      <c r="C48" s="243"/>
      <c r="D48" s="244"/>
      <c r="E48" s="244"/>
    </row>
    <row r="49" spans="1:7" ht="16.5" customHeight="1" x14ac:dyDescent="0.3">
      <c r="A49" s="242">
        <v>5</v>
      </c>
      <c r="B49" s="243"/>
      <c r="C49" s="243"/>
      <c r="D49" s="244"/>
      <c r="E49" s="244"/>
    </row>
    <row r="50" spans="1:7" ht="16.5" customHeight="1" x14ac:dyDescent="0.3">
      <c r="A50" s="242">
        <v>6</v>
      </c>
      <c r="B50" s="246"/>
      <c r="C50" s="246"/>
      <c r="D50" s="247"/>
      <c r="E50" s="247"/>
    </row>
    <row r="51" spans="1:7" ht="16.5" customHeight="1" x14ac:dyDescent="0.3">
      <c r="A51" s="248" t="s">
        <v>122</v>
      </c>
      <c r="B51" s="249" t="e">
        <f>AVERAGE(B45:B50)</f>
        <v>#DIV/0!</v>
      </c>
      <c r="C51" s="250" t="e">
        <f>AVERAGE(C45:C50)</f>
        <v>#DIV/0!</v>
      </c>
      <c r="D51" s="251" t="e">
        <f>AVERAGE(D45:D50)</f>
        <v>#DIV/0!</v>
      </c>
      <c r="E51" s="251" t="e">
        <f>AVERAGE(E45:E50)</f>
        <v>#DIV/0!</v>
      </c>
    </row>
    <row r="52" spans="1:7" ht="16.5" customHeight="1" x14ac:dyDescent="0.3">
      <c r="A52" s="252" t="s">
        <v>123</v>
      </c>
      <c r="B52" s="253" t="e">
        <f>(STDEV(B45:B50)/B51)</f>
        <v>#DIV/0!</v>
      </c>
      <c r="C52" s="254"/>
      <c r="D52" s="254"/>
      <c r="E52" s="255"/>
    </row>
    <row r="53" spans="1:7" s="229" customFormat="1" ht="16.5" customHeight="1" x14ac:dyDescent="0.3">
      <c r="A53" s="256" t="s">
        <v>54</v>
      </c>
      <c r="B53" s="257">
        <f>COUNT(B45:B50)</f>
        <v>0</v>
      </c>
      <c r="C53" s="258"/>
      <c r="D53" s="259"/>
      <c r="E53" s="260"/>
    </row>
    <row r="54" spans="1:7" s="229" customFormat="1" ht="15.75" customHeight="1" x14ac:dyDescent="0.25">
      <c r="A54" s="235"/>
      <c r="B54" s="235"/>
      <c r="C54" s="235"/>
      <c r="D54" s="235"/>
      <c r="E54" s="235"/>
    </row>
    <row r="55" spans="1:7" s="229" customFormat="1" ht="16.5" customHeight="1" x14ac:dyDescent="0.3">
      <c r="A55" s="236" t="s">
        <v>124</v>
      </c>
      <c r="B55" s="261" t="s">
        <v>125</v>
      </c>
      <c r="C55" s="262"/>
      <c r="D55" s="262"/>
      <c r="E55" s="262"/>
    </row>
    <row r="56" spans="1:7" ht="16.5" customHeight="1" x14ac:dyDescent="0.3">
      <c r="A56" s="236"/>
      <c r="B56" s="261" t="s">
        <v>126</v>
      </c>
      <c r="C56" s="262"/>
      <c r="D56" s="262"/>
      <c r="E56" s="262"/>
    </row>
    <row r="57" spans="1:7" ht="16.5" customHeight="1" x14ac:dyDescent="0.3">
      <c r="A57" s="236"/>
      <c r="B57" s="261" t="s">
        <v>127</v>
      </c>
      <c r="C57" s="262"/>
      <c r="D57" s="262"/>
      <c r="E57" s="262"/>
    </row>
    <row r="58" spans="1:7" ht="14.25" customHeight="1" thickBot="1" x14ac:dyDescent="0.3">
      <c r="A58" s="263"/>
      <c r="B58" s="264"/>
      <c r="D58" s="265"/>
      <c r="F58" s="266"/>
      <c r="G58" s="266"/>
    </row>
    <row r="59" spans="1:7" ht="15" customHeight="1" x14ac:dyDescent="0.3">
      <c r="B59" s="274" t="s">
        <v>95</v>
      </c>
      <c r="C59" s="274"/>
      <c r="E59" s="267" t="s">
        <v>96</v>
      </c>
      <c r="F59" s="268"/>
      <c r="G59" s="267" t="s">
        <v>97</v>
      </c>
    </row>
    <row r="60" spans="1:7" ht="15" customHeight="1" x14ac:dyDescent="0.3">
      <c r="A60" s="269" t="s">
        <v>98</v>
      </c>
      <c r="B60" s="270"/>
      <c r="C60" s="270"/>
      <c r="E60" s="270"/>
      <c r="G60" s="270"/>
    </row>
    <row r="61" spans="1:7" ht="15" customHeight="1" x14ac:dyDescent="0.3">
      <c r="A61" s="269" t="s">
        <v>99</v>
      </c>
      <c r="B61" s="271"/>
      <c r="C61" s="271"/>
      <c r="E61" s="271"/>
      <c r="G61" s="27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C43" sqref="C43"/>
    </sheetView>
  </sheetViews>
  <sheetFormatPr defaultRowHeight="15" x14ac:dyDescent="0.3"/>
  <cols>
    <col min="1" max="1" width="15.5703125" style="184" customWidth="1"/>
    <col min="2" max="2" width="18.42578125" style="184" customWidth="1"/>
    <col min="3" max="3" width="14.28515625" style="184" customWidth="1"/>
    <col min="4" max="4" width="15" style="184" customWidth="1"/>
    <col min="5" max="5" width="9.140625" style="184" customWidth="1"/>
    <col min="6" max="6" width="27.85546875" style="184" customWidth="1"/>
    <col min="7" max="7" width="12.28515625" style="184" customWidth="1"/>
    <col min="8" max="8" width="9.140625" style="184" customWidth="1"/>
    <col min="9" max="16384" width="9.140625" style="227"/>
  </cols>
  <sheetData>
    <row r="10" spans="1:7" ht="13.5" customHeight="1" thickBot="1" x14ac:dyDescent="0.35"/>
    <row r="11" spans="1:7" ht="13.5" customHeight="1" thickBot="1" x14ac:dyDescent="0.35">
      <c r="A11" s="277" t="s">
        <v>2</v>
      </c>
      <c r="B11" s="278"/>
      <c r="C11" s="278"/>
      <c r="D11" s="278"/>
      <c r="E11" s="278"/>
      <c r="F11" s="279"/>
      <c r="G11" s="185"/>
    </row>
    <row r="12" spans="1:7" ht="16.5" customHeight="1" x14ac:dyDescent="0.3">
      <c r="A12" s="280" t="s">
        <v>100</v>
      </c>
      <c r="B12" s="280"/>
      <c r="C12" s="280"/>
      <c r="D12" s="280"/>
      <c r="E12" s="280"/>
      <c r="F12" s="280"/>
      <c r="G12" s="186"/>
    </row>
    <row r="14" spans="1:7" ht="16.5" customHeight="1" x14ac:dyDescent="0.3">
      <c r="A14" s="281" t="s">
        <v>4</v>
      </c>
      <c r="B14" s="281"/>
      <c r="C14" s="187" t="s">
        <v>101</v>
      </c>
    </row>
    <row r="15" spans="1:7" ht="16.5" customHeight="1" x14ac:dyDescent="0.3">
      <c r="A15" s="281" t="s">
        <v>6</v>
      </c>
      <c r="B15" s="281"/>
      <c r="C15" s="187" t="s">
        <v>102</v>
      </c>
    </row>
    <row r="16" spans="1:7" ht="16.5" customHeight="1" x14ac:dyDescent="0.3">
      <c r="A16" s="281" t="s">
        <v>8</v>
      </c>
      <c r="B16" s="281"/>
      <c r="C16" s="187" t="s">
        <v>103</v>
      </c>
    </row>
    <row r="17" spans="1:5" ht="16.5" customHeight="1" x14ac:dyDescent="0.3">
      <c r="A17" s="281" t="s">
        <v>10</v>
      </c>
      <c r="B17" s="281"/>
      <c r="C17" s="187" t="s">
        <v>104</v>
      </c>
    </row>
    <row r="18" spans="1:5" ht="16.5" customHeight="1" x14ac:dyDescent="0.3">
      <c r="A18" s="281" t="s">
        <v>12</v>
      </c>
      <c r="B18" s="281"/>
      <c r="C18" s="188" t="s">
        <v>105</v>
      </c>
    </row>
    <row r="19" spans="1:5" ht="16.5" customHeight="1" x14ac:dyDescent="0.3">
      <c r="A19" s="281" t="s">
        <v>13</v>
      </c>
      <c r="B19" s="281"/>
      <c r="C19" s="188" t="e">
        <f>#REF!</f>
        <v>#REF!</v>
      </c>
    </row>
    <row r="20" spans="1:5" ht="16.5" customHeight="1" x14ac:dyDescent="0.3">
      <c r="A20" s="189"/>
      <c r="B20" s="189"/>
      <c r="C20" s="190"/>
    </row>
    <row r="21" spans="1:5" ht="16.5" customHeight="1" x14ac:dyDescent="0.3">
      <c r="A21" s="280" t="s">
        <v>14</v>
      </c>
      <c r="B21" s="280"/>
      <c r="C21" s="191" t="s">
        <v>106</v>
      </c>
      <c r="D21" s="192"/>
    </row>
    <row r="22" spans="1:5" ht="15.75" customHeight="1" thickBot="1" x14ac:dyDescent="0.35">
      <c r="A22" s="282"/>
      <c r="B22" s="282"/>
      <c r="C22" s="193"/>
      <c r="D22" s="282"/>
      <c r="E22" s="282"/>
    </row>
    <row r="23" spans="1:5" ht="33.75" customHeight="1" thickBot="1" x14ac:dyDescent="0.35">
      <c r="C23" s="194" t="s">
        <v>107</v>
      </c>
      <c r="D23" s="195" t="s">
        <v>108</v>
      </c>
      <c r="E23" s="196"/>
    </row>
    <row r="24" spans="1:5" ht="15.75" customHeight="1" x14ac:dyDescent="0.3">
      <c r="C24" s="197">
        <v>1206.81</v>
      </c>
      <c r="D24" s="198">
        <f t="shared" ref="D24:D43" si="0">(C24-$C$46)/$C$46</f>
        <v>-2.6445012911516921E-2</v>
      </c>
      <c r="E24" s="199"/>
    </row>
    <row r="25" spans="1:5" ht="15.75" customHeight="1" x14ac:dyDescent="0.3">
      <c r="C25" s="197">
        <v>1263.6199999999999</v>
      </c>
      <c r="D25" s="200">
        <f t="shared" si="0"/>
        <v>1.9384619604369317E-2</v>
      </c>
      <c r="E25" s="199"/>
    </row>
    <row r="26" spans="1:5" ht="15.75" customHeight="1" x14ac:dyDescent="0.3">
      <c r="C26" s="197">
        <v>1276.3</v>
      </c>
      <c r="D26" s="200">
        <f t="shared" si="0"/>
        <v>2.9613800035656786E-2</v>
      </c>
      <c r="E26" s="199"/>
    </row>
    <row r="27" spans="1:5" ht="15.75" customHeight="1" x14ac:dyDescent="0.3">
      <c r="C27" s="197">
        <v>1254.58</v>
      </c>
      <c r="D27" s="200">
        <f t="shared" si="0"/>
        <v>1.2091891599729107E-2</v>
      </c>
      <c r="E27" s="199"/>
    </row>
    <row r="28" spans="1:5" ht="15.75" customHeight="1" x14ac:dyDescent="0.3">
      <c r="C28" s="197">
        <v>1224.2</v>
      </c>
      <c r="D28" s="200">
        <f t="shared" si="0"/>
        <v>-1.2416192114979921E-2</v>
      </c>
      <c r="E28" s="199"/>
    </row>
    <row r="29" spans="1:5" ht="15.75" customHeight="1" x14ac:dyDescent="0.3">
      <c r="C29" s="197">
        <v>1227.05</v>
      </c>
      <c r="D29" s="200">
        <f t="shared" si="0"/>
        <v>-1.0117046671039211E-2</v>
      </c>
      <c r="E29" s="199"/>
    </row>
    <row r="30" spans="1:5" ht="15.75" customHeight="1" x14ac:dyDescent="0.3">
      <c r="C30" s="197">
        <v>1245.07</v>
      </c>
      <c r="D30" s="200">
        <f t="shared" si="0"/>
        <v>4.4200062762635526E-3</v>
      </c>
      <c r="E30" s="199"/>
    </row>
    <row r="31" spans="1:5" ht="15.75" customHeight="1" x14ac:dyDescent="0.3">
      <c r="C31" s="197">
        <v>1229.8699999999999</v>
      </c>
      <c r="D31" s="200">
        <f t="shared" si="0"/>
        <v>-7.8421027580873291E-3</v>
      </c>
      <c r="E31" s="199"/>
    </row>
    <row r="32" spans="1:5" ht="15.75" customHeight="1" x14ac:dyDescent="0.3">
      <c r="C32" s="197">
        <v>1241.95</v>
      </c>
      <c r="D32" s="200">
        <f t="shared" si="0"/>
        <v>1.9030470534232044E-3</v>
      </c>
      <c r="E32" s="199"/>
    </row>
    <row r="33" spans="1:7" ht="15.75" customHeight="1" x14ac:dyDescent="0.3">
      <c r="C33" s="197">
        <v>1242.6600000000001</v>
      </c>
      <c r="D33" s="200">
        <f t="shared" si="0"/>
        <v>2.4758166201593588E-3</v>
      </c>
      <c r="E33" s="199"/>
    </row>
    <row r="34" spans="1:7" ht="15.75" customHeight="1" x14ac:dyDescent="0.3">
      <c r="C34" s="197">
        <v>1240.5999999999999</v>
      </c>
      <c r="D34" s="200">
        <f t="shared" si="0"/>
        <v>8.1397815892482852E-4</v>
      </c>
      <c r="E34" s="199"/>
    </row>
    <row r="35" spans="1:7" ht="15.75" customHeight="1" x14ac:dyDescent="0.3">
      <c r="C35" s="197">
        <v>1242.1199999999999</v>
      </c>
      <c r="D35" s="200">
        <f t="shared" si="0"/>
        <v>2.0401890623598985E-3</v>
      </c>
      <c r="E35" s="199"/>
    </row>
    <row r="36" spans="1:7" ht="15.75" customHeight="1" x14ac:dyDescent="0.3">
      <c r="C36" s="197">
        <v>1238.29</v>
      </c>
      <c r="D36" s="200">
        <f t="shared" si="0"/>
        <v>-1.0495397272166046E-3</v>
      </c>
      <c r="E36" s="199"/>
    </row>
    <row r="37" spans="1:7" ht="15.75" customHeight="1" x14ac:dyDescent="0.3">
      <c r="C37" s="197">
        <v>1247.74</v>
      </c>
      <c r="D37" s="200">
        <f t="shared" si="0"/>
        <v>6.5739425342712932E-3</v>
      </c>
      <c r="E37" s="199"/>
    </row>
    <row r="38" spans="1:7" ht="15.75" customHeight="1" x14ac:dyDescent="0.3">
      <c r="C38" s="197">
        <v>1223.29</v>
      </c>
      <c r="D38" s="200">
        <f t="shared" si="0"/>
        <v>-1.3150305221641781E-2</v>
      </c>
      <c r="E38" s="199"/>
    </row>
    <row r="39" spans="1:7" ht="15.75" customHeight="1" x14ac:dyDescent="0.3">
      <c r="C39" s="197">
        <v>1237.69</v>
      </c>
      <c r="D39" s="200">
        <f t="shared" si="0"/>
        <v>-1.5335703469935382E-3</v>
      </c>
      <c r="E39" s="199"/>
    </row>
    <row r="40" spans="1:7" ht="15.75" customHeight="1" x14ac:dyDescent="0.3">
      <c r="C40" s="197">
        <v>1244.49</v>
      </c>
      <c r="D40" s="200">
        <f t="shared" si="0"/>
        <v>3.9521100104791713E-3</v>
      </c>
      <c r="E40" s="199"/>
    </row>
    <row r="41" spans="1:7" ht="15.75" customHeight="1" x14ac:dyDescent="0.3">
      <c r="C41" s="197">
        <v>1234.98</v>
      </c>
      <c r="D41" s="200">
        <f t="shared" si="0"/>
        <v>-3.7197753129863827E-3</v>
      </c>
      <c r="E41" s="199"/>
    </row>
    <row r="42" spans="1:7" ht="15.75" customHeight="1" x14ac:dyDescent="0.3">
      <c r="C42" s="197">
        <v>1233.98</v>
      </c>
      <c r="D42" s="200">
        <f t="shared" si="0"/>
        <v>-4.5264930126147282E-3</v>
      </c>
      <c r="E42" s="199"/>
    </row>
    <row r="43" spans="1:7" ht="16.5" customHeight="1" thickBot="1" x14ac:dyDescent="0.35">
      <c r="C43" s="201">
        <v>1236.53</v>
      </c>
      <c r="D43" s="202">
        <f t="shared" si="0"/>
        <v>-2.4693628785624846E-3</v>
      </c>
      <c r="E43" s="199"/>
    </row>
    <row r="44" spans="1:7" ht="16.5" customHeight="1" thickBot="1" x14ac:dyDescent="0.35">
      <c r="C44" s="203"/>
      <c r="D44" s="199"/>
      <c r="E44" s="204"/>
    </row>
    <row r="45" spans="1:7" ht="16.5" customHeight="1" thickBot="1" x14ac:dyDescent="0.35">
      <c r="B45" s="205" t="s">
        <v>109</v>
      </c>
      <c r="C45" s="206">
        <f>SUM(C24:C44)</f>
        <v>24791.820000000003</v>
      </c>
      <c r="D45" s="207"/>
      <c r="E45" s="203"/>
    </row>
    <row r="46" spans="1:7" ht="17.25" customHeight="1" thickBot="1" x14ac:dyDescent="0.35">
      <c r="B46" s="205" t="s">
        <v>110</v>
      </c>
      <c r="C46" s="208">
        <f>AVERAGE(C24:C44)</f>
        <v>1239.5910000000001</v>
      </c>
      <c r="E46" s="209"/>
    </row>
    <row r="47" spans="1:7" ht="17.25" customHeight="1" thickBot="1" x14ac:dyDescent="0.35">
      <c r="A47" s="187"/>
      <c r="B47" s="210"/>
      <c r="D47" s="211"/>
      <c r="E47" s="209"/>
    </row>
    <row r="48" spans="1:7" ht="33.75" customHeight="1" thickBot="1" x14ac:dyDescent="0.35">
      <c r="B48" s="212" t="s">
        <v>110</v>
      </c>
      <c r="C48" s="195" t="s">
        <v>111</v>
      </c>
      <c r="D48" s="213"/>
      <c r="G48" s="211"/>
    </row>
    <row r="49" spans="1:6" ht="17.25" customHeight="1" thickBot="1" x14ac:dyDescent="0.35">
      <c r="B49" s="275">
        <f>C46</f>
        <v>1239.5910000000001</v>
      </c>
      <c r="C49" s="214">
        <f>-IF(C46&lt;=80,10%,IF(C46&lt;250,7.5%,5%))</f>
        <v>-0.05</v>
      </c>
      <c r="D49" s="215">
        <f>IF(C46&lt;=80,C46*0.9,IF(C46&lt;250,C46*0.925,C46*0.95))</f>
        <v>1177.6114500000001</v>
      </c>
    </row>
    <row r="50" spans="1:6" ht="17.25" customHeight="1" thickBot="1" x14ac:dyDescent="0.35">
      <c r="B50" s="276"/>
      <c r="C50" s="216">
        <f>IF(C46&lt;=80, 10%, IF(C46&lt;250, 7.5%, 5%))</f>
        <v>0.05</v>
      </c>
      <c r="D50" s="215">
        <f>IF(C46&lt;=80, C46*1.1, IF(C46&lt;250, C46*1.075, C46*1.05))</f>
        <v>1301.5705500000001</v>
      </c>
    </row>
    <row r="51" spans="1:6" ht="16.5" customHeight="1" thickBot="1" x14ac:dyDescent="0.35">
      <c r="A51" s="217"/>
      <c r="B51" s="218"/>
      <c r="C51" s="187"/>
      <c r="D51" s="219"/>
      <c r="E51" s="187"/>
      <c r="F51" s="192"/>
    </row>
    <row r="52" spans="1:6" ht="16.5" customHeight="1" x14ac:dyDescent="0.3">
      <c r="A52" s="187"/>
      <c r="B52" s="220" t="s">
        <v>95</v>
      </c>
      <c r="C52" s="220"/>
      <c r="D52" s="221" t="s">
        <v>96</v>
      </c>
      <c r="E52" s="222"/>
      <c r="F52" s="221" t="s">
        <v>97</v>
      </c>
    </row>
    <row r="53" spans="1:6" ht="34.5" customHeight="1" x14ac:dyDescent="0.3">
      <c r="A53" s="189" t="s">
        <v>98</v>
      </c>
      <c r="B53" s="223"/>
      <c r="C53" s="187"/>
      <c r="D53" s="223"/>
      <c r="E53" s="187"/>
      <c r="F53" s="223"/>
    </row>
    <row r="54" spans="1:6" ht="34.5" customHeight="1" x14ac:dyDescent="0.3">
      <c r="A54" s="189" t="s">
        <v>99</v>
      </c>
      <c r="B54" s="224"/>
      <c r="C54" s="225"/>
      <c r="D54" s="224"/>
      <c r="E54" s="187"/>
      <c r="F54" s="2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0" zoomScale="55" zoomScaleNormal="40" zoomScalePageLayoutView="55" workbookViewId="0">
      <selection activeCell="C115" sqref="C115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283" t="s">
        <v>0</v>
      </c>
      <c r="B1" s="283"/>
      <c r="C1" s="283"/>
      <c r="D1" s="283"/>
      <c r="E1" s="283"/>
      <c r="F1" s="283"/>
      <c r="G1" s="283"/>
      <c r="H1" s="283"/>
      <c r="I1" s="283"/>
    </row>
    <row r="2" spans="1:9" ht="18.75" customHeight="1" x14ac:dyDescent="0.25">
      <c r="A2" s="283"/>
      <c r="B2" s="283"/>
      <c r="C2" s="283"/>
      <c r="D2" s="283"/>
      <c r="E2" s="283"/>
      <c r="F2" s="283"/>
      <c r="G2" s="283"/>
      <c r="H2" s="283"/>
      <c r="I2" s="283"/>
    </row>
    <row r="3" spans="1:9" ht="18.75" customHeight="1" x14ac:dyDescent="0.25">
      <c r="A3" s="283"/>
      <c r="B3" s="283"/>
      <c r="C3" s="283"/>
      <c r="D3" s="283"/>
      <c r="E3" s="283"/>
      <c r="F3" s="283"/>
      <c r="G3" s="283"/>
      <c r="H3" s="283"/>
      <c r="I3" s="283"/>
    </row>
    <row r="4" spans="1:9" ht="18.75" customHeight="1" x14ac:dyDescent="0.25">
      <c r="A4" s="283"/>
      <c r="B4" s="283"/>
      <c r="C4" s="283"/>
      <c r="D4" s="283"/>
      <c r="E4" s="283"/>
      <c r="F4" s="283"/>
      <c r="G4" s="283"/>
      <c r="H4" s="283"/>
      <c r="I4" s="283"/>
    </row>
    <row r="5" spans="1:9" ht="18.75" customHeight="1" x14ac:dyDescent="0.25">
      <c r="A5" s="283"/>
      <c r="B5" s="283"/>
      <c r="C5" s="283"/>
      <c r="D5" s="283"/>
      <c r="E5" s="283"/>
      <c r="F5" s="283"/>
      <c r="G5" s="283"/>
      <c r="H5" s="283"/>
      <c r="I5" s="283"/>
    </row>
    <row r="6" spans="1:9" ht="18.75" customHeight="1" x14ac:dyDescent="0.25">
      <c r="A6" s="283"/>
      <c r="B6" s="283"/>
      <c r="C6" s="283"/>
      <c r="D6" s="283"/>
      <c r="E6" s="283"/>
      <c r="F6" s="283"/>
      <c r="G6" s="283"/>
      <c r="H6" s="283"/>
      <c r="I6" s="283"/>
    </row>
    <row r="7" spans="1:9" ht="18.75" customHeight="1" x14ac:dyDescent="0.25">
      <c r="A7" s="283"/>
      <c r="B7" s="283"/>
      <c r="C7" s="283"/>
      <c r="D7" s="283"/>
      <c r="E7" s="283"/>
      <c r="F7" s="283"/>
      <c r="G7" s="283"/>
      <c r="H7" s="283"/>
      <c r="I7" s="283"/>
    </row>
    <row r="8" spans="1:9" x14ac:dyDescent="0.25">
      <c r="A8" s="284" t="s">
        <v>1</v>
      </c>
      <c r="B8" s="284"/>
      <c r="C8" s="284"/>
      <c r="D8" s="284"/>
      <c r="E8" s="284"/>
      <c r="F8" s="284"/>
      <c r="G8" s="284"/>
      <c r="H8" s="284"/>
      <c r="I8" s="284"/>
    </row>
    <row r="9" spans="1:9" x14ac:dyDescent="0.25">
      <c r="A9" s="284"/>
      <c r="B9" s="284"/>
      <c r="C9" s="284"/>
      <c r="D9" s="284"/>
      <c r="E9" s="284"/>
      <c r="F9" s="284"/>
      <c r="G9" s="284"/>
      <c r="H9" s="284"/>
      <c r="I9" s="284"/>
    </row>
    <row r="10" spans="1:9" x14ac:dyDescent="0.25">
      <c r="A10" s="284"/>
      <c r="B10" s="284"/>
      <c r="C10" s="284"/>
      <c r="D10" s="284"/>
      <c r="E10" s="284"/>
      <c r="F10" s="284"/>
      <c r="G10" s="284"/>
      <c r="H10" s="284"/>
      <c r="I10" s="284"/>
    </row>
    <row r="11" spans="1:9" x14ac:dyDescent="0.25">
      <c r="A11" s="284"/>
      <c r="B11" s="284"/>
      <c r="C11" s="284"/>
      <c r="D11" s="284"/>
      <c r="E11" s="284"/>
      <c r="F11" s="284"/>
      <c r="G11" s="284"/>
      <c r="H11" s="284"/>
      <c r="I11" s="284"/>
    </row>
    <row r="12" spans="1:9" x14ac:dyDescent="0.25">
      <c r="A12" s="284"/>
      <c r="B12" s="284"/>
      <c r="C12" s="284"/>
      <c r="D12" s="284"/>
      <c r="E12" s="284"/>
      <c r="F12" s="284"/>
      <c r="G12" s="284"/>
      <c r="H12" s="284"/>
      <c r="I12" s="284"/>
    </row>
    <row r="13" spans="1:9" x14ac:dyDescent="0.25">
      <c r="A13" s="284"/>
      <c r="B13" s="284"/>
      <c r="C13" s="284"/>
      <c r="D13" s="284"/>
      <c r="E13" s="284"/>
      <c r="F13" s="284"/>
      <c r="G13" s="284"/>
      <c r="H13" s="284"/>
      <c r="I13" s="284"/>
    </row>
    <row r="14" spans="1:9" x14ac:dyDescent="0.25">
      <c r="A14" s="284"/>
      <c r="B14" s="284"/>
      <c r="C14" s="284"/>
      <c r="D14" s="284"/>
      <c r="E14" s="284"/>
      <c r="F14" s="284"/>
      <c r="G14" s="284"/>
      <c r="H14" s="284"/>
      <c r="I14" s="284"/>
    </row>
    <row r="15" spans="1:9" ht="19.5" customHeight="1" x14ac:dyDescent="0.3">
      <c r="A15" s="3"/>
    </row>
    <row r="16" spans="1:9" ht="19.5" customHeight="1" x14ac:dyDescent="0.3">
      <c r="A16" s="317" t="s">
        <v>2</v>
      </c>
      <c r="B16" s="318"/>
      <c r="C16" s="318"/>
      <c r="D16" s="318"/>
      <c r="E16" s="318"/>
      <c r="F16" s="318"/>
      <c r="G16" s="318"/>
      <c r="H16" s="319"/>
    </row>
    <row r="17" spans="1:14" ht="20.25" customHeight="1" x14ac:dyDescent="0.25">
      <c r="A17" s="320" t="s">
        <v>3</v>
      </c>
      <c r="B17" s="320"/>
      <c r="C17" s="320"/>
      <c r="D17" s="320"/>
      <c r="E17" s="320"/>
      <c r="F17" s="320"/>
      <c r="G17" s="320"/>
      <c r="H17" s="320"/>
    </row>
    <row r="18" spans="1:14" ht="26.25" customHeight="1" x14ac:dyDescent="0.4">
      <c r="A18" s="5" t="s">
        <v>4</v>
      </c>
      <c r="B18" s="321" t="s">
        <v>5</v>
      </c>
      <c r="C18" s="321"/>
      <c r="D18" s="170"/>
      <c r="E18" s="6"/>
      <c r="F18" s="7"/>
      <c r="G18" s="7"/>
      <c r="H18" s="7"/>
    </row>
    <row r="19" spans="1:14" ht="26.25" customHeight="1" x14ac:dyDescent="0.4">
      <c r="A19" s="5" t="s">
        <v>6</v>
      </c>
      <c r="B19" s="8" t="s">
        <v>7</v>
      </c>
      <c r="C19" s="183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8</v>
      </c>
      <c r="B20" s="316" t="s">
        <v>9</v>
      </c>
      <c r="C20" s="316"/>
      <c r="D20" s="7"/>
      <c r="E20" s="7"/>
      <c r="F20" s="7"/>
      <c r="G20" s="7"/>
      <c r="H20" s="7"/>
    </row>
    <row r="21" spans="1:14" ht="26.25" customHeight="1" x14ac:dyDescent="0.4">
      <c r="A21" s="5" t="s">
        <v>10</v>
      </c>
      <c r="B21" s="316" t="s">
        <v>11</v>
      </c>
      <c r="C21" s="316"/>
      <c r="D21" s="316"/>
      <c r="E21" s="316"/>
      <c r="F21" s="316"/>
      <c r="G21" s="316"/>
      <c r="H21" s="316"/>
      <c r="I21" s="9"/>
    </row>
    <row r="22" spans="1:14" ht="26.25" customHeight="1" x14ac:dyDescent="0.4">
      <c r="A22" s="5" t="s">
        <v>12</v>
      </c>
      <c r="B22" s="10">
        <v>42593.402233796296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13</v>
      </c>
      <c r="B23" s="10">
        <v>42594.402233796296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14</v>
      </c>
      <c r="B25" s="11"/>
    </row>
    <row r="26" spans="1:14" ht="26.25" customHeight="1" x14ac:dyDescent="0.4">
      <c r="A26" s="13" t="s">
        <v>15</v>
      </c>
      <c r="B26" s="316" t="s">
        <v>130</v>
      </c>
      <c r="C26" s="316"/>
    </row>
    <row r="27" spans="1:14" ht="26.25" customHeight="1" x14ac:dyDescent="0.4">
      <c r="A27" s="14" t="s">
        <v>16</v>
      </c>
      <c r="B27" s="314" t="s">
        <v>131</v>
      </c>
      <c r="C27" s="314"/>
    </row>
    <row r="28" spans="1:14" ht="27" customHeight="1" x14ac:dyDescent="0.4">
      <c r="A28" s="14" t="s">
        <v>17</v>
      </c>
      <c r="B28" s="15">
        <v>99.5</v>
      </c>
    </row>
    <row r="29" spans="1:14" s="2" customFormat="1" ht="27" customHeight="1" x14ac:dyDescent="0.4">
      <c r="A29" s="14" t="s">
        <v>18</v>
      </c>
      <c r="B29" s="16">
        <v>0</v>
      </c>
      <c r="C29" s="291" t="s">
        <v>19</v>
      </c>
      <c r="D29" s="292"/>
      <c r="E29" s="292"/>
      <c r="F29" s="292"/>
      <c r="G29" s="293"/>
      <c r="I29" s="17"/>
      <c r="J29" s="17"/>
      <c r="K29" s="17"/>
      <c r="L29" s="17"/>
    </row>
    <row r="30" spans="1:14" s="2" customFormat="1" ht="19.5" customHeight="1" x14ac:dyDescent="0.3">
      <c r="A30" s="14" t="s">
        <v>20</v>
      </c>
      <c r="B30" s="18">
        <f>B28-B29</f>
        <v>99.5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21</v>
      </c>
      <c r="B31" s="21">
        <v>1</v>
      </c>
      <c r="C31" s="294" t="s">
        <v>22</v>
      </c>
      <c r="D31" s="295"/>
      <c r="E31" s="295"/>
      <c r="F31" s="295"/>
      <c r="G31" s="295"/>
      <c r="H31" s="296"/>
      <c r="I31" s="17"/>
      <c r="J31" s="17"/>
      <c r="K31" s="17"/>
      <c r="L31" s="17"/>
    </row>
    <row r="32" spans="1:14" s="2" customFormat="1" ht="27" customHeight="1" x14ac:dyDescent="0.4">
      <c r="A32" s="14" t="s">
        <v>23</v>
      </c>
      <c r="B32" s="21">
        <v>1</v>
      </c>
      <c r="C32" s="294" t="s">
        <v>24</v>
      </c>
      <c r="D32" s="295"/>
      <c r="E32" s="295"/>
      <c r="F32" s="295"/>
      <c r="G32" s="295"/>
      <c r="H32" s="296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25</v>
      </c>
      <c r="B34" s="26">
        <f>B31/B32</f>
        <v>1</v>
      </c>
      <c r="C34" s="4" t="s">
        <v>26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27</v>
      </c>
      <c r="B36" s="28">
        <v>200</v>
      </c>
      <c r="C36" s="4"/>
      <c r="D36" s="297" t="s">
        <v>28</v>
      </c>
      <c r="E36" s="315"/>
      <c r="F36" s="297" t="s">
        <v>29</v>
      </c>
      <c r="G36" s="298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30</v>
      </c>
      <c r="B37" s="30">
        <v>1</v>
      </c>
      <c r="C37" s="31" t="s">
        <v>31</v>
      </c>
      <c r="D37" s="32" t="s">
        <v>32</v>
      </c>
      <c r="E37" s="33" t="s">
        <v>33</v>
      </c>
      <c r="F37" s="32" t="s">
        <v>32</v>
      </c>
      <c r="G37" s="34" t="s">
        <v>33</v>
      </c>
      <c r="I37" s="35" t="s">
        <v>34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35</v>
      </c>
      <c r="B38" s="30">
        <v>1</v>
      </c>
      <c r="C38" s="36">
        <v>1</v>
      </c>
      <c r="D38" s="37">
        <v>17640345</v>
      </c>
      <c r="E38" s="38">
        <f>IF(ISBLANK(D38),"-",$D$48/$D$45*D38)</f>
        <v>18574112.047929537</v>
      </c>
      <c r="F38" s="37">
        <v>18179655</v>
      </c>
      <c r="G38" s="39">
        <f>IF(ISBLANK(F38),"-",$D$48/$F$45*F38)</f>
        <v>18180109.502737567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36</v>
      </c>
      <c r="B39" s="30">
        <v>1</v>
      </c>
      <c r="C39" s="41">
        <v>2</v>
      </c>
      <c r="D39" s="42">
        <v>17725626</v>
      </c>
      <c r="E39" s="43">
        <f>IF(ISBLANK(D39),"-",$D$48/$D$45*D39)</f>
        <v>18663907.278666776</v>
      </c>
      <c r="F39" s="42">
        <v>18188434</v>
      </c>
      <c r="G39" s="44">
        <f>IF(ISBLANK(F39),"-",$D$48/$F$45*F39)</f>
        <v>18188888.722218055</v>
      </c>
      <c r="I39" s="299">
        <f>ABS((F43/D43*D42)-F42)/D42</f>
        <v>2.4667177746209475E-2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37</v>
      </c>
      <c r="B40" s="30">
        <v>1</v>
      </c>
      <c r="C40" s="41">
        <v>3</v>
      </c>
      <c r="D40" s="42">
        <v>17591696</v>
      </c>
      <c r="E40" s="43">
        <f>IF(ISBLANK(D40),"-",$D$48/$D$45*D40)</f>
        <v>18522887.880997445</v>
      </c>
      <c r="F40" s="42">
        <v>18085108</v>
      </c>
      <c r="G40" s="44">
        <f>IF(ISBLANK(F40),"-",$D$48/$F$45*F40)</f>
        <v>18085560.139003474</v>
      </c>
      <c r="I40" s="299"/>
      <c r="L40" s="22"/>
      <c r="M40" s="22"/>
      <c r="N40" s="45"/>
    </row>
    <row r="41" spans="1:14" ht="27" customHeight="1" x14ac:dyDescent="0.4">
      <c r="A41" s="29" t="s">
        <v>38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39</v>
      </c>
      <c r="B42" s="30">
        <v>1</v>
      </c>
      <c r="C42" s="51" t="s">
        <v>40</v>
      </c>
      <c r="D42" s="52">
        <f>AVERAGE(D38:D41)</f>
        <v>17652555.666666668</v>
      </c>
      <c r="E42" s="53">
        <f>AVERAGE(E38:E41)</f>
        <v>18586969.069197919</v>
      </c>
      <c r="F42" s="52">
        <f>AVERAGE(F38:F41)</f>
        <v>18151065.666666668</v>
      </c>
      <c r="G42" s="54">
        <f>AVERAGE(G38:G41)</f>
        <v>18151519.454653028</v>
      </c>
      <c r="H42" s="55"/>
    </row>
    <row r="43" spans="1:14" ht="26.25" customHeight="1" x14ac:dyDescent="0.4">
      <c r="A43" s="29" t="s">
        <v>41</v>
      </c>
      <c r="B43" s="30">
        <v>1</v>
      </c>
      <c r="C43" s="56" t="s">
        <v>42</v>
      </c>
      <c r="D43" s="57">
        <v>19.09</v>
      </c>
      <c r="E43" s="45"/>
      <c r="F43" s="57">
        <v>20.100000000000001</v>
      </c>
      <c r="H43" s="55"/>
    </row>
    <row r="44" spans="1:14" ht="26.25" customHeight="1" x14ac:dyDescent="0.4">
      <c r="A44" s="29" t="s">
        <v>43</v>
      </c>
      <c r="B44" s="30">
        <v>1</v>
      </c>
      <c r="C44" s="58" t="s">
        <v>44</v>
      </c>
      <c r="D44" s="59">
        <f>D43*$B$34</f>
        <v>19.09</v>
      </c>
      <c r="E44" s="60"/>
      <c r="F44" s="59">
        <f>F43*$B$34</f>
        <v>20.100000000000001</v>
      </c>
      <c r="H44" s="55"/>
    </row>
    <row r="45" spans="1:14" ht="19.5" customHeight="1" x14ac:dyDescent="0.3">
      <c r="A45" s="29" t="s">
        <v>45</v>
      </c>
      <c r="B45" s="61">
        <f>(B44/B43)*(B42/B41)*(B40/B39)*(B38/B37)*B36</f>
        <v>200</v>
      </c>
      <c r="C45" s="58" t="s">
        <v>46</v>
      </c>
      <c r="D45" s="62">
        <f>D44*$B$30/100</f>
        <v>18.99455</v>
      </c>
      <c r="E45" s="63"/>
      <c r="F45" s="62">
        <f>F44*$B$30/100</f>
        <v>19.999500000000001</v>
      </c>
      <c r="H45" s="55"/>
    </row>
    <row r="46" spans="1:14" ht="19.5" customHeight="1" x14ac:dyDescent="0.3">
      <c r="A46" s="285" t="s">
        <v>47</v>
      </c>
      <c r="B46" s="286"/>
      <c r="C46" s="58" t="s">
        <v>48</v>
      </c>
      <c r="D46" s="64">
        <f>D45/$B$45</f>
        <v>9.4972749999999995E-2</v>
      </c>
      <c r="E46" s="65"/>
      <c r="F46" s="66">
        <f>F45/$B$45</f>
        <v>9.9997500000000003E-2</v>
      </c>
      <c r="H46" s="55"/>
    </row>
    <row r="47" spans="1:14" ht="27" customHeight="1" x14ac:dyDescent="0.4">
      <c r="A47" s="287"/>
      <c r="B47" s="288"/>
      <c r="C47" s="67" t="s">
        <v>49</v>
      </c>
      <c r="D47" s="68">
        <v>0.1</v>
      </c>
      <c r="E47" s="69"/>
      <c r="F47" s="65"/>
      <c r="H47" s="55"/>
    </row>
    <row r="48" spans="1:14" ht="18.75" x14ac:dyDescent="0.3">
      <c r="C48" s="70" t="s">
        <v>50</v>
      </c>
      <c r="D48" s="62">
        <f>D47*$B$45</f>
        <v>20</v>
      </c>
      <c r="F48" s="71"/>
      <c r="H48" s="55"/>
    </row>
    <row r="49" spans="1:12" ht="19.5" customHeight="1" x14ac:dyDescent="0.3">
      <c r="C49" s="72" t="s">
        <v>51</v>
      </c>
      <c r="D49" s="73">
        <f>D48/B34</f>
        <v>20</v>
      </c>
      <c r="F49" s="71"/>
      <c r="H49" s="55"/>
    </row>
    <row r="50" spans="1:12" ht="18.75" x14ac:dyDescent="0.3">
      <c r="C50" s="27" t="s">
        <v>52</v>
      </c>
      <c r="D50" s="74">
        <f>AVERAGE(E38:E41,G38:G41)</f>
        <v>18369244.261925474</v>
      </c>
      <c r="F50" s="75"/>
      <c r="H50" s="55"/>
    </row>
    <row r="51" spans="1:12" ht="18.75" x14ac:dyDescent="0.3">
      <c r="C51" s="29" t="s">
        <v>53</v>
      </c>
      <c r="D51" s="76">
        <f>STDEV(E38:E41,G38:G41)/D50</f>
        <v>1.3360937574481693E-2</v>
      </c>
      <c r="F51" s="75"/>
      <c r="H51" s="55"/>
    </row>
    <row r="52" spans="1:12" ht="19.5" customHeight="1" x14ac:dyDescent="0.3">
      <c r="C52" s="77" t="s">
        <v>54</v>
      </c>
      <c r="D52" s="78">
        <f>COUNT(E38:E41,G38:G41)</f>
        <v>6</v>
      </c>
      <c r="F52" s="75"/>
    </row>
    <row r="54" spans="1:12" ht="18.75" x14ac:dyDescent="0.3">
      <c r="A54" s="79" t="s">
        <v>14</v>
      </c>
      <c r="B54" s="80" t="s">
        <v>55</v>
      </c>
    </row>
    <row r="55" spans="1:12" ht="18.75" x14ac:dyDescent="0.3">
      <c r="A55" s="4" t="s">
        <v>56</v>
      </c>
      <c r="B55" s="81" t="str">
        <f>B21</f>
        <v>each tablets contains sofosbuvir 400mg</v>
      </c>
    </row>
    <row r="56" spans="1:12" ht="26.25" customHeight="1" x14ac:dyDescent="0.4">
      <c r="A56" s="82" t="s">
        <v>57</v>
      </c>
      <c r="B56" s="83">
        <v>400</v>
      </c>
      <c r="C56" s="4" t="str">
        <f>B20</f>
        <v>Sofosbuvir 400mg</v>
      </c>
      <c r="H56" s="84"/>
    </row>
    <row r="57" spans="1:12" ht="18.75" x14ac:dyDescent="0.3">
      <c r="A57" s="81" t="s">
        <v>58</v>
      </c>
      <c r="B57" s="171">
        <f>Uniformity!C46</f>
        <v>1239.5910000000001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59</v>
      </c>
      <c r="B59" s="28">
        <v>200</v>
      </c>
      <c r="C59" s="4"/>
      <c r="D59" s="85" t="s">
        <v>60</v>
      </c>
      <c r="E59" s="86" t="s">
        <v>31</v>
      </c>
      <c r="F59" s="86" t="s">
        <v>32</v>
      </c>
      <c r="G59" s="86" t="s">
        <v>61</v>
      </c>
      <c r="H59" s="31" t="s">
        <v>62</v>
      </c>
      <c r="L59" s="17"/>
    </row>
    <row r="60" spans="1:12" s="2" customFormat="1" ht="26.25" customHeight="1" x14ac:dyDescent="0.4">
      <c r="A60" s="29" t="s">
        <v>63</v>
      </c>
      <c r="B60" s="30">
        <v>5</v>
      </c>
      <c r="C60" s="302" t="s">
        <v>64</v>
      </c>
      <c r="D60" s="305">
        <v>1236.78</v>
      </c>
      <c r="E60" s="87">
        <v>1</v>
      </c>
      <c r="F60" s="88">
        <v>17997500</v>
      </c>
      <c r="G60" s="172">
        <f>IF(ISBLANK(F60),"-",(F60/$D$50*$D$47*$B$68)*($B$57/$D$60))</f>
        <v>392.7958088255121</v>
      </c>
      <c r="H60" s="89">
        <f t="shared" ref="H60:H71" si="0">IF(ISBLANK(F60),"-",G60/$B$56)</f>
        <v>0.98198952206378021</v>
      </c>
      <c r="L60" s="17"/>
    </row>
    <row r="61" spans="1:12" s="2" customFormat="1" ht="26.25" customHeight="1" x14ac:dyDescent="0.4">
      <c r="A61" s="29" t="s">
        <v>65</v>
      </c>
      <c r="B61" s="30">
        <v>100</v>
      </c>
      <c r="C61" s="303"/>
      <c r="D61" s="306"/>
      <c r="E61" s="90">
        <v>2</v>
      </c>
      <c r="F61" s="42">
        <v>17998906</v>
      </c>
      <c r="G61" s="173">
        <f>IF(ISBLANK(F61),"-",(F61/$D$50*$D$47*$B$68)*($B$57/$D$60))</f>
        <v>392.82649480452079</v>
      </c>
      <c r="H61" s="91">
        <f t="shared" si="0"/>
        <v>0.98206623701130202</v>
      </c>
      <c r="L61" s="17"/>
    </row>
    <row r="62" spans="1:12" s="2" customFormat="1" ht="26.25" customHeight="1" x14ac:dyDescent="0.4">
      <c r="A62" s="29" t="s">
        <v>66</v>
      </c>
      <c r="B62" s="30">
        <v>1</v>
      </c>
      <c r="C62" s="303"/>
      <c r="D62" s="306"/>
      <c r="E62" s="90">
        <v>3</v>
      </c>
      <c r="F62" s="92">
        <v>18150510</v>
      </c>
      <c r="G62" s="173">
        <f>IF(ISBLANK(F62),"-",(F62/$D$50*$D$47*$B$68)*($B$57/$D$60))</f>
        <v>396.13525523242367</v>
      </c>
      <c r="H62" s="91">
        <f t="shared" si="0"/>
        <v>0.99033813808105919</v>
      </c>
      <c r="L62" s="17"/>
    </row>
    <row r="63" spans="1:12" ht="27" customHeight="1" x14ac:dyDescent="0.4">
      <c r="A63" s="29" t="s">
        <v>67</v>
      </c>
      <c r="B63" s="30">
        <v>1</v>
      </c>
      <c r="C63" s="313"/>
      <c r="D63" s="307"/>
      <c r="E63" s="93">
        <v>4</v>
      </c>
      <c r="F63" s="94"/>
      <c r="G63" s="173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68</v>
      </c>
      <c r="B64" s="30">
        <v>1</v>
      </c>
      <c r="C64" s="302" t="s">
        <v>69</v>
      </c>
      <c r="D64" s="305">
        <v>1240.49</v>
      </c>
      <c r="E64" s="87">
        <v>1</v>
      </c>
      <c r="F64" s="88">
        <v>18180102</v>
      </c>
      <c r="G64" s="174">
        <f>IF(ISBLANK(F64),"-",(F64/$D$50*$D$47*$B$68)*($B$57/$D$64))</f>
        <v>395.59442671466724</v>
      </c>
      <c r="H64" s="95">
        <f t="shared" si="0"/>
        <v>0.98898606678666812</v>
      </c>
    </row>
    <row r="65" spans="1:8" ht="26.25" customHeight="1" x14ac:dyDescent="0.4">
      <c r="A65" s="29" t="s">
        <v>70</v>
      </c>
      <c r="B65" s="30">
        <v>1</v>
      </c>
      <c r="C65" s="303"/>
      <c r="D65" s="306"/>
      <c r="E65" s="90">
        <v>2</v>
      </c>
      <c r="F65" s="42">
        <v>18260775</v>
      </c>
      <c r="G65" s="175">
        <f>IF(ISBLANK(F65),"-",(F65/$D$50*$D$47*$B$68)*($B$57/$D$64))</f>
        <v>397.34985081439737</v>
      </c>
      <c r="H65" s="96">
        <f t="shared" si="0"/>
        <v>0.99337462703599344</v>
      </c>
    </row>
    <row r="66" spans="1:8" ht="26.25" customHeight="1" x14ac:dyDescent="0.4">
      <c r="A66" s="29" t="s">
        <v>71</v>
      </c>
      <c r="B66" s="30">
        <v>1</v>
      </c>
      <c r="C66" s="303"/>
      <c r="D66" s="306"/>
      <c r="E66" s="90">
        <v>3</v>
      </c>
      <c r="F66" s="42">
        <v>18201279</v>
      </c>
      <c r="G66" s="175">
        <f>IF(ISBLANK(F66),"-",(F66/$D$50*$D$47*$B$68)*($B$57/$D$64))</f>
        <v>396.0552328847611</v>
      </c>
      <c r="H66" s="96">
        <f t="shared" si="0"/>
        <v>0.99013808221190269</v>
      </c>
    </row>
    <row r="67" spans="1:8" ht="27" customHeight="1" x14ac:dyDescent="0.4">
      <c r="A67" s="29" t="s">
        <v>72</v>
      </c>
      <c r="B67" s="30">
        <v>1</v>
      </c>
      <c r="C67" s="313"/>
      <c r="D67" s="307"/>
      <c r="E67" s="93">
        <v>4</v>
      </c>
      <c r="F67" s="94"/>
      <c r="G67" s="176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73</v>
      </c>
      <c r="B68" s="98">
        <f>(B67/B66)*(B65/B64)*(B63/B62)*(B61/B60)*B59</f>
        <v>4000</v>
      </c>
      <c r="C68" s="302" t="s">
        <v>74</v>
      </c>
      <c r="D68" s="305">
        <v>1241.03</v>
      </c>
      <c r="E68" s="87">
        <v>1</v>
      </c>
      <c r="F68" s="88">
        <v>18134681</v>
      </c>
      <c r="G68" s="174">
        <f>IF(ISBLANK(F68),"-",(F68/$D$50*$D$47*$B$68)*($B$57/$D$68))</f>
        <v>394.43437527067181</v>
      </c>
      <c r="H68" s="91">
        <f t="shared" si="0"/>
        <v>0.98608593817667956</v>
      </c>
    </row>
    <row r="69" spans="1:8" ht="27" customHeight="1" x14ac:dyDescent="0.4">
      <c r="A69" s="77" t="s">
        <v>75</v>
      </c>
      <c r="B69" s="99">
        <f>(D47*B68)/B56*B57</f>
        <v>1239.5910000000001</v>
      </c>
      <c r="C69" s="303"/>
      <c r="D69" s="306"/>
      <c r="E69" s="90">
        <v>2</v>
      </c>
      <c r="F69" s="42">
        <v>18205722</v>
      </c>
      <c r="G69" s="175">
        <f>IF(ISBLANK(F69),"-",(F69/$D$50*$D$47*$B$68)*($B$57/$D$68))</f>
        <v>395.97953685656375</v>
      </c>
      <c r="H69" s="91">
        <f t="shared" si="0"/>
        <v>0.98994884214140944</v>
      </c>
    </row>
    <row r="70" spans="1:8" ht="26.25" customHeight="1" x14ac:dyDescent="0.4">
      <c r="A70" s="308" t="s">
        <v>47</v>
      </c>
      <c r="B70" s="309"/>
      <c r="C70" s="303"/>
      <c r="D70" s="306"/>
      <c r="E70" s="90">
        <v>3</v>
      </c>
      <c r="F70" s="42">
        <v>18155065</v>
      </c>
      <c r="G70" s="175">
        <f>IF(ISBLANK(F70),"-",(F70/$D$50*$D$47*$B$68)*($B$57/$D$68))</f>
        <v>394.87773296224179</v>
      </c>
      <c r="H70" s="91">
        <f t="shared" si="0"/>
        <v>0.9871943324056045</v>
      </c>
    </row>
    <row r="71" spans="1:8" ht="27" customHeight="1" x14ac:dyDescent="0.4">
      <c r="A71" s="310"/>
      <c r="B71" s="311"/>
      <c r="C71" s="304"/>
      <c r="D71" s="307"/>
      <c r="E71" s="93">
        <v>4</v>
      </c>
      <c r="F71" s="94"/>
      <c r="G71" s="176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40</v>
      </c>
      <c r="G72" s="181">
        <f>AVERAGE(G60:G71)</f>
        <v>395.1165238184177</v>
      </c>
      <c r="H72" s="104">
        <f>AVERAGE(H60:H71)</f>
        <v>0.98779130954604433</v>
      </c>
    </row>
    <row r="73" spans="1:8" ht="26.25" customHeight="1" x14ac:dyDescent="0.4">
      <c r="C73" s="101"/>
      <c r="D73" s="101"/>
      <c r="E73" s="101"/>
      <c r="F73" s="105" t="s">
        <v>53</v>
      </c>
      <c r="G73" s="177">
        <f>STDEV(G60:G71)/G72</f>
        <v>3.9036828804264174E-3</v>
      </c>
      <c r="H73" s="177">
        <f>STDEV(H60:H71)/H72</f>
        <v>3.903682880426417E-3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54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76</v>
      </c>
      <c r="B76" s="109" t="s">
        <v>77</v>
      </c>
      <c r="C76" s="289" t="str">
        <f>B20</f>
        <v>Sofosbuvir 400mg</v>
      </c>
      <c r="D76" s="289"/>
      <c r="E76" s="110" t="s">
        <v>78</v>
      </c>
      <c r="F76" s="110"/>
      <c r="G76" s="111">
        <f>H72</f>
        <v>0.98779130954604433</v>
      </c>
      <c r="H76" s="112"/>
    </row>
    <row r="77" spans="1:8" ht="18.75" x14ac:dyDescent="0.3">
      <c r="A77" s="12" t="s">
        <v>79</v>
      </c>
      <c r="B77" s="12" t="s">
        <v>80</v>
      </c>
    </row>
    <row r="78" spans="1:8" ht="18.75" x14ac:dyDescent="0.3">
      <c r="A78" s="12"/>
      <c r="B78" s="12"/>
    </row>
    <row r="79" spans="1:8" ht="26.25" customHeight="1" x14ac:dyDescent="0.4">
      <c r="A79" s="13" t="s">
        <v>15</v>
      </c>
      <c r="B79" s="312" t="str">
        <f>B26</f>
        <v>Sofosbuvir</v>
      </c>
      <c r="C79" s="312"/>
    </row>
    <row r="80" spans="1:8" ht="26.25" customHeight="1" x14ac:dyDescent="0.4">
      <c r="A80" s="14" t="s">
        <v>16</v>
      </c>
      <c r="B80" s="312" t="str">
        <f>B27</f>
        <v>S48-1</v>
      </c>
      <c r="C80" s="312"/>
    </row>
    <row r="81" spans="1:12" ht="27" customHeight="1" x14ac:dyDescent="0.4">
      <c r="A81" s="14" t="s">
        <v>17</v>
      </c>
      <c r="B81" s="113">
        <f>B28</f>
        <v>99.5</v>
      </c>
    </row>
    <row r="82" spans="1:12" s="2" customFormat="1" ht="27" customHeight="1" x14ac:dyDescent="0.4">
      <c r="A82" s="14" t="s">
        <v>18</v>
      </c>
      <c r="B82" s="16">
        <v>0</v>
      </c>
      <c r="C82" s="291" t="s">
        <v>19</v>
      </c>
      <c r="D82" s="292"/>
      <c r="E82" s="292"/>
      <c r="F82" s="292"/>
      <c r="G82" s="293"/>
      <c r="I82" s="17"/>
      <c r="J82" s="17"/>
      <c r="K82" s="17"/>
      <c r="L82" s="17"/>
    </row>
    <row r="83" spans="1:12" s="2" customFormat="1" ht="19.5" customHeight="1" x14ac:dyDescent="0.3">
      <c r="A83" s="14" t="s">
        <v>20</v>
      </c>
      <c r="B83" s="18">
        <f>B81-B82</f>
        <v>99.5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21</v>
      </c>
      <c r="B84" s="21">
        <v>1</v>
      </c>
      <c r="C84" s="294" t="s">
        <v>81</v>
      </c>
      <c r="D84" s="295"/>
      <c r="E84" s="295"/>
      <c r="F84" s="295"/>
      <c r="G84" s="295"/>
      <c r="H84" s="296"/>
      <c r="I84" s="17"/>
      <c r="J84" s="17"/>
      <c r="K84" s="17"/>
      <c r="L84" s="17"/>
    </row>
    <row r="85" spans="1:12" s="2" customFormat="1" ht="27" customHeight="1" x14ac:dyDescent="0.4">
      <c r="A85" s="14" t="s">
        <v>23</v>
      </c>
      <c r="B85" s="21">
        <v>1</v>
      </c>
      <c r="C85" s="294" t="s">
        <v>82</v>
      </c>
      <c r="D85" s="295"/>
      <c r="E85" s="295"/>
      <c r="F85" s="295"/>
      <c r="G85" s="295"/>
      <c r="H85" s="296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25</v>
      </c>
      <c r="B87" s="26">
        <f>B84/B85</f>
        <v>1</v>
      </c>
      <c r="C87" s="4" t="s">
        <v>26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27</v>
      </c>
      <c r="B89" s="28">
        <v>200</v>
      </c>
      <c r="D89" s="114" t="s">
        <v>28</v>
      </c>
      <c r="E89" s="115"/>
      <c r="F89" s="297" t="s">
        <v>29</v>
      </c>
      <c r="G89" s="298"/>
    </row>
    <row r="90" spans="1:12" ht="27" customHeight="1" x14ac:dyDescent="0.4">
      <c r="A90" s="29" t="s">
        <v>30</v>
      </c>
      <c r="B90" s="30">
        <v>5</v>
      </c>
      <c r="C90" s="116" t="s">
        <v>31</v>
      </c>
      <c r="D90" s="32" t="s">
        <v>32</v>
      </c>
      <c r="E90" s="33" t="s">
        <v>33</v>
      </c>
      <c r="F90" s="32" t="s">
        <v>32</v>
      </c>
      <c r="G90" s="117" t="s">
        <v>33</v>
      </c>
      <c r="I90" s="35" t="s">
        <v>34</v>
      </c>
    </row>
    <row r="91" spans="1:12" ht="26.25" customHeight="1" x14ac:dyDescent="0.4">
      <c r="A91" s="29" t="s">
        <v>35</v>
      </c>
      <c r="B91" s="30">
        <v>25</v>
      </c>
      <c r="C91" s="118">
        <v>1</v>
      </c>
      <c r="D91" s="37">
        <v>0.35599999999999998</v>
      </c>
      <c r="E91" s="38">
        <f>IF(ISBLANK(D91),"-",$D$101/$D$98*D91)</f>
        <v>0.41649373694618247</v>
      </c>
      <c r="F91" s="37">
        <v>0.36499999999999999</v>
      </c>
      <c r="G91" s="39">
        <f>IF(ISBLANK(F91),"-",$D$101/$F$98*F91)</f>
        <v>0.40556569469792292</v>
      </c>
      <c r="I91" s="40"/>
    </row>
    <row r="92" spans="1:12" ht="26.25" customHeight="1" x14ac:dyDescent="0.4">
      <c r="A92" s="29" t="s">
        <v>36</v>
      </c>
      <c r="B92" s="30">
        <v>1</v>
      </c>
      <c r="C92" s="102">
        <v>2</v>
      </c>
      <c r="D92" s="42">
        <v>0.35799999999999998</v>
      </c>
      <c r="E92" s="43">
        <f>IF(ISBLANK(D92),"-",$D$101/$D$98*D92)</f>
        <v>0.41883358940093629</v>
      </c>
      <c r="F92" s="42">
        <v>0.36799999999999999</v>
      </c>
      <c r="G92" s="44">
        <f>IF(ISBLANK(F92),"-",$D$101/$F$98*F92)</f>
        <v>0.40889911136667295</v>
      </c>
      <c r="I92" s="299">
        <f>ABS((F96/D96*D95)-F95)/D95</f>
        <v>2.5804477560791732E-2</v>
      </c>
    </row>
    <row r="93" spans="1:12" ht="26.25" customHeight="1" x14ac:dyDescent="0.4">
      <c r="A93" s="29" t="s">
        <v>37</v>
      </c>
      <c r="B93" s="30">
        <v>1</v>
      </c>
      <c r="C93" s="102">
        <v>3</v>
      </c>
      <c r="D93" s="42">
        <v>0.35599999999999998</v>
      </c>
      <c r="E93" s="43">
        <f>IF(ISBLANK(D93),"-",$D$101/$D$98*D93)</f>
        <v>0.41649373694618247</v>
      </c>
      <c r="F93" s="42">
        <v>0.36599999999999999</v>
      </c>
      <c r="G93" s="44">
        <f>IF(ISBLANK(F93),"-",$D$101/$F$98*F93)</f>
        <v>0.40667683358750628</v>
      </c>
      <c r="I93" s="299"/>
    </row>
    <row r="94" spans="1:12" ht="27" customHeight="1" x14ac:dyDescent="0.4">
      <c r="A94" s="29" t="s">
        <v>38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39</v>
      </c>
      <c r="B95" s="30">
        <v>1</v>
      </c>
      <c r="C95" s="121" t="s">
        <v>40</v>
      </c>
      <c r="D95" s="122">
        <f>AVERAGE(D91:D94)</f>
        <v>0.35666666666666663</v>
      </c>
      <c r="E95" s="53">
        <f>AVERAGE(E91:E94)</f>
        <v>0.4172736877644338</v>
      </c>
      <c r="F95" s="123">
        <f>AVERAGE(F91:F94)</f>
        <v>0.36633333333333334</v>
      </c>
      <c r="G95" s="124">
        <f>AVERAGE(G91:G94)</f>
        <v>0.40704721321736742</v>
      </c>
    </row>
    <row r="96" spans="1:12" ht="26.25" customHeight="1" x14ac:dyDescent="0.4">
      <c r="A96" s="29" t="s">
        <v>41</v>
      </c>
      <c r="B96" s="15">
        <v>1</v>
      </c>
      <c r="C96" s="125" t="s">
        <v>83</v>
      </c>
      <c r="D96" s="126">
        <f>D43</f>
        <v>19.09</v>
      </c>
      <c r="E96" s="45"/>
      <c r="F96" s="57">
        <f>F43</f>
        <v>20.100000000000001</v>
      </c>
    </row>
    <row r="97" spans="1:10" ht="26.25" customHeight="1" x14ac:dyDescent="0.4">
      <c r="A97" s="29" t="s">
        <v>43</v>
      </c>
      <c r="B97" s="15">
        <v>1</v>
      </c>
      <c r="C97" s="127" t="s">
        <v>84</v>
      </c>
      <c r="D97" s="128">
        <f>D96*$B$87</f>
        <v>19.09</v>
      </c>
      <c r="E97" s="60"/>
      <c r="F97" s="59">
        <f>F96*$B$87</f>
        <v>20.100000000000001</v>
      </c>
    </row>
    <row r="98" spans="1:10" ht="19.5" customHeight="1" x14ac:dyDescent="0.3">
      <c r="A98" s="29" t="s">
        <v>45</v>
      </c>
      <c r="B98" s="129">
        <f>(B97/B96)*(B95/B94)*(B93/B92)*(B91/B90)*B89</f>
        <v>1000</v>
      </c>
      <c r="C98" s="127" t="s">
        <v>85</v>
      </c>
      <c r="D98" s="130">
        <f>D97*$B$83/100</f>
        <v>18.99455</v>
      </c>
      <c r="E98" s="63"/>
      <c r="F98" s="62">
        <f>F97*$B$83/100</f>
        <v>19.999500000000001</v>
      </c>
    </row>
    <row r="99" spans="1:10" ht="19.5" customHeight="1" x14ac:dyDescent="0.3">
      <c r="A99" s="285" t="s">
        <v>47</v>
      </c>
      <c r="B99" s="300"/>
      <c r="C99" s="127" t="s">
        <v>86</v>
      </c>
      <c r="D99" s="131">
        <f>D98/$B$98</f>
        <v>1.8994549999999999E-2</v>
      </c>
      <c r="E99" s="63"/>
      <c r="F99" s="66">
        <f>F98/$B$98</f>
        <v>1.99995E-2</v>
      </c>
      <c r="G99" s="132"/>
      <c r="H99" s="55"/>
    </row>
    <row r="100" spans="1:10" ht="19.5" customHeight="1" x14ac:dyDescent="0.3">
      <c r="A100" s="287"/>
      <c r="B100" s="301"/>
      <c r="C100" s="127" t="s">
        <v>49</v>
      </c>
      <c r="D100" s="133">
        <f>$B$56/$B$116</f>
        <v>2.2222222222222223E-2</v>
      </c>
      <c r="F100" s="71"/>
      <c r="G100" s="134"/>
      <c r="H100" s="55"/>
    </row>
    <row r="101" spans="1:10" ht="18.75" x14ac:dyDescent="0.3">
      <c r="C101" s="127" t="s">
        <v>50</v>
      </c>
      <c r="D101" s="128">
        <f>D100*$B$98</f>
        <v>22.222222222222221</v>
      </c>
      <c r="F101" s="71"/>
      <c r="G101" s="132"/>
      <c r="H101" s="55"/>
    </row>
    <row r="102" spans="1:10" ht="19.5" customHeight="1" x14ac:dyDescent="0.3">
      <c r="C102" s="135" t="s">
        <v>51</v>
      </c>
      <c r="D102" s="136">
        <f>D101/B34</f>
        <v>22.222222222222221</v>
      </c>
      <c r="F102" s="75"/>
      <c r="G102" s="132"/>
      <c r="H102" s="55"/>
      <c r="J102" s="137"/>
    </row>
    <row r="103" spans="1:10" ht="18.75" x14ac:dyDescent="0.3">
      <c r="C103" s="138" t="s">
        <v>87</v>
      </c>
      <c r="D103" s="139">
        <f>AVERAGE(E91:E94,G91:G94)</f>
        <v>0.41216045049090061</v>
      </c>
      <c r="F103" s="75"/>
      <c r="G103" s="140"/>
      <c r="H103" s="55"/>
      <c r="J103" s="141"/>
    </row>
    <row r="104" spans="1:10" ht="18.75" x14ac:dyDescent="0.3">
      <c r="C104" s="105" t="s">
        <v>53</v>
      </c>
      <c r="D104" s="142">
        <f>STDEV(E91:E94,G91:G94)/D103</f>
        <v>1.3991756485341303E-2</v>
      </c>
      <c r="F104" s="75"/>
      <c r="G104" s="132"/>
      <c r="H104" s="55"/>
      <c r="J104" s="141"/>
    </row>
    <row r="105" spans="1:10" ht="19.5" customHeight="1" x14ac:dyDescent="0.3">
      <c r="C105" s="107" t="s">
        <v>54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88</v>
      </c>
      <c r="B107" s="28">
        <v>900</v>
      </c>
      <c r="C107" s="144" t="s">
        <v>89</v>
      </c>
      <c r="D107" s="145" t="s">
        <v>32</v>
      </c>
      <c r="E107" s="146" t="s">
        <v>90</v>
      </c>
      <c r="F107" s="147" t="s">
        <v>91</v>
      </c>
    </row>
    <row r="108" spans="1:10" ht="26.25" customHeight="1" x14ac:dyDescent="0.4">
      <c r="A108" s="29" t="s">
        <v>92</v>
      </c>
      <c r="B108" s="30">
        <v>5</v>
      </c>
      <c r="C108" s="148">
        <v>1</v>
      </c>
      <c r="D108" s="322">
        <v>0.40899999999999997</v>
      </c>
      <c r="E108" s="178">
        <f t="shared" ref="E108:E113" si="1">IF(ISBLANK(D108),"-",D108/$D$103*$D$100*$B$116)</f>
        <v>396.93279596609881</v>
      </c>
      <c r="F108" s="149">
        <f t="shared" ref="F108:F113" si="2">IF(ISBLANK(D108), "-", E108/$B$56)</f>
        <v>0.99233198991524707</v>
      </c>
    </row>
    <row r="109" spans="1:10" ht="26.25" customHeight="1" x14ac:dyDescent="0.4">
      <c r="A109" s="29" t="s">
        <v>65</v>
      </c>
      <c r="B109" s="30">
        <v>100</v>
      </c>
      <c r="C109" s="148">
        <v>2</v>
      </c>
      <c r="D109" s="322">
        <v>0.40600000000000003</v>
      </c>
      <c r="E109" s="179">
        <f t="shared" si="1"/>
        <v>394.021308465125</v>
      </c>
      <c r="F109" s="150">
        <f t="shared" si="2"/>
        <v>0.98505327116281249</v>
      </c>
    </row>
    <row r="110" spans="1:10" ht="26.25" customHeight="1" x14ac:dyDescent="0.4">
      <c r="A110" s="29" t="s">
        <v>66</v>
      </c>
      <c r="B110" s="30">
        <v>1</v>
      </c>
      <c r="C110" s="148">
        <v>3</v>
      </c>
      <c r="D110" s="322">
        <v>0.41399999999999998</v>
      </c>
      <c r="E110" s="179">
        <f t="shared" si="1"/>
        <v>401.78527513438843</v>
      </c>
      <c r="F110" s="150">
        <f t="shared" si="2"/>
        <v>1.0044631878359711</v>
      </c>
    </row>
    <row r="111" spans="1:10" ht="26.25" customHeight="1" x14ac:dyDescent="0.4">
      <c r="A111" s="29" t="s">
        <v>67</v>
      </c>
      <c r="B111" s="30">
        <v>1</v>
      </c>
      <c r="C111" s="148">
        <v>4</v>
      </c>
      <c r="D111" s="322">
        <v>0.40100000000000002</v>
      </c>
      <c r="E111" s="179">
        <f t="shared" si="1"/>
        <v>389.16882929683527</v>
      </c>
      <c r="F111" s="150">
        <f t="shared" si="2"/>
        <v>0.97292207324208813</v>
      </c>
    </row>
    <row r="112" spans="1:10" ht="26.25" customHeight="1" x14ac:dyDescent="0.4">
      <c r="A112" s="29" t="s">
        <v>68</v>
      </c>
      <c r="B112" s="30">
        <v>1</v>
      </c>
      <c r="C112" s="148">
        <v>5</v>
      </c>
      <c r="D112" s="322">
        <v>0.40500000000000003</v>
      </c>
      <c r="E112" s="179">
        <f t="shared" si="1"/>
        <v>393.05081263146701</v>
      </c>
      <c r="F112" s="150">
        <f t="shared" si="2"/>
        <v>0.98262703157866749</v>
      </c>
    </row>
    <row r="113" spans="1:10" ht="26.25" customHeight="1" x14ac:dyDescent="0.4">
      <c r="A113" s="29" t="s">
        <v>70</v>
      </c>
      <c r="B113" s="30">
        <v>1</v>
      </c>
      <c r="C113" s="151">
        <v>6</v>
      </c>
      <c r="D113" s="323">
        <v>0.41</v>
      </c>
      <c r="E113" s="180">
        <f t="shared" si="1"/>
        <v>397.90329179975669</v>
      </c>
      <c r="F113" s="152">
        <f t="shared" si="2"/>
        <v>0.99475822949939174</v>
      </c>
    </row>
    <row r="114" spans="1:10" ht="26.25" customHeight="1" x14ac:dyDescent="0.4">
      <c r="A114" s="29" t="s">
        <v>71</v>
      </c>
      <c r="B114" s="30">
        <v>1</v>
      </c>
      <c r="C114" s="148"/>
      <c r="D114" s="102"/>
      <c r="E114" s="3"/>
      <c r="F114" s="153"/>
    </row>
    <row r="115" spans="1:10" ht="26.25" customHeight="1" x14ac:dyDescent="0.4">
      <c r="A115" s="29" t="s">
        <v>72</v>
      </c>
      <c r="B115" s="30">
        <v>1</v>
      </c>
      <c r="C115" s="148"/>
      <c r="D115" s="154" t="s">
        <v>40</v>
      </c>
      <c r="E115" s="182">
        <f>AVERAGE(E108:E113)</f>
        <v>395.47705221561188</v>
      </c>
      <c r="F115" s="155">
        <f>AVERAGE(F108:F113)</f>
        <v>0.98869263053902967</v>
      </c>
    </row>
    <row r="116" spans="1:10" ht="27" customHeight="1" x14ac:dyDescent="0.4">
      <c r="A116" s="29" t="s">
        <v>73</v>
      </c>
      <c r="B116" s="61">
        <f>(B115/B114)*(B113/B112)*(B111/B110)*(B109/B108)*B107</f>
        <v>18000</v>
      </c>
      <c r="C116" s="156"/>
      <c r="D116" s="121" t="s">
        <v>53</v>
      </c>
      <c r="E116" s="157">
        <f>STDEV(E108:E113)/E115</f>
        <v>1.1056569645220825E-2</v>
      </c>
      <c r="F116" s="157">
        <f>STDEV(F108:F113)/F115</f>
        <v>1.1056569645220863E-2</v>
      </c>
      <c r="I116" s="3"/>
    </row>
    <row r="117" spans="1:10" ht="27" customHeight="1" x14ac:dyDescent="0.4">
      <c r="A117" s="285" t="s">
        <v>47</v>
      </c>
      <c r="B117" s="286"/>
      <c r="C117" s="158"/>
      <c r="D117" s="159" t="s">
        <v>54</v>
      </c>
      <c r="E117" s="160">
        <f>COUNT(E108:E113)</f>
        <v>6</v>
      </c>
      <c r="F117" s="160">
        <f>COUNT(F108:F113)</f>
        <v>6</v>
      </c>
      <c r="I117" s="3"/>
      <c r="J117" s="141"/>
    </row>
    <row r="118" spans="1:10" ht="19.5" customHeight="1" x14ac:dyDescent="0.3">
      <c r="A118" s="287"/>
      <c r="B118" s="288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69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76</v>
      </c>
      <c r="B120" s="109" t="s">
        <v>93</v>
      </c>
      <c r="C120" s="289" t="str">
        <f>B20</f>
        <v>Sofosbuvir 400mg</v>
      </c>
      <c r="D120" s="289"/>
      <c r="E120" s="110" t="s">
        <v>94</v>
      </c>
      <c r="F120" s="110"/>
      <c r="G120" s="111">
        <f>F115</f>
        <v>0.98869263053902967</v>
      </c>
      <c r="H120" s="3"/>
      <c r="I120" s="3"/>
    </row>
    <row r="121" spans="1:10" ht="19.5" customHeight="1" x14ac:dyDescent="0.3">
      <c r="A121" s="161"/>
      <c r="B121" s="161"/>
      <c r="C121" s="162"/>
      <c r="D121" s="162"/>
      <c r="E121" s="162"/>
      <c r="F121" s="162"/>
      <c r="G121" s="162"/>
      <c r="H121" s="162"/>
    </row>
    <row r="122" spans="1:10" ht="18.75" x14ac:dyDescent="0.3">
      <c r="B122" s="290" t="s">
        <v>95</v>
      </c>
      <c r="C122" s="290"/>
      <c r="E122" s="116" t="s">
        <v>96</v>
      </c>
      <c r="F122" s="163"/>
      <c r="G122" s="290" t="s">
        <v>97</v>
      </c>
      <c r="H122" s="290"/>
    </row>
    <row r="123" spans="1:10" ht="69.95" customHeight="1" x14ac:dyDescent="0.3">
      <c r="A123" s="164" t="s">
        <v>98</v>
      </c>
      <c r="B123" s="165"/>
      <c r="C123" s="165"/>
      <c r="E123" s="165"/>
      <c r="F123" s="3"/>
      <c r="G123" s="166"/>
      <c r="H123" s="166"/>
    </row>
    <row r="124" spans="1:10" ht="69.95" customHeight="1" x14ac:dyDescent="0.3">
      <c r="A124" s="164" t="s">
        <v>99</v>
      </c>
      <c r="B124" s="167"/>
      <c r="C124" s="167"/>
      <c r="E124" s="167"/>
      <c r="F124" s="3"/>
      <c r="G124" s="168"/>
      <c r="H124" s="168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Sofosbuvir </vt:lpstr>
      <vt:lpstr>'Sofosbuvir '!Print_Area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2016-08-18T09:41:29Z</cp:lastPrinted>
  <dcterms:created xsi:type="dcterms:W3CDTF">2005-07-05T10:19:27Z</dcterms:created>
  <dcterms:modified xsi:type="dcterms:W3CDTF">2016-09-28T05:47:00Z</dcterms:modified>
  <cp:category/>
</cp:coreProperties>
</file>