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9915" activeTab="2"/>
  </bookViews>
  <sheets>
    <sheet name="SST" sheetId="1" r:id="rId1"/>
    <sheet name="Uniformity" sheetId="2" r:id="rId2"/>
    <sheet name="Moxifloxacin Hydrochloride" sheetId="3" r:id="rId3"/>
    <sheet name="Sheet1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30" i="4" l="1"/>
  <c r="I34" i="4" l="1"/>
  <c r="K33" i="4" s="1"/>
  <c r="I33" i="4"/>
  <c r="G40" i="4"/>
  <c r="B21" i="1"/>
  <c r="C120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29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0" i="2" l="1"/>
  <c r="D25" i="2"/>
  <c r="D31" i="2"/>
  <c r="C49" i="2"/>
  <c r="D27" i="2"/>
  <c r="D32" i="2"/>
  <c r="D37" i="2"/>
  <c r="D43" i="2"/>
  <c r="D49" i="2"/>
  <c r="D35" i="2"/>
  <c r="D36" i="2"/>
  <c r="D28" i="2"/>
  <c r="D33" i="2"/>
  <c r="D39" i="2"/>
  <c r="D41" i="2"/>
  <c r="F99" i="3"/>
  <c r="D101" i="3"/>
  <c r="G93" i="3" s="1"/>
  <c r="I92" i="3"/>
  <c r="D45" i="3"/>
  <c r="D46" i="3" s="1"/>
  <c r="I39" i="3"/>
  <c r="F44" i="3"/>
  <c r="F45" i="3" s="1"/>
  <c r="F46" i="3" s="1"/>
  <c r="D102" i="3"/>
  <c r="G91" i="3"/>
  <c r="G94" i="3"/>
  <c r="D49" i="3"/>
  <c r="E41" i="3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G92" i="3" l="1"/>
  <c r="E39" i="3"/>
  <c r="E38" i="3"/>
  <c r="E40" i="3"/>
  <c r="G95" i="3"/>
  <c r="E92" i="3"/>
  <c r="G40" i="3"/>
  <c r="G38" i="3"/>
  <c r="G39" i="3"/>
  <c r="G41" i="3"/>
  <c r="E91" i="3"/>
  <c r="E94" i="3"/>
  <c r="E93" i="3"/>
  <c r="E42" i="3" l="1"/>
  <c r="D50" i="3"/>
  <c r="G61" i="3" s="1"/>
  <c r="H61" i="3" s="1"/>
  <c r="G42" i="3"/>
  <c r="D52" i="3"/>
  <c r="G67" i="3"/>
  <c r="H67" i="3" s="1"/>
  <c r="G71" i="3"/>
  <c r="H71" i="3" s="1"/>
  <c r="G63" i="3"/>
  <c r="H63" i="3" s="1"/>
  <c r="E95" i="3"/>
  <c r="D103" i="3"/>
  <c r="D105" i="3"/>
  <c r="G64" i="3" l="1"/>
  <c r="H64" i="3" s="1"/>
  <c r="G65" i="3"/>
  <c r="H65" i="3" s="1"/>
  <c r="G66" i="3"/>
  <c r="H66" i="3" s="1"/>
  <c r="G60" i="3"/>
  <c r="H60" i="3" s="1"/>
  <c r="G70" i="3"/>
  <c r="H70" i="3" s="1"/>
  <c r="G69" i="3"/>
  <c r="H69" i="3" s="1"/>
  <c r="G62" i="3"/>
  <c r="H62" i="3" s="1"/>
  <c r="G68" i="3"/>
  <c r="H68" i="3" s="1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F115" i="3" l="1"/>
  <c r="F117" i="3"/>
  <c r="G76" i="3"/>
  <c r="H73" i="3"/>
  <c r="G120" i="3" l="1"/>
  <c r="F116" i="3"/>
</calcChain>
</file>

<file path=xl/sharedStrings.xml><?xml version="1.0" encoding="utf-8"?>
<sst xmlns="http://schemas.openxmlformats.org/spreadsheetml/2006/main" count="232" uniqueCount="127">
  <si>
    <t>HPLC System Suitability Report</t>
  </si>
  <si>
    <t>Analysis Data</t>
  </si>
  <si>
    <t>Assay</t>
  </si>
  <si>
    <t>Sample(s)</t>
  </si>
  <si>
    <t>Reference Substance:</t>
  </si>
  <si>
    <t>MOXAF 400 MG</t>
  </si>
  <si>
    <t>% age Purity:</t>
  </si>
  <si>
    <t>NDQD201602747</t>
  </si>
  <si>
    <t>Weight (mg):</t>
  </si>
  <si>
    <t>Moxifloxacin hydrochloride 400mg</t>
  </si>
  <si>
    <t>Standard Conc (mg/mL):</t>
  </si>
  <si>
    <t>Each tablets contains moxifloxacin hydrochloride 400mg</t>
  </si>
  <si>
    <t>2016-02-05 09:45:37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</si>
  <si>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</si>
  <si>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</si>
  <si>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</si>
  <si>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</si>
  <si>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</si>
  <si>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</si>
  <si>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</si>
  <si>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</si>
  <si>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</si>
  <si>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</si>
  <si>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</si>
  <si>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</si>
  <si>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</si>
  <si>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</si>
  <si>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</si>
  <si>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</si>
  <si>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</si>
  <si>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</si>
  <si>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</si>
  <si>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</si>
  <si>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</si>
  <si>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</si>
  <si>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</si>
  <si>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</si>
  <si>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</si>
  <si>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</si>
  <si>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</si>
  <si>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</si>
  <si>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</si>
  <si>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</si>
  <si>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</si>
  <si>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</si>
  <si>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</si>
  <si>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</si>
  <si>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</si>
  <si>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</si>
  <si>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</si>
  <si>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</si>
  <si>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</si>
  <si>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</si>
  <si>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</si>
  <si>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</si>
  <si>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</si>
  <si>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</si>
  <si>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</si>
  <si>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</si>
  <si>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</si>
  <si>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</si>
  <si>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</si>
  <si>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</si>
  <si>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</si>
  <si>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</si>
  <si>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</si>
  <si>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</si>
  <si>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</si>
  <si>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</si>
  <si>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</si>
  <si>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</si>
  <si>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</si>
  <si>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</si>
  <si>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</si>
  <si>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</si>
  <si>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</si>
  <si>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</si>
  <si>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</si>
  <si>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</si>
  <si>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</si>
  <si>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</si>
  <si>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</si>
  <si>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</si>
  <si>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</si>
  <si>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</si>
  <si>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</si>
  <si>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</si>
  <si>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</si>
  <si>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</si>
  <si>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</si>
  <si>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</si>
  <si>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</si>
  <si>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</si>
  <si>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</si>
  <si>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</si>
  <si>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</si>
  <si>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</si>
  <si>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</si>
  <si>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</si>
  <si>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</si>
  <si>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</si>
  <si>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</si>
  <si>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</si>
  <si>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</si>
  <si>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</si>
  <si>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</si>
  <si>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</si>
  <si>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</si>
  <si>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</si>
  <si>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</si>
  <si>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</si>
  <si>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</si>
  <si>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</si>
  <si>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</si>
  <si>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</si>
  <si>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</si>
  <si>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</si>
  <si>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</si>
  <si>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</si>
  <si>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</si>
  <si>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</si>
  <si>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</si>
  <si>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</si>
  <si>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</si>
  <si>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</si>
  <si>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30/05/2016  9:45:37 AM</t>
  </si>
  <si>
    <t>M10-4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</si>
</sst>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5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94.73</v>
      </c>
      <c r="C19" s="10"/>
      <c r="D19" s="10"/>
      <c r="E19" s="10"/>
    </row>
    <row r="20" spans="1:6" ht="16.5" customHeight="1" x14ac:dyDescent="0.3">
      <c r="A20" s="7" t="s">
        <v>8</v>
      </c>
      <c r="B20" s="12">
        <v>23.54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B20/50*5/25</f>
        <v>9.4160000000000008E-2</v>
      </c>
      <c r="C21" s="10"/>
      <c r="D21" s="10"/>
      <c r="E21" s="10"/>
    </row>
    <row r="22" spans="1:6" ht="15.75" customHeight="1" x14ac:dyDescent="0.25">
      <c r="A22" s="10"/>
      <c r="B22" s="280" t="s">
        <v>125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54501094</v>
      </c>
      <c r="C24" s="18">
        <v>5637.7</v>
      </c>
      <c r="D24" s="19">
        <v>0.9</v>
      </c>
      <c r="E24" s="20">
        <v>11</v>
      </c>
    </row>
    <row r="25" spans="1:6" ht="16.5" customHeight="1" x14ac:dyDescent="0.3">
      <c r="A25" s="17">
        <v>2</v>
      </c>
      <c r="B25" s="18">
        <v>54528051</v>
      </c>
      <c r="C25" s="18">
        <v>5573.8</v>
      </c>
      <c r="D25" s="19">
        <v>0.9</v>
      </c>
      <c r="E25" s="19">
        <v>11</v>
      </c>
    </row>
    <row r="26" spans="1:6" ht="16.5" customHeight="1" x14ac:dyDescent="0.3">
      <c r="A26" s="17">
        <v>3</v>
      </c>
      <c r="B26" s="18">
        <v>54606741</v>
      </c>
      <c r="C26" s="18">
        <v>5621.3</v>
      </c>
      <c r="D26" s="19">
        <v>1</v>
      </c>
      <c r="E26" s="19">
        <v>11</v>
      </c>
    </row>
    <row r="27" spans="1:6" ht="16.5" customHeight="1" x14ac:dyDescent="0.3">
      <c r="A27" s="17">
        <v>4</v>
      </c>
      <c r="B27" s="18">
        <v>54588829</v>
      </c>
      <c r="C27" s="18">
        <v>5564.9</v>
      </c>
      <c r="D27" s="19">
        <v>1</v>
      </c>
      <c r="E27" s="19">
        <v>11</v>
      </c>
    </row>
    <row r="28" spans="1:6" ht="16.5" customHeight="1" x14ac:dyDescent="0.3">
      <c r="A28" s="17">
        <v>5</v>
      </c>
      <c r="B28" s="18">
        <v>54555039</v>
      </c>
      <c r="C28" s="18">
        <v>5599.4</v>
      </c>
      <c r="D28" s="19">
        <v>1</v>
      </c>
      <c r="E28" s="19">
        <v>11</v>
      </c>
    </row>
    <row r="29" spans="1:6" ht="16.5" customHeight="1" x14ac:dyDescent="0.3">
      <c r="A29" s="17">
        <v>6</v>
      </c>
      <c r="B29" s="21">
        <v>54532700</v>
      </c>
      <c r="C29" s="21">
        <v>5551</v>
      </c>
      <c r="D29" s="22">
        <v>0.9</v>
      </c>
      <c r="E29" s="22">
        <v>11</v>
      </c>
    </row>
    <row r="30" spans="1:6" ht="16.5" customHeight="1" x14ac:dyDescent="0.3">
      <c r="A30" s="23" t="s">
        <v>18</v>
      </c>
      <c r="B30" s="24">
        <f>AVERAGE(B24:B29)</f>
        <v>54552075.666666664</v>
      </c>
      <c r="C30" s="25">
        <f>AVERAGE(C24:C29)</f>
        <v>5591.3499999999995</v>
      </c>
      <c r="D30" s="26">
        <f>AVERAGE(D24:D29)</f>
        <v>0.95000000000000007</v>
      </c>
      <c r="E30" s="26">
        <f>AVERAGE(E24:E29)</f>
        <v>11</v>
      </c>
    </row>
    <row r="31" spans="1:6" ht="16.5" customHeight="1" x14ac:dyDescent="0.3">
      <c r="A31" s="27" t="s">
        <v>19</v>
      </c>
      <c r="B31" s="28">
        <f>(STDEV(B24:B29)/B30)</f>
        <v>7.2862956430260373E-4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F20" sqref="F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731.79</v>
      </c>
      <c r="D24" s="87">
        <f t="shared" ref="D24:D43" si="0">(C24-$C$46)/$C$46</f>
        <v>-6.1171216932368487E-3</v>
      </c>
      <c r="E24" s="53"/>
    </row>
    <row r="25" spans="1:5" ht="15.75" customHeight="1" x14ac:dyDescent="0.3">
      <c r="C25" s="95">
        <v>745.97</v>
      </c>
      <c r="D25" s="88">
        <f t="shared" si="0"/>
        <v>1.314148967667797E-2</v>
      </c>
      <c r="E25" s="53"/>
    </row>
    <row r="26" spans="1:5" ht="15.75" customHeight="1" x14ac:dyDescent="0.3">
      <c r="C26" s="95">
        <v>739.28</v>
      </c>
      <c r="D26" s="88">
        <f t="shared" si="0"/>
        <v>4.055445243340128E-3</v>
      </c>
      <c r="E26" s="53"/>
    </row>
    <row r="27" spans="1:5" ht="15.75" customHeight="1" x14ac:dyDescent="0.3">
      <c r="C27" s="95">
        <v>738.03</v>
      </c>
      <c r="D27" s="88">
        <f t="shared" si="0"/>
        <v>2.3577538320288852E-3</v>
      </c>
      <c r="E27" s="53"/>
    </row>
    <row r="28" spans="1:5" ht="15.75" customHeight="1" x14ac:dyDescent="0.3">
      <c r="C28" s="95">
        <v>740.01</v>
      </c>
      <c r="D28" s="88">
        <f t="shared" si="0"/>
        <v>5.0468970275459176E-3</v>
      </c>
      <c r="E28" s="53"/>
    </row>
    <row r="29" spans="1:5" ht="15.75" customHeight="1" x14ac:dyDescent="0.3">
      <c r="C29" s="95">
        <v>728.18</v>
      </c>
      <c r="D29" s="88">
        <f t="shared" si="0"/>
        <v>-1.1020054489103735E-2</v>
      </c>
      <c r="E29" s="53"/>
    </row>
    <row r="30" spans="1:5" ht="15.75" customHeight="1" x14ac:dyDescent="0.3">
      <c r="C30" s="95">
        <v>736.43</v>
      </c>
      <c r="D30" s="88">
        <f t="shared" si="0"/>
        <v>1.8470882555046429E-4</v>
      </c>
      <c r="E30" s="53"/>
    </row>
    <row r="31" spans="1:5" ht="15.75" customHeight="1" x14ac:dyDescent="0.3">
      <c r="C31" s="95">
        <v>739.17</v>
      </c>
      <c r="D31" s="88">
        <f t="shared" si="0"/>
        <v>3.90604839914472E-3</v>
      </c>
      <c r="E31" s="53"/>
    </row>
    <row r="32" spans="1:5" ht="15.75" customHeight="1" x14ac:dyDescent="0.3">
      <c r="C32" s="95">
        <v>728.74</v>
      </c>
      <c r="D32" s="88">
        <f t="shared" si="0"/>
        <v>-1.0259488736836218E-2</v>
      </c>
      <c r="E32" s="53"/>
    </row>
    <row r="33" spans="1:7" ht="15.75" customHeight="1" x14ac:dyDescent="0.3">
      <c r="C33" s="95">
        <v>729.09</v>
      </c>
      <c r="D33" s="88">
        <f t="shared" si="0"/>
        <v>-9.7841351416690387E-3</v>
      </c>
      <c r="E33" s="53"/>
    </row>
    <row r="34" spans="1:7" ht="15.75" customHeight="1" x14ac:dyDescent="0.3">
      <c r="C34" s="95">
        <v>738.13</v>
      </c>
      <c r="D34" s="88">
        <f t="shared" si="0"/>
        <v>2.4935691449338156E-3</v>
      </c>
      <c r="E34" s="53"/>
    </row>
    <row r="35" spans="1:7" ht="15.75" customHeight="1" x14ac:dyDescent="0.3">
      <c r="C35" s="95">
        <v>737.91</v>
      </c>
      <c r="D35" s="88">
        <f t="shared" si="0"/>
        <v>2.194775456543E-3</v>
      </c>
      <c r="E35" s="53"/>
    </row>
    <row r="36" spans="1:7" ht="15.75" customHeight="1" x14ac:dyDescent="0.3">
      <c r="C36" s="95">
        <v>730.51</v>
      </c>
      <c r="D36" s="88">
        <f t="shared" si="0"/>
        <v>-7.8555576984195245E-3</v>
      </c>
      <c r="E36" s="53"/>
    </row>
    <row r="37" spans="1:7" ht="15.75" customHeight="1" x14ac:dyDescent="0.3">
      <c r="C37" s="95">
        <v>734.62</v>
      </c>
      <c r="D37" s="88">
        <f t="shared" si="0"/>
        <v>-2.2735483380281404E-3</v>
      </c>
      <c r="E37" s="53"/>
    </row>
    <row r="38" spans="1:7" ht="15.75" customHeight="1" x14ac:dyDescent="0.3">
      <c r="C38" s="95">
        <v>735.04</v>
      </c>
      <c r="D38" s="88">
        <f t="shared" si="0"/>
        <v>-1.7031240238276186E-3</v>
      </c>
      <c r="E38" s="53"/>
    </row>
    <row r="39" spans="1:7" ht="15.75" customHeight="1" x14ac:dyDescent="0.3">
      <c r="C39" s="95">
        <v>733.42</v>
      </c>
      <c r="D39" s="88">
        <f t="shared" si="0"/>
        <v>-3.9033320928869948E-3</v>
      </c>
      <c r="E39" s="53"/>
    </row>
    <row r="40" spans="1:7" ht="15.75" customHeight="1" x14ac:dyDescent="0.3">
      <c r="C40" s="95">
        <v>733.59</v>
      </c>
      <c r="D40" s="88">
        <f t="shared" si="0"/>
        <v>-3.6724460609485672E-3</v>
      </c>
      <c r="E40" s="53"/>
    </row>
    <row r="41" spans="1:7" ht="15.75" customHeight="1" x14ac:dyDescent="0.3">
      <c r="C41" s="95">
        <v>741.53</v>
      </c>
      <c r="D41" s="88">
        <f t="shared" si="0"/>
        <v>7.111289783700364E-3</v>
      </c>
      <c r="E41" s="53"/>
    </row>
    <row r="42" spans="1:7" ht="15.75" customHeight="1" x14ac:dyDescent="0.3">
      <c r="C42" s="95">
        <v>740.84</v>
      </c>
      <c r="D42" s="88">
        <f t="shared" si="0"/>
        <v>6.1741641246566385E-3</v>
      </c>
      <c r="E42" s="53"/>
    </row>
    <row r="43" spans="1:7" ht="16.5" customHeight="1" x14ac:dyDescent="0.3">
      <c r="C43" s="96">
        <v>743.6</v>
      </c>
      <c r="D43" s="89">
        <f t="shared" si="0"/>
        <v>9.922666760831849E-3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14725.880000000003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736.2940000000001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736.2940000000001</v>
      </c>
      <c r="C49" s="93">
        <f>-IF(C46&lt;=80,10%,IF(C46&lt;250,7.5%,5%))</f>
        <v>-0.05</v>
      </c>
      <c r="D49" s="81">
        <f>IF(C46&lt;=80,C46*0.9,IF(C46&lt;250,C46*0.925,C46*0.95))</f>
        <v>699.47930000000008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773.10870000000011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19" zoomScale="46" zoomScaleNormal="40" zoomScalePageLayoutView="46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9" t="s">
        <v>45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46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x14ac:dyDescent="0.3">
      <c r="A15" s="98"/>
    </row>
    <row r="16" spans="1:9" ht="19.5" customHeight="1" x14ac:dyDescent="0.3">
      <c r="A16" s="292" t="s">
        <v>31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47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100" t="s">
        <v>33</v>
      </c>
      <c r="B18" s="291" t="s">
        <v>5</v>
      </c>
      <c r="C18" s="291"/>
      <c r="D18" s="26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6" t="s">
        <v>9</v>
      </c>
      <c r="C20" s="29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6" t="s">
        <v>11</v>
      </c>
      <c r="C21" s="296"/>
      <c r="D21" s="296"/>
      <c r="E21" s="296"/>
      <c r="F21" s="296"/>
      <c r="G21" s="296"/>
      <c r="H21" s="296"/>
      <c r="I21" s="104"/>
    </row>
    <row r="22" spans="1:14" ht="26.25" customHeight="1" x14ac:dyDescent="0.4">
      <c r="A22" s="100" t="s">
        <v>37</v>
      </c>
      <c r="B22" s="105">
        <v>42517.406678240739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42520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1" t="s">
        <v>9</v>
      </c>
      <c r="C26" s="291"/>
    </row>
    <row r="27" spans="1:14" ht="26.25" customHeight="1" x14ac:dyDescent="0.4">
      <c r="A27" s="109" t="s">
        <v>48</v>
      </c>
      <c r="B27" s="297" t="s">
        <v>126</v>
      </c>
      <c r="C27" s="297"/>
    </row>
    <row r="28" spans="1:14" ht="27" customHeight="1" x14ac:dyDescent="0.4">
      <c r="A28" s="109" t="s">
        <v>6</v>
      </c>
      <c r="B28" s="110">
        <v>94.73</v>
      </c>
    </row>
    <row r="29" spans="1:14" s="14" customFormat="1" ht="27" customHeight="1" x14ac:dyDescent="0.4">
      <c r="A29" s="109" t="s">
        <v>49</v>
      </c>
      <c r="B29" s="111">
        <v>0</v>
      </c>
      <c r="C29" s="298" t="s">
        <v>50</v>
      </c>
      <c r="D29" s="299"/>
      <c r="E29" s="299"/>
      <c r="F29" s="299"/>
      <c r="G29" s="30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94.73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1" t="s">
        <v>53</v>
      </c>
      <c r="D31" s="302"/>
      <c r="E31" s="302"/>
      <c r="F31" s="302"/>
      <c r="G31" s="302"/>
      <c r="H31" s="30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1" t="s">
        <v>55</v>
      </c>
      <c r="D32" s="302"/>
      <c r="E32" s="302"/>
      <c r="F32" s="302"/>
      <c r="G32" s="302"/>
      <c r="H32" s="30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4" t="s">
        <v>59</v>
      </c>
      <c r="E36" s="305"/>
      <c r="F36" s="304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50072024</v>
      </c>
      <c r="E38" s="133">
        <f>IF(ISBLANK(D38),"-",$D$48/$D$45*D38)</f>
        <v>54831556.645158343</v>
      </c>
      <c r="F38" s="132">
        <v>54327933</v>
      </c>
      <c r="G38" s="134">
        <f>IF(ISBLANK(F38),"-",$D$48/$F$45*F38)</f>
        <v>55186964.458852187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50197568</v>
      </c>
      <c r="E39" s="138">
        <f>IF(ISBLANK(D39),"-",$D$48/$D$45*D39)</f>
        <v>54969034.0706257</v>
      </c>
      <c r="F39" s="137">
        <v>54460552</v>
      </c>
      <c r="G39" s="139">
        <f>IF(ISBLANK(F39),"-",$D$48/$F$45*F39)</f>
        <v>55321680.426042922</v>
      </c>
      <c r="I39" s="308">
        <f>ABS((F43/D43*D42)-F42)/D42</f>
        <v>7.2942160159889602E-3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50119081</v>
      </c>
      <c r="E40" s="138">
        <f>IF(ISBLANK(D40),"-",$D$48/$D$45*D40)</f>
        <v>54883086.588526547</v>
      </c>
      <c r="F40" s="137">
        <v>54428720</v>
      </c>
      <c r="G40" s="139">
        <f>IF(ISBLANK(F40),"-",$D$48/$F$45*F40)</f>
        <v>55289345.099523984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50129557.666666664</v>
      </c>
      <c r="E42" s="148">
        <f>AVERAGE(E38:E41)</f>
        <v>54894559.101436861</v>
      </c>
      <c r="F42" s="147">
        <f>AVERAGE(F38:F41)</f>
        <v>54405735</v>
      </c>
      <c r="G42" s="149">
        <f>AVERAGE(G38:G41)</f>
        <v>55265996.661473036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24.1</v>
      </c>
      <c r="E43" s="140"/>
      <c r="F43" s="152">
        <v>25.98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24.1</v>
      </c>
      <c r="E44" s="155"/>
      <c r="F44" s="154">
        <f>F43*$B$34</f>
        <v>25.98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22.829930000000004</v>
      </c>
      <c r="E45" s="158"/>
      <c r="F45" s="157">
        <f>F44*$B$30/100</f>
        <v>24.610854</v>
      </c>
      <c r="H45" s="150"/>
    </row>
    <row r="46" spans="1:14" ht="19.5" customHeight="1" x14ac:dyDescent="0.3">
      <c r="A46" s="309" t="s">
        <v>78</v>
      </c>
      <c r="B46" s="310"/>
      <c r="C46" s="153" t="s">
        <v>79</v>
      </c>
      <c r="D46" s="159">
        <f>D45/$B$45</f>
        <v>9.1319720000000021E-2</v>
      </c>
      <c r="E46" s="160"/>
      <c r="F46" s="161">
        <f>F45/$B$45</f>
        <v>9.8443416000000006E-2</v>
      </c>
      <c r="H46" s="150"/>
    </row>
    <row r="47" spans="1:14" ht="27" customHeight="1" x14ac:dyDescent="0.4">
      <c r="A47" s="311"/>
      <c r="B47" s="312"/>
      <c r="C47" s="162" t="s">
        <v>80</v>
      </c>
      <c r="D47" s="163">
        <v>0.1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55080277.881454945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3.8640401270509869E-3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tablets contains moxifloxacin hydrochloride 400mg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>Moxifloxacin hydrochloride 400mg</v>
      </c>
      <c r="H56" s="179"/>
    </row>
    <row r="57" spans="1:12" ht="18.75" x14ac:dyDescent="0.3">
      <c r="A57" s="176" t="s">
        <v>88</v>
      </c>
      <c r="B57" s="267">
        <f>Uniformity!C46</f>
        <v>736.2940000000001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3" t="s">
        <v>94</v>
      </c>
      <c r="D60" s="316">
        <v>84.31</v>
      </c>
      <c r="E60" s="182">
        <v>1</v>
      </c>
      <c r="F60" s="183">
        <v>48573577</v>
      </c>
      <c r="G60" s="268">
        <f>IF(ISBLANK(F60),"-",(F60/$D$50*$D$47*$B$68)*($B$57/$D$60))</f>
        <v>385.07572374998688</v>
      </c>
      <c r="H60" s="184">
        <f t="shared" ref="H60:H71" si="0">IF(ISBLANK(F60),"-",G60/$B$56)</f>
        <v>0.96268930937496722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4"/>
      <c r="D61" s="317"/>
      <c r="E61" s="185">
        <v>2</v>
      </c>
      <c r="F61" s="137">
        <v>48536745</v>
      </c>
      <c r="G61" s="269">
        <f>IF(ISBLANK(F61),"-",(F61/$D$50*$D$47*$B$68)*($B$57/$D$60))</f>
        <v>384.78373147902107</v>
      </c>
      <c r="H61" s="186">
        <f t="shared" si="0"/>
        <v>0.96195932869755263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4"/>
      <c r="D62" s="317"/>
      <c r="E62" s="185">
        <v>3</v>
      </c>
      <c r="F62" s="187">
        <v>48337792</v>
      </c>
      <c r="G62" s="269">
        <f>IF(ISBLANK(F62),"-",(F62/$D$50*$D$47*$B$68)*($B$57/$D$60))</f>
        <v>383.20649596953353</v>
      </c>
      <c r="H62" s="186">
        <f t="shared" si="0"/>
        <v>0.95801623992383389</v>
      </c>
      <c r="L62" s="112"/>
    </row>
    <row r="63" spans="1:12" ht="27" customHeight="1" x14ac:dyDescent="0.4">
      <c r="A63" s="124" t="s">
        <v>97</v>
      </c>
      <c r="B63" s="125">
        <v>1</v>
      </c>
      <c r="C63" s="315"/>
      <c r="D63" s="318"/>
      <c r="E63" s="188">
        <v>4</v>
      </c>
      <c r="F63" s="189"/>
      <c r="G63" s="269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3" t="s">
        <v>99</v>
      </c>
      <c r="D64" s="316">
        <v>88.14</v>
      </c>
      <c r="E64" s="182">
        <v>1</v>
      </c>
      <c r="F64" s="183">
        <v>52579799</v>
      </c>
      <c r="G64" s="270">
        <f>IF(ISBLANK(F64),"-",(F64/$D$50*$D$47*$B$68)*($B$57/$D$64))</f>
        <v>398.72275237084779</v>
      </c>
      <c r="H64" s="190">
        <f t="shared" si="0"/>
        <v>0.99680688092711944</v>
      </c>
    </row>
    <row r="65" spans="1:8" ht="26.25" customHeight="1" x14ac:dyDescent="0.4">
      <c r="A65" s="124" t="s">
        <v>100</v>
      </c>
      <c r="B65" s="125">
        <v>1</v>
      </c>
      <c r="C65" s="314"/>
      <c r="D65" s="317"/>
      <c r="E65" s="185">
        <v>2</v>
      </c>
      <c r="F65" s="137">
        <v>52524129</v>
      </c>
      <c r="G65" s="271">
        <f>IF(ISBLANK(F65),"-",(F65/$D$50*$D$47*$B$68)*($B$57/$D$64))</f>
        <v>398.30059602855204</v>
      </c>
      <c r="H65" s="191">
        <f t="shared" si="0"/>
        <v>0.99575149007138009</v>
      </c>
    </row>
    <row r="66" spans="1:8" ht="26.25" customHeight="1" x14ac:dyDescent="0.4">
      <c r="A66" s="124" t="s">
        <v>101</v>
      </c>
      <c r="B66" s="125">
        <v>1</v>
      </c>
      <c r="C66" s="314"/>
      <c r="D66" s="317"/>
      <c r="E66" s="185">
        <v>3</v>
      </c>
      <c r="F66" s="137">
        <v>52336137</v>
      </c>
      <c r="G66" s="271">
        <f>IF(ISBLANK(F66),"-",(F66/$D$50*$D$47*$B$68)*($B$57/$D$64))</f>
        <v>396.87501645066692</v>
      </c>
      <c r="H66" s="191">
        <f t="shared" si="0"/>
        <v>0.99218754112666729</v>
      </c>
    </row>
    <row r="67" spans="1:8" ht="27" customHeight="1" x14ac:dyDescent="0.4">
      <c r="A67" s="124" t="s">
        <v>102</v>
      </c>
      <c r="B67" s="125">
        <v>1</v>
      </c>
      <c r="C67" s="315"/>
      <c r="D67" s="318"/>
      <c r="E67" s="188">
        <v>4</v>
      </c>
      <c r="F67" s="189"/>
      <c r="G67" s="272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500</v>
      </c>
      <c r="C68" s="313" t="s">
        <v>104</v>
      </c>
      <c r="D68" s="316">
        <v>81.14</v>
      </c>
      <c r="E68" s="182">
        <v>1</v>
      </c>
      <c r="F68" s="183"/>
      <c r="G68" s="270" t="str">
        <f>IF(ISBLANK(F68),"-",(F68/$D$50*$D$47*$B$68)*($B$57/$D$68))</f>
        <v>-</v>
      </c>
      <c r="H68" s="186" t="str">
        <f t="shared" si="0"/>
        <v>-</v>
      </c>
    </row>
    <row r="69" spans="1:8" ht="27" customHeight="1" x14ac:dyDescent="0.4">
      <c r="A69" s="172" t="s">
        <v>105</v>
      </c>
      <c r="B69" s="194">
        <f>(D47*B68)/B56*B57</f>
        <v>92.036750000000012</v>
      </c>
      <c r="C69" s="314"/>
      <c r="D69" s="317"/>
      <c r="E69" s="185">
        <v>2</v>
      </c>
      <c r="F69" s="137"/>
      <c r="G69" s="271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326" t="s">
        <v>78</v>
      </c>
      <c r="B70" s="327"/>
      <c r="C70" s="314"/>
      <c r="D70" s="317"/>
      <c r="E70" s="185">
        <v>3</v>
      </c>
      <c r="F70" s="137"/>
      <c r="G70" s="271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328"/>
      <c r="B71" s="329"/>
      <c r="C71" s="325"/>
      <c r="D71" s="318"/>
      <c r="E71" s="188">
        <v>4</v>
      </c>
      <c r="F71" s="189"/>
      <c r="G71" s="272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7">
        <f>AVERAGE(G60:G71)</f>
        <v>391.16071934143469</v>
      </c>
      <c r="H72" s="199">
        <f>AVERAGE(H60:H71)</f>
        <v>0.97790179835358682</v>
      </c>
    </row>
    <row r="73" spans="1:8" ht="26.25" customHeight="1" x14ac:dyDescent="0.4">
      <c r="C73" s="196"/>
      <c r="D73" s="196"/>
      <c r="E73" s="196"/>
      <c r="F73" s="200" t="s">
        <v>84</v>
      </c>
      <c r="G73" s="273">
        <f>STDEV(G60:G71)/G72</f>
        <v>1.9191700103498723E-2</v>
      </c>
      <c r="H73" s="273">
        <f>STDEV(H60:H71)/H72</f>
        <v>1.9191700103498712E-2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321" t="str">
        <f>B20</f>
        <v>Moxifloxacin hydrochloride 400mg</v>
      </c>
      <c r="D76" s="321"/>
      <c r="E76" s="205" t="s">
        <v>108</v>
      </c>
      <c r="F76" s="205"/>
      <c r="G76" s="206">
        <f>H72</f>
        <v>0.97790179835358682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7" t="str">
        <f>B26</f>
        <v>Moxifloxacin hydrochloride 400mg</v>
      </c>
      <c r="C79" s="307"/>
    </row>
    <row r="80" spans="1:8" ht="26.25" customHeight="1" x14ac:dyDescent="0.4">
      <c r="A80" s="109" t="s">
        <v>48</v>
      </c>
      <c r="B80" s="307" t="str">
        <f>B27</f>
        <v>M10-4</v>
      </c>
      <c r="C80" s="307"/>
    </row>
    <row r="81" spans="1:12" ht="27" customHeight="1" x14ac:dyDescent="0.4">
      <c r="A81" s="109" t="s">
        <v>6</v>
      </c>
      <c r="B81" s="208">
        <f>B28</f>
        <v>94.73</v>
      </c>
    </row>
    <row r="82" spans="1:12" s="14" customFormat="1" ht="27" customHeight="1" x14ac:dyDescent="0.4">
      <c r="A82" s="109" t="s">
        <v>49</v>
      </c>
      <c r="B82" s="111">
        <v>0</v>
      </c>
      <c r="C82" s="298" t="s">
        <v>50</v>
      </c>
      <c r="D82" s="299"/>
      <c r="E82" s="299"/>
      <c r="F82" s="299"/>
      <c r="G82" s="30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94.73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1" t="s">
        <v>111</v>
      </c>
      <c r="D84" s="302"/>
      <c r="E84" s="302"/>
      <c r="F84" s="302"/>
      <c r="G84" s="302"/>
      <c r="H84" s="30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1" t="s">
        <v>112</v>
      </c>
      <c r="D85" s="302"/>
      <c r="E85" s="302"/>
      <c r="F85" s="302"/>
      <c r="G85" s="302"/>
      <c r="H85" s="30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4" t="s">
        <v>60</v>
      </c>
      <c r="G89" s="306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0.61699999999999999</v>
      </c>
      <c r="E91" s="133">
        <f>IF(ISBLANK(D91),"-",$D$101/$D$98*D91)</f>
        <v>0.5702870308234963</v>
      </c>
      <c r="F91" s="132">
        <v>0.63260000000000005</v>
      </c>
      <c r="G91" s="134">
        <f>IF(ISBLANK(F91),"-",$D$101/$F$98*F91)</f>
        <v>0.57652825167516042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0.61929999999999996</v>
      </c>
      <c r="E92" s="138">
        <f>IF(ISBLANK(D92),"-",$D$101/$D$98*D92)</f>
        <v>0.57241289819933749</v>
      </c>
      <c r="F92" s="137">
        <v>0.63290000000000002</v>
      </c>
      <c r="G92" s="139">
        <f>IF(ISBLANK(F92),"-",$D$101/$F$98*F92)</f>
        <v>0.57680166058363747</v>
      </c>
      <c r="I92" s="308">
        <f>ABS((F96/D96*D95)-F95)/D95</f>
        <v>9.3773648469081209E-3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0.61839999999999995</v>
      </c>
      <c r="E93" s="138">
        <f>IF(ISBLANK(D93),"-",$D$101/$D$98*D93)</f>
        <v>0.57158103705226926</v>
      </c>
      <c r="F93" s="137">
        <v>0.63290000000000002</v>
      </c>
      <c r="G93" s="139">
        <f>IF(ISBLANK(F93),"-",$D$101/$F$98*F93)</f>
        <v>0.57680166058363747</v>
      </c>
      <c r="I93" s="308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0.6182333333333333</v>
      </c>
      <c r="E95" s="148">
        <f>AVERAGE(E91:E94)</f>
        <v>0.57142698869170105</v>
      </c>
      <c r="F95" s="218">
        <f>AVERAGE(F91:F94)</f>
        <v>0.63280000000000003</v>
      </c>
      <c r="G95" s="219">
        <f>AVERAGE(G91:G94)</f>
        <v>0.57671052428081182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152">
        <v>25.38</v>
      </c>
      <c r="E96" s="140"/>
      <c r="F96" s="152">
        <v>25.74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25.38</v>
      </c>
      <c r="E97" s="155"/>
      <c r="F97" s="154">
        <f>F96*$B$87</f>
        <v>25.74</v>
      </c>
    </row>
    <row r="98" spans="1:10" ht="19.5" customHeight="1" x14ac:dyDescent="0.3">
      <c r="A98" s="124" t="s">
        <v>76</v>
      </c>
      <c r="B98" s="223">
        <f>(B97/B96)*(B95/B94)*(B93/B92)*(B91/B90)*B89</f>
        <v>1000</v>
      </c>
      <c r="C98" s="221" t="s">
        <v>115</v>
      </c>
      <c r="D98" s="224">
        <f>D97*$B$83/100</f>
        <v>24.042474000000002</v>
      </c>
      <c r="E98" s="158"/>
      <c r="F98" s="157">
        <f>F97*$B$83/100</f>
        <v>24.383502</v>
      </c>
    </row>
    <row r="99" spans="1:10" ht="19.5" customHeight="1" x14ac:dyDescent="0.3">
      <c r="A99" s="309" t="s">
        <v>78</v>
      </c>
      <c r="B99" s="323"/>
      <c r="C99" s="221" t="s">
        <v>116</v>
      </c>
      <c r="D99" s="225">
        <f>D98/$B$98</f>
        <v>2.4042474000000001E-2</v>
      </c>
      <c r="E99" s="158"/>
      <c r="F99" s="161">
        <f>F98/$B$98</f>
        <v>2.4383502000000001E-2</v>
      </c>
      <c r="G99" s="226"/>
      <c r="H99" s="150"/>
    </row>
    <row r="100" spans="1:10" ht="19.5" customHeight="1" x14ac:dyDescent="0.3">
      <c r="A100" s="311"/>
      <c r="B100" s="324"/>
      <c r="C100" s="221" t="s">
        <v>80</v>
      </c>
      <c r="D100" s="227">
        <f>$B$56/$B$116</f>
        <v>2.2222222222222223E-2</v>
      </c>
      <c r="F100" s="166"/>
      <c r="G100" s="228"/>
      <c r="H100" s="150"/>
    </row>
    <row r="101" spans="1:10" ht="18.75" x14ac:dyDescent="0.3">
      <c r="C101" s="221" t="s">
        <v>81</v>
      </c>
      <c r="D101" s="222">
        <f>D100*$B$98</f>
        <v>22.222222222222221</v>
      </c>
      <c r="F101" s="166"/>
      <c r="G101" s="226"/>
      <c r="H101" s="150"/>
    </row>
    <row r="102" spans="1:10" ht="19.5" customHeight="1" x14ac:dyDescent="0.3">
      <c r="C102" s="229" t="s">
        <v>82</v>
      </c>
      <c r="D102" s="230">
        <f>D101/B34</f>
        <v>22.222222222222221</v>
      </c>
      <c r="F102" s="170"/>
      <c r="G102" s="226"/>
      <c r="H102" s="150"/>
      <c r="J102" s="231"/>
    </row>
    <row r="103" spans="1:10" ht="18.75" x14ac:dyDescent="0.3">
      <c r="C103" s="232" t="s">
        <v>117</v>
      </c>
      <c r="D103" s="233">
        <f>AVERAGE(E91:E94,G91:G94)</f>
        <v>0.57406875648625633</v>
      </c>
      <c r="F103" s="170"/>
      <c r="G103" s="234"/>
      <c r="H103" s="150"/>
      <c r="J103" s="235"/>
    </row>
    <row r="104" spans="1:10" ht="18.75" x14ac:dyDescent="0.3">
      <c r="C104" s="200" t="s">
        <v>84</v>
      </c>
      <c r="D104" s="236">
        <f>STDEV(E91:E94,G91:G94)/D103</f>
        <v>5.1802905645674975E-3</v>
      </c>
      <c r="F104" s="170"/>
      <c r="G104" s="226"/>
      <c r="H104" s="150"/>
      <c r="J104" s="235"/>
    </row>
    <row r="105" spans="1:10" ht="19.5" customHeight="1" x14ac:dyDescent="0.3">
      <c r="C105" s="202" t="s">
        <v>20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5</v>
      </c>
      <c r="C108" s="242">
        <v>1</v>
      </c>
      <c r="D108" s="243">
        <v>0.60670000000000002</v>
      </c>
      <c r="E108" s="274">
        <f t="shared" ref="E108:E113" si="1">IF(ISBLANK(D108),"-",D108/$D$103*$D$100*$B$116)</f>
        <v>422.73681899253467</v>
      </c>
      <c r="F108" s="244">
        <f t="shared" ref="F108:F113" si="2">IF(ISBLANK(D108), "-", E108/$B$56)</f>
        <v>1.0568420474813367</v>
      </c>
    </row>
    <row r="109" spans="1:10" ht="26.25" customHeight="1" x14ac:dyDescent="0.4">
      <c r="A109" s="124" t="s">
        <v>95</v>
      </c>
      <c r="B109" s="125">
        <v>100</v>
      </c>
      <c r="C109" s="242">
        <v>2</v>
      </c>
      <c r="D109" s="243">
        <v>0.59919999999999995</v>
      </c>
      <c r="E109" s="275">
        <f t="shared" si="1"/>
        <v>417.51096413437739</v>
      </c>
      <c r="F109" s="245">
        <f t="shared" si="2"/>
        <v>1.0437774103359434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0.56979999999999997</v>
      </c>
      <c r="E110" s="275">
        <f t="shared" si="1"/>
        <v>397.02561309040095</v>
      </c>
      <c r="F110" s="245">
        <f t="shared" si="2"/>
        <v>0.99256403272600235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0.57979999999999998</v>
      </c>
      <c r="E111" s="275">
        <f t="shared" si="1"/>
        <v>403.99341956794399</v>
      </c>
      <c r="F111" s="245">
        <f t="shared" si="2"/>
        <v>1.0099835489198599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0.59799999999999998</v>
      </c>
      <c r="E112" s="275">
        <f t="shared" si="1"/>
        <v>416.67482735707227</v>
      </c>
      <c r="F112" s="245">
        <f t="shared" si="2"/>
        <v>1.0416870683926807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0.57520000000000004</v>
      </c>
      <c r="E113" s="276">
        <f t="shared" si="1"/>
        <v>400.78822858827419</v>
      </c>
      <c r="F113" s="248">
        <f t="shared" si="2"/>
        <v>1.0019705714706855</v>
      </c>
    </row>
    <row r="114" spans="1:10" ht="26.25" customHeight="1" x14ac:dyDescent="0.4">
      <c r="A114" s="124" t="s">
        <v>101</v>
      </c>
      <c r="B114" s="125">
        <v>1</v>
      </c>
      <c r="C114" s="242"/>
      <c r="D114" s="197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 t="s">
        <v>71</v>
      </c>
      <c r="E115" s="278">
        <f>AVERAGE(E108:E113)</f>
        <v>409.7883119551006</v>
      </c>
      <c r="F115" s="251">
        <f>AVERAGE(F108:F113)</f>
        <v>1.0244707798877515</v>
      </c>
    </row>
    <row r="116" spans="1:10" ht="27" customHeight="1" x14ac:dyDescent="0.4">
      <c r="A116" s="124" t="s">
        <v>103</v>
      </c>
      <c r="B116" s="156">
        <f>(B115/B114)*(B113/B112)*(B111/B110)*(B109/B108)*B107</f>
        <v>18000</v>
      </c>
      <c r="C116" s="252"/>
      <c r="D116" s="216" t="s">
        <v>84</v>
      </c>
      <c r="E116" s="253">
        <f>STDEV(E108:E113)/E115</f>
        <v>2.5644963010008497E-2</v>
      </c>
      <c r="F116" s="253">
        <f>STDEV(F108:F113)/F115</f>
        <v>2.5644963010008511E-2</v>
      </c>
      <c r="I116" s="98"/>
    </row>
    <row r="117" spans="1:10" ht="27" customHeight="1" x14ac:dyDescent="0.4">
      <c r="A117" s="309" t="s">
        <v>78</v>
      </c>
      <c r="B117" s="310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311"/>
      <c r="B118" s="31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1" t="str">
        <f>B20</f>
        <v>Moxifloxacin hydrochloride 400mg</v>
      </c>
      <c r="D120" s="321"/>
      <c r="E120" s="205" t="s">
        <v>124</v>
      </c>
      <c r="F120" s="205"/>
      <c r="G120" s="206">
        <f>F115</f>
        <v>1.0244707798877515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322" t="s">
        <v>26</v>
      </c>
      <c r="C122" s="322"/>
      <c r="E122" s="211" t="s">
        <v>27</v>
      </c>
      <c r="F122" s="259"/>
      <c r="G122" s="322" t="s">
        <v>28</v>
      </c>
      <c r="H122" s="322"/>
    </row>
    <row r="123" spans="1:10" ht="69.95" customHeight="1" x14ac:dyDescent="0.3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0:K40"/>
  <sheetViews>
    <sheetView workbookViewId="0">
      <selection activeCell="F30" sqref="F30"/>
    </sheetView>
  </sheetViews>
  <sheetFormatPr defaultRowHeight="12.75" x14ac:dyDescent="0.2"/>
  <sheetData>
    <row r="30" spans="6:6" x14ac:dyDescent="0.2">
      <c r="F30">
        <f>25</f>
        <v>25</v>
      </c>
    </row>
    <row r="33" spans="7:11" x14ac:dyDescent="0.2">
      <c r="I33">
        <f>90*6.718*267</f>
        <v>161433.54</v>
      </c>
      <c r="K33">
        <f>I33/I34</f>
        <v>15.757787015119744</v>
      </c>
    </row>
    <row r="34" spans="7:11" x14ac:dyDescent="0.2">
      <c r="I34">
        <f>8.401*1.1086*1.1*1000</f>
        <v>10244.68346</v>
      </c>
    </row>
    <row r="40" spans="7:11" x14ac:dyDescent="0.2">
      <c r="G40">
        <f>200/200*12/25</f>
        <v>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Moxifloxacin Hydrochloride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HPLC_NQCL2</cp:lastModifiedBy>
  <cp:lastPrinted>2016-06-02T13:03:14Z</cp:lastPrinted>
  <dcterms:created xsi:type="dcterms:W3CDTF">2005-07-05T10:19:27Z</dcterms:created>
  <dcterms:modified xsi:type="dcterms:W3CDTF">2016-06-02T13:04:35Z</dcterms:modified>
</cp:coreProperties>
</file>