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720" yWindow="840" windowWidth="14775" windowHeight="5295" activeTab="2"/>
  </bookViews>
  <sheets>
    <sheet name="Uniformity" sheetId="2" r:id="rId1"/>
    <sheet name="SST" sheetId="1" r:id="rId2"/>
    <sheet name="Montelukast" sheetId="3" r:id="rId3"/>
  </sheets>
  <definedNames>
    <definedName name="_xlnm.Print_Area" localSheetId="2">Montelukast!$A$1:$H$126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B7" i="1" l="1"/>
  <c r="F96" i="3"/>
  <c r="D96" i="3"/>
  <c r="C120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D45" i="3" s="1"/>
  <c r="B30" i="3"/>
  <c r="D50" i="2"/>
  <c r="C46" i="2"/>
  <c r="C49" i="2" s="1"/>
  <c r="C45" i="2"/>
  <c r="D40" i="2"/>
  <c r="D38" i="2"/>
  <c r="D34" i="2"/>
  <c r="D33" i="2"/>
  <c r="D29" i="2"/>
  <c r="D28" i="2"/>
  <c r="D24" i="2"/>
  <c r="C19" i="2"/>
  <c r="B18" i="1"/>
  <c r="E16" i="1"/>
  <c r="D16" i="1"/>
  <c r="C16" i="1"/>
  <c r="B16" i="1"/>
  <c r="B17" i="1" s="1"/>
  <c r="D25" i="2" l="1"/>
  <c r="D30" i="2"/>
  <c r="D36" i="2"/>
  <c r="D41" i="2"/>
  <c r="B49" i="2"/>
  <c r="D26" i="2"/>
  <c r="D32" i="2"/>
  <c r="D37" i="2"/>
  <c r="D42" i="2"/>
  <c r="D49" i="2"/>
  <c r="C50" i="2"/>
  <c r="D27" i="2"/>
  <c r="D31" i="2"/>
  <c r="D35" i="2"/>
  <c r="D39" i="2"/>
  <c r="D43" i="2"/>
  <c r="D97" i="3"/>
  <c r="F97" i="3"/>
  <c r="D101" i="3"/>
  <c r="D102" i="3" s="1"/>
  <c r="I92" i="3"/>
  <c r="B69" i="3"/>
  <c r="I39" i="3"/>
  <c r="D46" i="3"/>
  <c r="E38" i="3"/>
  <c r="F44" i="3"/>
  <c r="F45" i="3" s="1"/>
  <c r="D49" i="3"/>
  <c r="E41" i="3"/>
  <c r="F98" i="3"/>
  <c r="D98" i="3"/>
  <c r="E40" i="3"/>
  <c r="E39" i="3"/>
  <c r="G39" i="3" l="1"/>
  <c r="G40" i="3"/>
  <c r="G38" i="3"/>
  <c r="G41" i="3"/>
  <c r="F46" i="3"/>
  <c r="F99" i="3"/>
  <c r="G92" i="3"/>
  <c r="G91" i="3"/>
  <c r="G93" i="3"/>
  <c r="G94" i="3"/>
  <c r="E94" i="3"/>
  <c r="E91" i="3"/>
  <c r="E93" i="3"/>
  <c r="D99" i="3"/>
  <c r="E92" i="3"/>
  <c r="E42" i="3"/>
  <c r="D52" i="3" l="1"/>
  <c r="D50" i="3"/>
  <c r="D51" i="3" s="1"/>
  <c r="G42" i="3"/>
  <c r="D103" i="3"/>
  <c r="D105" i="3"/>
  <c r="E95" i="3"/>
  <c r="G95" i="3"/>
  <c r="G61" i="3" l="1"/>
  <c r="H61" i="3" s="1"/>
  <c r="G71" i="3"/>
  <c r="H71" i="3" s="1"/>
  <c r="G65" i="3"/>
  <c r="H65" i="3" s="1"/>
  <c r="G63" i="3"/>
  <c r="H63" i="3" s="1"/>
  <c r="G62" i="3"/>
  <c r="H62" i="3" s="1"/>
  <c r="G69" i="3"/>
  <c r="H69" i="3" s="1"/>
  <c r="G67" i="3"/>
  <c r="H67" i="3" s="1"/>
  <c r="G68" i="3"/>
  <c r="H68" i="3" s="1"/>
  <c r="G60" i="3"/>
  <c r="G66" i="3"/>
  <c r="H66" i="3" s="1"/>
  <c r="G64" i="3"/>
  <c r="H64" i="3" s="1"/>
  <c r="G70" i="3"/>
  <c r="H70" i="3" s="1"/>
  <c r="E113" i="3"/>
  <c r="F113" i="3" s="1"/>
  <c r="D104" i="3"/>
  <c r="E112" i="3"/>
  <c r="F112" i="3" s="1"/>
  <c r="E110" i="3"/>
  <c r="F110" i="3" s="1"/>
  <c r="E108" i="3"/>
  <c r="E111" i="3"/>
  <c r="F111" i="3" s="1"/>
  <c r="E109" i="3"/>
  <c r="F109" i="3" s="1"/>
  <c r="H60" i="3" l="1"/>
  <c r="G72" i="3"/>
  <c r="G73" i="3" s="1"/>
  <c r="G74" i="3"/>
  <c r="E117" i="3"/>
  <c r="F108" i="3"/>
  <c r="E115" i="3"/>
  <c r="E116" i="3" s="1"/>
  <c r="H72" i="3" l="1"/>
  <c r="G76" i="3" s="1"/>
  <c r="H74" i="3"/>
  <c r="F115" i="3"/>
  <c r="F117" i="3"/>
  <c r="H73" i="3" l="1"/>
  <c r="G120" i="3"/>
  <c r="F116" i="3"/>
</calcChain>
</file>

<file path=xl/sharedStrings.xml><?xml version="1.0" encoding="utf-8"?>
<sst xmlns="http://schemas.openxmlformats.org/spreadsheetml/2006/main" count="215" uniqueCount="128">
  <si>
    <t>HPLC System Suitability Report</t>
  </si>
  <si>
    <t>Analysis Data</t>
  </si>
  <si>
    <t>Sample(s)</t>
  </si>
  <si>
    <t>Reference Substance:</t>
  </si>
  <si>
    <t>GLEMONT - IR 10 TABLETS</t>
  </si>
  <si>
    <t>% age Purity:</t>
  </si>
  <si>
    <t>NDQD201602749</t>
  </si>
  <si>
    <t>Weight (mg):</t>
  </si>
  <si>
    <t>Montelukast Sodium</t>
  </si>
  <si>
    <t>Standard Conc (mg/mL):</t>
  </si>
  <si>
    <t>Each tablet contains: Montelukast Sodium equivalent to 10 mg Montelukast.</t>
  </si>
  <si>
    <t>2016-02-05 10:00:28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</si>
  <si>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</si>
  <si>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</si>
  <si>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</si>
  <si>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</si>
  <si>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</si>
  <si>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</si>
  <si>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</si>
  <si>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</si>
  <si>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</si>
  <si>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</si>
  <si>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</si>
  <si>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</si>
  <si>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</si>
  <si>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</si>
  <si>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</si>
  <si>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</si>
  <si>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</si>
  <si>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</si>
  <si>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</si>
  <si>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</si>
  <si>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</si>
  <si>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</si>
  <si>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</si>
  <si>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</si>
  <si>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</si>
  <si>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</si>
  <si>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</si>
  <si>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</si>
  <si>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</si>
  <si>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</si>
  <si>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</si>
  <si>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</si>
  <si>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</si>
  <si>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</si>
  <si>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</si>
  <si>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</si>
  <si>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</si>
  <si>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</si>
  <si>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</si>
  <si>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</si>
  <si>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</si>
  <si>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</si>
  <si>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</si>
  <si>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</si>
  <si>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</si>
  <si>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</si>
  <si>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</si>
  <si>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</si>
  <si>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</si>
  <si>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</si>
  <si>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</si>
  <si>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</si>
  <si>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</si>
  <si>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</si>
  <si>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</si>
  <si>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</si>
  <si>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</si>
  <si>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</si>
  <si>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</si>
  <si>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</si>
  <si>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</si>
  <si>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</si>
  <si>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</si>
  <si>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</si>
  <si>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</si>
  <si>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</si>
  <si>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</si>
  <si>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</si>
  <si>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</si>
  <si>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</si>
  <si>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</si>
  <si>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</si>
  <si>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</si>
  <si>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</si>
  <si>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</si>
  <si>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</si>
  <si>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</si>
  <si>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</si>
  <si>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</si>
  <si>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</si>
  <si>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</si>
  <si>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</si>
  <si>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</si>
  <si>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</si>
  <si>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</si>
  <si>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</si>
  <si>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</si>
  <si>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</si>
  <si>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</si>
  <si>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</si>
  <si>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</si>
  <si>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</si>
  <si>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</si>
  <si>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</si>
  <si>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</si>
  <si>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</si>
  <si>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</si>
  <si>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</si>
  <si>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</si>
  <si>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</si>
  <si>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</si>
  <si>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</si>
  <si>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</si>
  <si>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</si>
  <si>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</si>
  <si>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</si>
  <si>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</si>
  <si>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</si>
  <si>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</si>
  <si>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</si>
  <si>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M6-6</t>
  </si>
  <si>
    <t>Assay and Dissolution</t>
  </si>
  <si>
    <t>Montelukast sodium</t>
  </si>
  <si>
    <t>Dr. Sarah Mwangi</t>
  </si>
  <si>
    <t>27th May 2016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</si>
  <si>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2500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</si>
</sst>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u/>
      <sz val="12"/>
      <color rgb="FF000000"/>
      <name val="Book Antiqua"/>
      <family val="1"/>
    </font>
    <font>
      <b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4" fillId="2" borderId="0" xfId="0" applyFont="1" applyFill="1" applyAlignment="1">
      <alignment horizontal="left"/>
    </xf>
    <xf numFmtId="0" fontId="25" fillId="2" borderId="0" xfId="0" applyFont="1" applyFill="1"/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C40" sqref="C4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3" t="s">
        <v>28</v>
      </c>
      <c r="B11" s="284"/>
      <c r="C11" s="284"/>
      <c r="D11" s="284"/>
      <c r="E11" s="284"/>
      <c r="F11" s="285"/>
      <c r="G11" s="89"/>
    </row>
    <row r="12" spans="1:7" ht="16.5" customHeight="1" x14ac:dyDescent="0.3">
      <c r="A12" s="282" t="s">
        <v>29</v>
      </c>
      <c r="B12" s="282"/>
      <c r="C12" s="282"/>
      <c r="D12" s="282"/>
      <c r="E12" s="282"/>
      <c r="F12" s="282"/>
      <c r="G12" s="88"/>
    </row>
    <row r="14" spans="1:7" ht="16.5" customHeight="1" x14ac:dyDescent="0.3">
      <c r="A14" s="287" t="s">
        <v>30</v>
      </c>
      <c r="B14" s="287"/>
      <c r="C14" s="58" t="s">
        <v>4</v>
      </c>
    </row>
    <row r="15" spans="1:7" ht="16.5" customHeight="1" x14ac:dyDescent="0.3">
      <c r="A15" s="287" t="s">
        <v>31</v>
      </c>
      <c r="B15" s="287"/>
      <c r="C15" s="58" t="s">
        <v>6</v>
      </c>
    </row>
    <row r="16" spans="1:7" ht="16.5" customHeight="1" x14ac:dyDescent="0.3">
      <c r="A16" s="287" t="s">
        <v>32</v>
      </c>
      <c r="B16" s="287"/>
      <c r="C16" s="58" t="s">
        <v>8</v>
      </c>
    </row>
    <row r="17" spans="1:5" ht="16.5" customHeight="1" x14ac:dyDescent="0.3">
      <c r="A17" s="287" t="s">
        <v>33</v>
      </c>
      <c r="B17" s="287"/>
      <c r="C17" s="58" t="s">
        <v>10</v>
      </c>
    </row>
    <row r="18" spans="1:5" ht="16.5" customHeight="1" x14ac:dyDescent="0.3">
      <c r="A18" s="287" t="s">
        <v>34</v>
      </c>
      <c r="B18" s="287"/>
      <c r="C18" s="95" t="s">
        <v>11</v>
      </c>
    </row>
    <row r="19" spans="1:5" ht="16.5" customHeight="1" x14ac:dyDescent="0.3">
      <c r="A19" s="287" t="s">
        <v>35</v>
      </c>
      <c r="B19" s="287"/>
      <c r="C19" s="95" t="e">
        <f>#REF!</f>
        <v>#REF!</v>
      </c>
    </row>
    <row r="20" spans="1:5" ht="16.5" customHeight="1" x14ac:dyDescent="0.3">
      <c r="A20" s="60"/>
      <c r="B20" s="60"/>
      <c r="C20" s="75"/>
    </row>
    <row r="21" spans="1:5" ht="16.5" customHeight="1" x14ac:dyDescent="0.3">
      <c r="A21" s="282" t="s">
        <v>1</v>
      </c>
      <c r="B21" s="282"/>
      <c r="C21" s="57" t="s">
        <v>36</v>
      </c>
      <c r="D21" s="64"/>
    </row>
    <row r="22" spans="1:5" ht="15.75" customHeight="1" x14ac:dyDescent="0.3">
      <c r="A22" s="286"/>
      <c r="B22" s="286"/>
      <c r="C22" s="55"/>
      <c r="D22" s="286"/>
      <c r="E22" s="286"/>
    </row>
    <row r="23" spans="1:5" ht="33.75" customHeight="1" x14ac:dyDescent="0.3">
      <c r="C23" s="84" t="s">
        <v>37</v>
      </c>
      <c r="D23" s="83" t="s">
        <v>38</v>
      </c>
      <c r="E23" s="50"/>
    </row>
    <row r="24" spans="1:5" ht="15.75" customHeight="1" x14ac:dyDescent="0.3">
      <c r="C24" s="93">
        <v>202.33</v>
      </c>
      <c r="D24" s="85">
        <f t="shared" ref="D24:D43" si="0">(C24-$C$46)/$C$46</f>
        <v>-3.7912358444116699E-3</v>
      </c>
      <c r="E24" s="51"/>
    </row>
    <row r="25" spans="1:5" ht="15.75" customHeight="1" x14ac:dyDescent="0.3">
      <c r="C25" s="93">
        <v>203.23</v>
      </c>
      <c r="D25" s="86">
        <f t="shared" si="0"/>
        <v>6.4007877892647473E-4</v>
      </c>
      <c r="E25" s="51"/>
    </row>
    <row r="26" spans="1:5" ht="15.75" customHeight="1" x14ac:dyDescent="0.3">
      <c r="C26" s="93">
        <v>203.36</v>
      </c>
      <c r="D26" s="86">
        <f t="shared" si="0"/>
        <v>1.2801575578532294E-3</v>
      </c>
      <c r="E26" s="51"/>
    </row>
    <row r="27" spans="1:5" ht="15.75" customHeight="1" x14ac:dyDescent="0.3">
      <c r="C27" s="93">
        <v>201.43</v>
      </c>
      <c r="D27" s="86">
        <f t="shared" si="0"/>
        <v>-8.2225504677499537E-3</v>
      </c>
      <c r="E27" s="51"/>
    </row>
    <row r="28" spans="1:5" ht="15.75" customHeight="1" x14ac:dyDescent="0.3">
      <c r="C28" s="93">
        <v>200.75</v>
      </c>
      <c r="D28" s="86">
        <f t="shared" si="0"/>
        <v>-1.1570654849827782E-2</v>
      </c>
      <c r="E28" s="51"/>
    </row>
    <row r="29" spans="1:5" ht="15.75" customHeight="1" x14ac:dyDescent="0.3">
      <c r="C29" s="93">
        <v>201.64</v>
      </c>
      <c r="D29" s="86">
        <f t="shared" si="0"/>
        <v>-7.1885770556377954E-3</v>
      </c>
      <c r="E29" s="51"/>
    </row>
    <row r="30" spans="1:5" ht="15.75" customHeight="1" x14ac:dyDescent="0.3">
      <c r="C30" s="93">
        <v>207.74</v>
      </c>
      <c r="D30" s="86">
        <f t="shared" si="0"/>
        <v>2.2845888724766054E-2</v>
      </c>
      <c r="E30" s="51"/>
    </row>
    <row r="31" spans="1:5" ht="15.75" customHeight="1" x14ac:dyDescent="0.3">
      <c r="C31" s="93">
        <v>200.86</v>
      </c>
      <c r="D31" s="86">
        <f t="shared" si="0"/>
        <v>-1.1029049729197483E-2</v>
      </c>
      <c r="E31" s="51"/>
    </row>
    <row r="32" spans="1:5" ht="15.75" customHeight="1" x14ac:dyDescent="0.3">
      <c r="C32" s="93">
        <v>204.7</v>
      </c>
      <c r="D32" s="86">
        <f t="shared" si="0"/>
        <v>7.8778926637122874E-3</v>
      </c>
      <c r="E32" s="51"/>
    </row>
    <row r="33" spans="1:7" ht="15.75" customHeight="1" x14ac:dyDescent="0.3">
      <c r="C33" s="93">
        <v>202.96</v>
      </c>
      <c r="D33" s="86">
        <f t="shared" si="0"/>
        <v>-6.8931560807491271E-4</v>
      </c>
      <c r="E33" s="51"/>
    </row>
    <row r="34" spans="1:7" ht="15.75" customHeight="1" x14ac:dyDescent="0.3">
      <c r="C34" s="93">
        <v>201.07</v>
      </c>
      <c r="D34" s="86">
        <f t="shared" si="0"/>
        <v>-9.9950763170853236E-3</v>
      </c>
      <c r="E34" s="51"/>
    </row>
    <row r="35" spans="1:7" ht="15.75" customHeight="1" x14ac:dyDescent="0.3">
      <c r="C35" s="93">
        <v>202.83</v>
      </c>
      <c r="D35" s="86">
        <f t="shared" si="0"/>
        <v>-1.3293943870015274E-3</v>
      </c>
      <c r="E35" s="51"/>
    </row>
    <row r="36" spans="1:7" ht="15.75" customHeight="1" x14ac:dyDescent="0.3">
      <c r="C36" s="93">
        <v>202.63</v>
      </c>
      <c r="D36" s="86">
        <f t="shared" si="0"/>
        <v>-2.3141309699656683E-3</v>
      </c>
      <c r="E36" s="51"/>
    </row>
    <row r="37" spans="1:7" ht="15.75" customHeight="1" x14ac:dyDescent="0.3">
      <c r="C37" s="93">
        <v>205.66</v>
      </c>
      <c r="D37" s="86">
        <f t="shared" si="0"/>
        <v>1.2604628261939801E-2</v>
      </c>
      <c r="E37" s="51"/>
    </row>
    <row r="38" spans="1:7" ht="15.75" customHeight="1" x14ac:dyDescent="0.3">
      <c r="C38" s="93">
        <v>201.23</v>
      </c>
      <c r="D38" s="86">
        <f t="shared" si="0"/>
        <v>-9.2072870507140959E-3</v>
      </c>
      <c r="E38" s="51"/>
    </row>
    <row r="39" spans="1:7" ht="15.75" customHeight="1" x14ac:dyDescent="0.3">
      <c r="C39" s="93">
        <v>204.57</v>
      </c>
      <c r="D39" s="86">
        <f t="shared" si="0"/>
        <v>7.2378138847856736E-3</v>
      </c>
      <c r="E39" s="51"/>
    </row>
    <row r="40" spans="1:7" ht="15.75" customHeight="1" x14ac:dyDescent="0.3">
      <c r="C40" s="93">
        <v>200.17</v>
      </c>
      <c r="D40" s="86">
        <f t="shared" si="0"/>
        <v>-1.4426390940423608E-2</v>
      </c>
      <c r="E40" s="51"/>
    </row>
    <row r="41" spans="1:7" ht="15.75" customHeight="1" x14ac:dyDescent="0.3">
      <c r="C41" s="93">
        <v>201.93</v>
      </c>
      <c r="D41" s="86">
        <f t="shared" si="0"/>
        <v>-5.7607090103398116E-3</v>
      </c>
      <c r="E41" s="51"/>
    </row>
    <row r="42" spans="1:7" ht="15.75" customHeight="1" x14ac:dyDescent="0.3">
      <c r="C42" s="93">
        <v>203.05</v>
      </c>
      <c r="D42" s="86">
        <f t="shared" si="0"/>
        <v>-2.4618414574107024E-4</v>
      </c>
      <c r="E42" s="51"/>
    </row>
    <row r="43" spans="1:7" ht="16.5" customHeight="1" x14ac:dyDescent="0.3">
      <c r="C43" s="94">
        <v>209.86</v>
      </c>
      <c r="D43" s="87">
        <f t="shared" si="0"/>
        <v>3.3284096504185082E-2</v>
      </c>
      <c r="E43" s="51"/>
    </row>
    <row r="44" spans="1:7" ht="16.5" customHeight="1" x14ac:dyDescent="0.3">
      <c r="C44" s="52"/>
      <c r="D44" s="51"/>
      <c r="E44" s="53"/>
    </row>
    <row r="45" spans="1:7" ht="16.5" customHeight="1" x14ac:dyDescent="0.3">
      <c r="B45" s="80" t="s">
        <v>39</v>
      </c>
      <c r="C45" s="81">
        <f>SUM(C24:C44)</f>
        <v>4062.0000000000005</v>
      </c>
      <c r="D45" s="76"/>
      <c r="E45" s="52"/>
    </row>
    <row r="46" spans="1:7" ht="17.25" customHeight="1" x14ac:dyDescent="0.3">
      <c r="B46" s="80" t="s">
        <v>40</v>
      </c>
      <c r="C46" s="82">
        <f>AVERAGE(C24:C44)</f>
        <v>203.10000000000002</v>
      </c>
      <c r="E46" s="54"/>
    </row>
    <row r="47" spans="1:7" ht="17.25" customHeight="1" x14ac:dyDescent="0.3">
      <c r="A47" s="58"/>
      <c r="B47" s="77"/>
      <c r="D47" s="56"/>
      <c r="E47" s="54"/>
    </row>
    <row r="48" spans="1:7" ht="33.75" customHeight="1" x14ac:dyDescent="0.3">
      <c r="B48" s="90" t="s">
        <v>40</v>
      </c>
      <c r="C48" s="83" t="s">
        <v>41</v>
      </c>
      <c r="D48" s="78"/>
      <c r="G48" s="56"/>
    </row>
    <row r="49" spans="1:6" ht="17.25" customHeight="1" x14ac:dyDescent="0.3">
      <c r="B49" s="280">
        <f>C46</f>
        <v>203.10000000000002</v>
      </c>
      <c r="C49" s="91">
        <f>-IF(C46&lt;=80,10%,IF(C46&lt;250,7.5%,5%))</f>
        <v>-7.4999999999999997E-2</v>
      </c>
      <c r="D49" s="79">
        <f>IF(C46&lt;=80,C46*0.9,IF(C46&lt;250,C46*0.925,C46*0.95))</f>
        <v>187.86750000000004</v>
      </c>
    </row>
    <row r="50" spans="1:6" ht="17.25" customHeight="1" x14ac:dyDescent="0.3">
      <c r="B50" s="281"/>
      <c r="C50" s="92">
        <f>IF(C46&lt;=80, 10%, IF(C46&lt;250, 7.5%, 5%))</f>
        <v>7.4999999999999997E-2</v>
      </c>
      <c r="D50" s="79">
        <f>IF(C46&lt;=80, C46*1.1, IF(C46&lt;250, C46*1.075, C46*1.05))</f>
        <v>218.33250000000001</v>
      </c>
    </row>
    <row r="51" spans="1:6" ht="16.5" customHeight="1" x14ac:dyDescent="0.3">
      <c r="A51" s="61"/>
      <c r="B51" s="62"/>
      <c r="C51" s="58"/>
      <c r="D51" s="63"/>
      <c r="E51" s="58"/>
      <c r="F51" s="64"/>
    </row>
    <row r="52" spans="1:6" ht="16.5" customHeight="1" x14ac:dyDescent="0.3">
      <c r="A52" s="58"/>
      <c r="B52" s="65" t="s">
        <v>23</v>
      </c>
      <c r="C52" s="65"/>
      <c r="D52" s="66" t="s">
        <v>24</v>
      </c>
      <c r="E52" s="67"/>
      <c r="F52" s="66" t="s">
        <v>25</v>
      </c>
    </row>
    <row r="53" spans="1:6" ht="34.5" customHeight="1" x14ac:dyDescent="0.3">
      <c r="A53" s="68" t="s">
        <v>26</v>
      </c>
      <c r="B53" s="69"/>
      <c r="C53" s="70"/>
      <c r="D53" s="69"/>
      <c r="E53" s="59"/>
      <c r="F53" s="71"/>
    </row>
    <row r="54" spans="1:6" ht="34.5" customHeight="1" x14ac:dyDescent="0.3">
      <c r="A54" s="68" t="s">
        <v>27</v>
      </c>
      <c r="B54" s="72"/>
      <c r="C54" s="73"/>
      <c r="D54" s="72"/>
      <c r="E54" s="59"/>
      <c r="F54" s="74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view="pageBreakPreview" zoomScale="60" workbookViewId="0">
      <selection activeCell="B22" sqref="B22"/>
    </sheetView>
  </sheetViews>
  <sheetFormatPr defaultRowHeight="13.5" x14ac:dyDescent="0.25"/>
  <cols>
    <col min="1" max="1" width="27.5703125" style="3" customWidth="1"/>
    <col min="2" max="2" width="20.42578125" style="3" customWidth="1"/>
    <col min="3" max="3" width="31.85546875" style="3" customWidth="1"/>
    <col min="4" max="4" width="25.85546875" style="3" customWidth="1"/>
    <col min="5" max="5" width="25.7109375" style="3" customWidth="1"/>
    <col min="6" max="6" width="23.140625" style="3" customWidth="1"/>
    <col min="7" max="7" width="28.42578125" style="3" customWidth="1"/>
    <col min="8" max="8" width="21.5703125" style="3" customWidth="1"/>
    <col min="9" max="9" width="9.140625" style="3" customWidth="1"/>
  </cols>
  <sheetData>
    <row r="1" spans="1:5" ht="18.75" customHeight="1" x14ac:dyDescent="0.3">
      <c r="A1" s="288" t="s">
        <v>0</v>
      </c>
      <c r="B1" s="288"/>
      <c r="C1" s="288"/>
      <c r="D1" s="288"/>
      <c r="E1" s="288"/>
    </row>
    <row r="2" spans="1:5" ht="16.5" customHeight="1" x14ac:dyDescent="0.3">
      <c r="A2" s="4" t="s">
        <v>1</v>
      </c>
      <c r="B2" s="278" t="s">
        <v>123</v>
      </c>
    </row>
    <row r="3" spans="1:5" ht="16.5" customHeight="1" x14ac:dyDescent="0.3">
      <c r="A3" s="5" t="s">
        <v>2</v>
      </c>
      <c r="B3" s="6" t="s">
        <v>4</v>
      </c>
      <c r="D3" s="7"/>
      <c r="E3" s="8"/>
    </row>
    <row r="4" spans="1:5" ht="16.5" customHeight="1" x14ac:dyDescent="0.3">
      <c r="A4" s="9" t="s">
        <v>3</v>
      </c>
      <c r="B4" s="279" t="s">
        <v>124</v>
      </c>
      <c r="C4" s="8"/>
      <c r="D4" s="8"/>
      <c r="E4" s="8"/>
    </row>
    <row r="5" spans="1:5" ht="16.5" customHeight="1" x14ac:dyDescent="0.3">
      <c r="A5" s="9" t="s">
        <v>5</v>
      </c>
      <c r="B5" s="10">
        <v>98.2</v>
      </c>
      <c r="C5" s="8"/>
      <c r="D5" s="8"/>
      <c r="E5" s="8"/>
    </row>
    <row r="6" spans="1:5" ht="16.5" customHeight="1" x14ac:dyDescent="0.3">
      <c r="A6" s="5" t="s">
        <v>7</v>
      </c>
      <c r="B6" s="10">
        <v>17.399999999999999</v>
      </c>
      <c r="C6" s="8"/>
      <c r="D6" s="8"/>
      <c r="E6" s="8"/>
    </row>
    <row r="7" spans="1:5" ht="16.5" customHeight="1" x14ac:dyDescent="0.3">
      <c r="A7" s="5" t="s">
        <v>9</v>
      </c>
      <c r="B7" s="11">
        <f>B6/100</f>
        <v>0.17399999999999999</v>
      </c>
      <c r="C7" s="8"/>
      <c r="D7" s="8"/>
      <c r="E7" s="8"/>
    </row>
    <row r="8" spans="1:5" ht="15.75" customHeight="1" x14ac:dyDescent="0.25">
      <c r="A8" s="8"/>
      <c r="B8" s="8"/>
      <c r="C8" s="8"/>
      <c r="D8" s="8"/>
      <c r="E8" s="8"/>
    </row>
    <row r="9" spans="1:5" ht="16.5" customHeight="1" x14ac:dyDescent="0.3">
      <c r="A9" s="12" t="s">
        <v>12</v>
      </c>
      <c r="B9" s="13" t="s">
        <v>13</v>
      </c>
      <c r="C9" s="12" t="s">
        <v>14</v>
      </c>
      <c r="D9" s="12" t="s">
        <v>15</v>
      </c>
      <c r="E9" s="14" t="s">
        <v>16</v>
      </c>
    </row>
    <row r="10" spans="1:5" ht="16.5" customHeight="1" x14ac:dyDescent="0.3">
      <c r="A10" s="15">
        <v>1</v>
      </c>
      <c r="B10" s="16">
        <v>123685092</v>
      </c>
      <c r="C10" s="16">
        <v>7706.36</v>
      </c>
      <c r="D10" s="17">
        <v>0.98</v>
      </c>
      <c r="E10" s="18">
        <v>6.68</v>
      </c>
    </row>
    <row r="11" spans="1:5" ht="16.5" customHeight="1" x14ac:dyDescent="0.3">
      <c r="A11" s="15">
        <v>2</v>
      </c>
      <c r="B11" s="16">
        <v>123760084</v>
      </c>
      <c r="C11" s="16">
        <v>7708.85</v>
      </c>
      <c r="D11" s="17">
        <v>0.98</v>
      </c>
      <c r="E11" s="17">
        <v>6.69</v>
      </c>
    </row>
    <row r="12" spans="1:5" ht="16.5" customHeight="1" x14ac:dyDescent="0.3">
      <c r="A12" s="15">
        <v>3</v>
      </c>
      <c r="B12" s="16">
        <v>123955010</v>
      </c>
      <c r="C12" s="16">
        <v>7682.43</v>
      </c>
      <c r="D12" s="17">
        <v>1</v>
      </c>
      <c r="E12" s="17">
        <v>6.69</v>
      </c>
    </row>
    <row r="13" spans="1:5" ht="16.5" customHeight="1" x14ac:dyDescent="0.3">
      <c r="A13" s="15">
        <v>4</v>
      </c>
      <c r="B13" s="16">
        <v>123982845</v>
      </c>
      <c r="C13" s="16">
        <v>7702.36</v>
      </c>
      <c r="D13" s="17">
        <v>1</v>
      </c>
      <c r="E13" s="17">
        <v>6.7</v>
      </c>
    </row>
    <row r="14" spans="1:5" ht="16.5" customHeight="1" x14ac:dyDescent="0.3">
      <c r="A14" s="15">
        <v>5</v>
      </c>
      <c r="B14" s="16">
        <v>123842446</v>
      </c>
      <c r="C14" s="16">
        <v>7711.29</v>
      </c>
      <c r="D14" s="17">
        <v>0.99</v>
      </c>
      <c r="E14" s="17">
        <v>6.7</v>
      </c>
    </row>
    <row r="15" spans="1:5" ht="16.5" customHeight="1" x14ac:dyDescent="0.3">
      <c r="A15" s="15">
        <v>6</v>
      </c>
      <c r="B15" s="19">
        <v>123799893</v>
      </c>
      <c r="C15" s="19">
        <v>7696.1</v>
      </c>
      <c r="D15" s="20">
        <v>0.99</v>
      </c>
      <c r="E15" s="20">
        <v>6.7</v>
      </c>
    </row>
    <row r="16" spans="1:5" ht="16.5" customHeight="1" x14ac:dyDescent="0.3">
      <c r="A16" s="21" t="s">
        <v>17</v>
      </c>
      <c r="B16" s="22">
        <f>AVERAGE(B10:B15)</f>
        <v>123837561.66666667</v>
      </c>
      <c r="C16" s="23">
        <f>AVERAGE(C10:C15)</f>
        <v>7701.2316666666666</v>
      </c>
      <c r="D16" s="24">
        <f>AVERAGE(D10:D15)</f>
        <v>0.9900000000000001</v>
      </c>
      <c r="E16" s="24">
        <f>AVERAGE(E10:E15)</f>
        <v>6.6933333333333342</v>
      </c>
    </row>
    <row r="17" spans="1:7" ht="16.5" customHeight="1" x14ac:dyDescent="0.3">
      <c r="A17" s="25" t="s">
        <v>18</v>
      </c>
      <c r="B17" s="26">
        <f>(STDEV(B10:B15)/B16)</f>
        <v>9.2489926758992176E-4</v>
      </c>
      <c r="C17" s="27"/>
      <c r="D17" s="27"/>
      <c r="E17" s="28"/>
      <c r="F17" s="2"/>
    </row>
    <row r="18" spans="1:7" s="2" customFormat="1" ht="16.5" customHeight="1" x14ac:dyDescent="0.3">
      <c r="A18" s="29" t="s">
        <v>19</v>
      </c>
      <c r="B18" s="30">
        <f>COUNT(B10:B15)</f>
        <v>6</v>
      </c>
      <c r="C18" s="31"/>
      <c r="D18" s="32"/>
      <c r="E18" s="33"/>
    </row>
    <row r="19" spans="1:7" s="2" customFormat="1" ht="15.75" customHeight="1" x14ac:dyDescent="0.25">
      <c r="A19" s="8"/>
      <c r="B19" s="8"/>
      <c r="C19" s="8"/>
      <c r="D19" s="8"/>
      <c r="E19" s="34"/>
    </row>
    <row r="20" spans="1:7" s="2" customFormat="1" ht="16.5" customHeight="1" x14ac:dyDescent="0.3">
      <c r="A20" s="9" t="s">
        <v>20</v>
      </c>
      <c r="B20" s="35" t="s">
        <v>21</v>
      </c>
      <c r="C20" s="36"/>
      <c r="D20" s="36"/>
      <c r="E20" s="37"/>
    </row>
    <row r="21" spans="1:7" ht="16.5" customHeight="1" x14ac:dyDescent="0.3">
      <c r="A21" s="9"/>
      <c r="B21" s="35" t="s">
        <v>127</v>
      </c>
      <c r="C21" s="36"/>
      <c r="D21" s="36"/>
      <c r="E21" s="37"/>
      <c r="F21" s="2"/>
    </row>
    <row r="22" spans="1:7" ht="16.5" customHeight="1" x14ac:dyDescent="0.3">
      <c r="A22" s="9"/>
      <c r="B22" s="38" t="s">
        <v>22</v>
      </c>
      <c r="C22" s="36"/>
      <c r="D22" s="36"/>
      <c r="E22" s="36"/>
    </row>
    <row r="23" spans="1:7" ht="15.75" customHeight="1" x14ac:dyDescent="0.25">
      <c r="A23" s="8"/>
      <c r="B23" s="8"/>
      <c r="C23" s="8"/>
      <c r="D23" s="8"/>
      <c r="E23" s="8"/>
    </row>
    <row r="24" spans="1:7" ht="14.25" customHeight="1" thickBot="1" x14ac:dyDescent="0.3">
      <c r="A24" s="39"/>
      <c r="B24" s="40"/>
      <c r="D24" s="41"/>
      <c r="F24" s="42"/>
      <c r="G24" s="42"/>
    </row>
    <row r="25" spans="1:7" ht="15" customHeight="1" x14ac:dyDescent="0.3">
      <c r="B25" s="289" t="s">
        <v>23</v>
      </c>
      <c r="C25" s="289"/>
      <c r="E25" s="43" t="s">
        <v>24</v>
      </c>
      <c r="F25" s="44"/>
      <c r="G25" s="43" t="s">
        <v>25</v>
      </c>
    </row>
    <row r="26" spans="1:7" ht="15" customHeight="1" x14ac:dyDescent="0.3">
      <c r="A26" s="45" t="s">
        <v>26</v>
      </c>
      <c r="B26" s="46"/>
      <c r="C26" s="47" t="s">
        <v>125</v>
      </c>
      <c r="E26" s="47" t="s">
        <v>126</v>
      </c>
      <c r="F26" s="2"/>
      <c r="G26" s="47"/>
    </row>
    <row r="27" spans="1:7" ht="15" customHeight="1" x14ac:dyDescent="0.3">
      <c r="A27" s="45" t="s">
        <v>27</v>
      </c>
      <c r="B27" s="48"/>
      <c r="C27" s="48"/>
      <c r="E27" s="48"/>
      <c r="F27" s="2"/>
      <c r="G27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25:C2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9" zoomScale="50" zoomScaleNormal="60" zoomScaleSheetLayoutView="50" zoomScalePageLayoutView="55" workbookViewId="0">
      <selection activeCell="C123" sqref="C1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0" t="s">
        <v>42</v>
      </c>
      <c r="B1" s="290"/>
      <c r="C1" s="290"/>
      <c r="D1" s="290"/>
      <c r="E1" s="290"/>
      <c r="F1" s="290"/>
      <c r="G1" s="290"/>
      <c r="H1" s="290"/>
      <c r="I1" s="290"/>
    </row>
    <row r="2" spans="1:9" ht="18.75" customHeight="1" x14ac:dyDescent="0.25">
      <c r="A2" s="290"/>
      <c r="B2" s="290"/>
      <c r="C2" s="290"/>
      <c r="D2" s="290"/>
      <c r="E2" s="290"/>
      <c r="F2" s="290"/>
      <c r="G2" s="290"/>
      <c r="H2" s="290"/>
      <c r="I2" s="290"/>
    </row>
    <row r="3" spans="1:9" ht="18.75" customHeight="1" x14ac:dyDescent="0.25">
      <c r="A3" s="290"/>
      <c r="B3" s="290"/>
      <c r="C3" s="290"/>
      <c r="D3" s="290"/>
      <c r="E3" s="290"/>
      <c r="F3" s="290"/>
      <c r="G3" s="290"/>
      <c r="H3" s="290"/>
      <c r="I3" s="290"/>
    </row>
    <row r="4" spans="1:9" ht="18.75" customHeight="1" x14ac:dyDescent="0.25">
      <c r="A4" s="290"/>
      <c r="B4" s="290"/>
      <c r="C4" s="290"/>
      <c r="D4" s="290"/>
      <c r="E4" s="290"/>
      <c r="F4" s="290"/>
      <c r="G4" s="290"/>
      <c r="H4" s="290"/>
      <c r="I4" s="290"/>
    </row>
    <row r="5" spans="1:9" ht="18.75" customHeight="1" x14ac:dyDescent="0.25">
      <c r="A5" s="290"/>
      <c r="B5" s="290"/>
      <c r="C5" s="290"/>
      <c r="D5" s="290"/>
      <c r="E5" s="290"/>
      <c r="F5" s="290"/>
      <c r="G5" s="290"/>
      <c r="H5" s="290"/>
      <c r="I5" s="290"/>
    </row>
    <row r="6" spans="1:9" ht="18.75" customHeight="1" x14ac:dyDescent="0.25">
      <c r="A6" s="290"/>
      <c r="B6" s="290"/>
      <c r="C6" s="290"/>
      <c r="D6" s="290"/>
      <c r="E6" s="290"/>
      <c r="F6" s="290"/>
      <c r="G6" s="290"/>
      <c r="H6" s="290"/>
      <c r="I6" s="290"/>
    </row>
    <row r="7" spans="1:9" ht="18.75" customHeight="1" x14ac:dyDescent="0.25">
      <c r="A7" s="290"/>
      <c r="B7" s="290"/>
      <c r="C7" s="290"/>
      <c r="D7" s="290"/>
      <c r="E7" s="290"/>
      <c r="F7" s="290"/>
      <c r="G7" s="290"/>
      <c r="H7" s="290"/>
      <c r="I7" s="290"/>
    </row>
    <row r="8" spans="1:9" x14ac:dyDescent="0.25">
      <c r="A8" s="291" t="s">
        <v>43</v>
      </c>
      <c r="B8" s="291"/>
      <c r="C8" s="291"/>
      <c r="D8" s="291"/>
      <c r="E8" s="291"/>
      <c r="F8" s="291"/>
      <c r="G8" s="291"/>
      <c r="H8" s="291"/>
      <c r="I8" s="291"/>
    </row>
    <row r="9" spans="1:9" x14ac:dyDescent="0.25">
      <c r="A9" s="291"/>
      <c r="B9" s="291"/>
      <c r="C9" s="291"/>
      <c r="D9" s="291"/>
      <c r="E9" s="291"/>
      <c r="F9" s="291"/>
      <c r="G9" s="291"/>
      <c r="H9" s="291"/>
      <c r="I9" s="291"/>
    </row>
    <row r="10" spans="1:9" x14ac:dyDescent="0.25">
      <c r="A10" s="291"/>
      <c r="B10" s="291"/>
      <c r="C10" s="291"/>
      <c r="D10" s="291"/>
      <c r="E10" s="291"/>
      <c r="F10" s="291"/>
      <c r="G10" s="291"/>
      <c r="H10" s="291"/>
      <c r="I10" s="291"/>
    </row>
    <row r="11" spans="1:9" x14ac:dyDescent="0.25">
      <c r="A11" s="291"/>
      <c r="B11" s="291"/>
      <c r="C11" s="291"/>
      <c r="D11" s="291"/>
      <c r="E11" s="291"/>
      <c r="F11" s="291"/>
      <c r="G11" s="291"/>
      <c r="H11" s="291"/>
      <c r="I11" s="291"/>
    </row>
    <row r="12" spans="1:9" x14ac:dyDescent="0.25">
      <c r="A12" s="291"/>
      <c r="B12" s="291"/>
      <c r="C12" s="291"/>
      <c r="D12" s="291"/>
      <c r="E12" s="291"/>
      <c r="F12" s="291"/>
      <c r="G12" s="291"/>
      <c r="H12" s="291"/>
      <c r="I12" s="291"/>
    </row>
    <row r="13" spans="1:9" x14ac:dyDescent="0.25">
      <c r="A13" s="291"/>
      <c r="B13" s="291"/>
      <c r="C13" s="291"/>
      <c r="D13" s="291"/>
      <c r="E13" s="291"/>
      <c r="F13" s="291"/>
      <c r="G13" s="291"/>
      <c r="H13" s="291"/>
      <c r="I13" s="291"/>
    </row>
    <row r="14" spans="1:9" x14ac:dyDescent="0.25">
      <c r="A14" s="291"/>
      <c r="B14" s="291"/>
      <c r="C14" s="291"/>
      <c r="D14" s="291"/>
      <c r="E14" s="291"/>
      <c r="F14" s="291"/>
      <c r="G14" s="291"/>
      <c r="H14" s="291"/>
      <c r="I14" s="291"/>
    </row>
    <row r="15" spans="1:9" ht="19.5" customHeight="1" x14ac:dyDescent="0.3">
      <c r="A15" s="96"/>
    </row>
    <row r="16" spans="1:9" ht="19.5" customHeight="1" x14ac:dyDescent="0.3">
      <c r="A16" s="324" t="s">
        <v>28</v>
      </c>
      <c r="B16" s="325"/>
      <c r="C16" s="325"/>
      <c r="D16" s="325"/>
      <c r="E16" s="325"/>
      <c r="F16" s="325"/>
      <c r="G16" s="325"/>
      <c r="H16" s="326"/>
    </row>
    <row r="17" spans="1:14" ht="20.25" customHeight="1" x14ac:dyDescent="0.25">
      <c r="A17" s="327" t="s">
        <v>44</v>
      </c>
      <c r="B17" s="327"/>
      <c r="C17" s="327"/>
      <c r="D17" s="327"/>
      <c r="E17" s="327"/>
      <c r="F17" s="327"/>
      <c r="G17" s="327"/>
      <c r="H17" s="327"/>
    </row>
    <row r="18" spans="1:14" ht="26.25" customHeight="1" x14ac:dyDescent="0.4">
      <c r="A18" s="98" t="s">
        <v>30</v>
      </c>
      <c r="B18" s="323" t="s">
        <v>4</v>
      </c>
      <c r="C18" s="323"/>
      <c r="D18" s="264"/>
      <c r="E18" s="99"/>
      <c r="F18" s="100"/>
      <c r="G18" s="100"/>
      <c r="H18" s="100"/>
    </row>
    <row r="19" spans="1:14" ht="26.25" customHeight="1" x14ac:dyDescent="0.4">
      <c r="A19" s="98" t="s">
        <v>31</v>
      </c>
      <c r="B19" s="101" t="s">
        <v>6</v>
      </c>
      <c r="C19" s="277">
        <v>29</v>
      </c>
      <c r="D19" s="100"/>
      <c r="E19" s="100"/>
      <c r="F19" s="100"/>
      <c r="G19" s="100"/>
      <c r="H19" s="100"/>
    </row>
    <row r="20" spans="1:14" ht="26.25" customHeight="1" x14ac:dyDescent="0.4">
      <c r="A20" s="98" t="s">
        <v>32</v>
      </c>
      <c r="B20" s="328" t="s">
        <v>8</v>
      </c>
      <c r="C20" s="328"/>
      <c r="D20" s="100"/>
      <c r="E20" s="100"/>
      <c r="F20" s="100"/>
      <c r="G20" s="100"/>
      <c r="H20" s="100"/>
    </row>
    <row r="21" spans="1:14" ht="26.25" customHeight="1" x14ac:dyDescent="0.4">
      <c r="A21" s="98" t="s">
        <v>33</v>
      </c>
      <c r="B21" s="328" t="s">
        <v>10</v>
      </c>
      <c r="C21" s="328"/>
      <c r="D21" s="328"/>
      <c r="E21" s="328"/>
      <c r="F21" s="328"/>
      <c r="G21" s="328"/>
      <c r="H21" s="328"/>
      <c r="I21" s="102"/>
    </row>
    <row r="22" spans="1:14" ht="26.25" customHeight="1" x14ac:dyDescent="0.4">
      <c r="A22" s="98" t="s">
        <v>34</v>
      </c>
      <c r="B22" s="103">
        <v>42495</v>
      </c>
      <c r="C22" s="100"/>
      <c r="D22" s="100"/>
      <c r="E22" s="100"/>
      <c r="F22" s="100"/>
      <c r="G22" s="100"/>
      <c r="H22" s="100"/>
    </row>
    <row r="23" spans="1:14" ht="26.25" customHeight="1" x14ac:dyDescent="0.4">
      <c r="A23" s="98" t="s">
        <v>35</v>
      </c>
      <c r="B23" s="103">
        <v>42517</v>
      </c>
      <c r="C23" s="100"/>
      <c r="D23" s="100"/>
      <c r="E23" s="100"/>
      <c r="F23" s="100"/>
      <c r="G23" s="100"/>
      <c r="H23" s="100"/>
    </row>
    <row r="24" spans="1:14" ht="18.75" x14ac:dyDescent="0.3">
      <c r="A24" s="98"/>
      <c r="B24" s="104"/>
    </row>
    <row r="25" spans="1:14" ht="18.75" x14ac:dyDescent="0.3">
      <c r="A25" s="105" t="s">
        <v>1</v>
      </c>
      <c r="B25" s="104"/>
    </row>
    <row r="26" spans="1:14" ht="26.25" customHeight="1" x14ac:dyDescent="0.4">
      <c r="A26" s="106" t="s">
        <v>3</v>
      </c>
      <c r="B26" s="323" t="s">
        <v>8</v>
      </c>
      <c r="C26" s="323"/>
    </row>
    <row r="27" spans="1:14" ht="26.25" customHeight="1" x14ac:dyDescent="0.4">
      <c r="A27" s="107" t="s">
        <v>45</v>
      </c>
      <c r="B27" s="321" t="s">
        <v>122</v>
      </c>
      <c r="C27" s="321"/>
    </row>
    <row r="28" spans="1:14" ht="27" customHeight="1" x14ac:dyDescent="0.4">
      <c r="A28" s="107" t="s">
        <v>5</v>
      </c>
      <c r="B28" s="108">
        <v>98.2</v>
      </c>
    </row>
    <row r="29" spans="1:14" s="12" customFormat="1" ht="27" customHeight="1" x14ac:dyDescent="0.4">
      <c r="A29" s="107" t="s">
        <v>46</v>
      </c>
      <c r="B29" s="109">
        <v>0</v>
      </c>
      <c r="C29" s="298" t="s">
        <v>47</v>
      </c>
      <c r="D29" s="299"/>
      <c r="E29" s="299"/>
      <c r="F29" s="299"/>
      <c r="G29" s="300"/>
      <c r="I29" s="110"/>
      <c r="J29" s="110"/>
      <c r="K29" s="110"/>
      <c r="L29" s="110"/>
    </row>
    <row r="30" spans="1:14" s="12" customFormat="1" ht="19.5" customHeight="1" x14ac:dyDescent="0.3">
      <c r="A30" s="107" t="s">
        <v>48</v>
      </c>
      <c r="B30" s="111">
        <f>B28-B29</f>
        <v>98.2</v>
      </c>
      <c r="C30" s="112"/>
      <c r="D30" s="112"/>
      <c r="E30" s="112"/>
      <c r="F30" s="112"/>
      <c r="G30" s="113"/>
      <c r="I30" s="110"/>
      <c r="J30" s="110"/>
      <c r="K30" s="110"/>
      <c r="L30" s="110"/>
    </row>
    <row r="31" spans="1:14" s="12" customFormat="1" ht="27" customHeight="1" x14ac:dyDescent="0.4">
      <c r="A31" s="107" t="s">
        <v>49</v>
      </c>
      <c r="B31" s="114">
        <v>586.17999999999995</v>
      </c>
      <c r="C31" s="301" t="s">
        <v>50</v>
      </c>
      <c r="D31" s="302"/>
      <c r="E31" s="302"/>
      <c r="F31" s="302"/>
      <c r="G31" s="302"/>
      <c r="H31" s="303"/>
      <c r="I31" s="110"/>
      <c r="J31" s="110"/>
      <c r="K31" s="110"/>
      <c r="L31" s="110"/>
    </row>
    <row r="32" spans="1:14" s="12" customFormat="1" ht="27" customHeight="1" x14ac:dyDescent="0.4">
      <c r="A32" s="107" t="s">
        <v>51</v>
      </c>
      <c r="B32" s="114">
        <v>608.16999999999996</v>
      </c>
      <c r="C32" s="301" t="s">
        <v>52</v>
      </c>
      <c r="D32" s="302"/>
      <c r="E32" s="302"/>
      <c r="F32" s="302"/>
      <c r="G32" s="302"/>
      <c r="H32" s="303"/>
      <c r="I32" s="110"/>
      <c r="J32" s="110"/>
      <c r="K32" s="110"/>
      <c r="L32" s="115"/>
      <c r="M32" s="115"/>
      <c r="N32" s="116"/>
    </row>
    <row r="33" spans="1:14" s="12" customFormat="1" ht="17.25" customHeight="1" x14ac:dyDescent="0.3">
      <c r="A33" s="107"/>
      <c r="B33" s="117"/>
      <c r="C33" s="118"/>
      <c r="D33" s="118"/>
      <c r="E33" s="118"/>
      <c r="F33" s="118"/>
      <c r="G33" s="118"/>
      <c r="H33" s="118"/>
      <c r="I33" s="110"/>
      <c r="J33" s="110"/>
      <c r="K33" s="110"/>
      <c r="L33" s="115"/>
      <c r="M33" s="115"/>
      <c r="N33" s="116"/>
    </row>
    <row r="34" spans="1:14" s="12" customFormat="1" ht="18.75" x14ac:dyDescent="0.3">
      <c r="A34" s="107" t="s">
        <v>53</v>
      </c>
      <c r="B34" s="119">
        <f>B31/B32</f>
        <v>0.96384234671226798</v>
      </c>
      <c r="C34" s="97" t="s">
        <v>54</v>
      </c>
      <c r="D34" s="97"/>
      <c r="E34" s="97"/>
      <c r="F34" s="97"/>
      <c r="G34" s="97"/>
      <c r="I34" s="110"/>
      <c r="J34" s="110"/>
      <c r="K34" s="110"/>
      <c r="L34" s="115"/>
      <c r="M34" s="115"/>
      <c r="N34" s="116"/>
    </row>
    <row r="35" spans="1:14" s="12" customFormat="1" ht="19.5" customHeight="1" x14ac:dyDescent="0.3">
      <c r="A35" s="107"/>
      <c r="B35" s="111"/>
      <c r="G35" s="97"/>
      <c r="I35" s="110"/>
      <c r="J35" s="110"/>
      <c r="K35" s="110"/>
      <c r="L35" s="115"/>
      <c r="M35" s="115"/>
      <c r="N35" s="116"/>
    </row>
    <row r="36" spans="1:14" s="12" customFormat="1" ht="27" customHeight="1" x14ac:dyDescent="0.4">
      <c r="A36" s="120" t="s">
        <v>55</v>
      </c>
      <c r="B36" s="121">
        <v>100</v>
      </c>
      <c r="C36" s="97"/>
      <c r="D36" s="304" t="s">
        <v>56</v>
      </c>
      <c r="E36" s="322"/>
      <c r="F36" s="304" t="s">
        <v>57</v>
      </c>
      <c r="G36" s="305"/>
      <c r="J36" s="110"/>
      <c r="K36" s="110"/>
      <c r="L36" s="115"/>
      <c r="M36" s="115"/>
      <c r="N36" s="116"/>
    </row>
    <row r="37" spans="1:14" s="12" customFormat="1" ht="27" customHeight="1" x14ac:dyDescent="0.4">
      <c r="A37" s="122" t="s">
        <v>58</v>
      </c>
      <c r="B37" s="123">
        <v>1</v>
      </c>
      <c r="C37" s="124" t="s">
        <v>59</v>
      </c>
      <c r="D37" s="125" t="s">
        <v>60</v>
      </c>
      <c r="E37" s="126" t="s">
        <v>61</v>
      </c>
      <c r="F37" s="125" t="s">
        <v>60</v>
      </c>
      <c r="G37" s="127" t="s">
        <v>61</v>
      </c>
      <c r="I37" s="128" t="s">
        <v>62</v>
      </c>
      <c r="J37" s="110"/>
      <c r="K37" s="110"/>
      <c r="L37" s="115"/>
      <c r="M37" s="115"/>
      <c r="N37" s="116"/>
    </row>
    <row r="38" spans="1:14" s="12" customFormat="1" ht="26.25" customHeight="1" x14ac:dyDescent="0.4">
      <c r="A38" s="122" t="s">
        <v>63</v>
      </c>
      <c r="B38" s="123">
        <v>1</v>
      </c>
      <c r="C38" s="129">
        <v>1</v>
      </c>
      <c r="D38" s="130">
        <v>123859115</v>
      </c>
      <c r="E38" s="131">
        <f>IF(ISBLANK(D38),"-",$D$48/$D$45*D38)</f>
        <v>75207514.003429934</v>
      </c>
      <c r="F38" s="130">
        <v>121553183</v>
      </c>
      <c r="G38" s="132">
        <f>IF(ISBLANK(F38),"-",$D$48/$F$45*F38)</f>
        <v>75588454.525957987</v>
      </c>
      <c r="I38" s="133"/>
      <c r="J38" s="110"/>
      <c r="K38" s="110"/>
      <c r="L38" s="115"/>
      <c r="M38" s="115"/>
      <c r="N38" s="116"/>
    </row>
    <row r="39" spans="1:14" s="12" customFormat="1" ht="26.25" customHeight="1" x14ac:dyDescent="0.4">
      <c r="A39" s="122" t="s">
        <v>64</v>
      </c>
      <c r="B39" s="123">
        <v>1</v>
      </c>
      <c r="C39" s="134">
        <v>2</v>
      </c>
      <c r="D39" s="135">
        <v>123748898</v>
      </c>
      <c r="E39" s="136">
        <f>IF(ISBLANK(D39),"-",$D$48/$D$45*D39)</f>
        <v>75140590.010222688</v>
      </c>
      <c r="F39" s="135">
        <v>121330937</v>
      </c>
      <c r="G39" s="137">
        <f>IF(ISBLANK(F39),"-",$D$48/$F$45*F39)</f>
        <v>75450249.739789814</v>
      </c>
      <c r="I39" s="306">
        <f>ABS((F43/D43*D42)-F42)/D42</f>
        <v>5.5628560229657488E-3</v>
      </c>
      <c r="J39" s="110"/>
      <c r="K39" s="110"/>
      <c r="L39" s="115"/>
      <c r="M39" s="115"/>
      <c r="N39" s="116"/>
    </row>
    <row r="40" spans="1:14" ht="26.25" customHeight="1" x14ac:dyDescent="0.4">
      <c r="A40" s="122" t="s">
        <v>65</v>
      </c>
      <c r="B40" s="123">
        <v>1</v>
      </c>
      <c r="C40" s="134">
        <v>3</v>
      </c>
      <c r="D40" s="135">
        <v>123324464</v>
      </c>
      <c r="E40" s="136">
        <f>IF(ISBLANK(D40),"-",$D$48/$D$45*D40)</f>
        <v>74882872.796608388</v>
      </c>
      <c r="F40" s="135">
        <v>121371438</v>
      </c>
      <c r="G40" s="137">
        <f>IF(ISBLANK(F40),"-",$D$48/$F$45*F40)</f>
        <v>75475435.489115328</v>
      </c>
      <c r="I40" s="306"/>
      <c r="L40" s="115"/>
      <c r="M40" s="115"/>
      <c r="N40" s="138"/>
    </row>
    <row r="41" spans="1:14" ht="27" customHeight="1" x14ac:dyDescent="0.4">
      <c r="A41" s="122" t="s">
        <v>66</v>
      </c>
      <c r="B41" s="123">
        <v>1</v>
      </c>
      <c r="C41" s="139">
        <v>4</v>
      </c>
      <c r="D41" s="140"/>
      <c r="E41" s="141" t="str">
        <f>IF(ISBLANK(D41),"-",$D$48/$D$45*D41)</f>
        <v>-</v>
      </c>
      <c r="F41" s="140"/>
      <c r="G41" s="142" t="str">
        <f>IF(ISBLANK(F41),"-",$D$48/$F$45*F41)</f>
        <v>-</v>
      </c>
      <c r="I41" s="143"/>
      <c r="L41" s="115"/>
      <c r="M41" s="115"/>
      <c r="N41" s="138"/>
    </row>
    <row r="42" spans="1:14" ht="27" customHeight="1" x14ac:dyDescent="0.4">
      <c r="A42" s="122" t="s">
        <v>67</v>
      </c>
      <c r="B42" s="123">
        <v>1</v>
      </c>
      <c r="C42" s="144" t="s">
        <v>68</v>
      </c>
      <c r="D42" s="145">
        <f>AVERAGE(D38:D41)</f>
        <v>123644159</v>
      </c>
      <c r="E42" s="146">
        <f>AVERAGE(E38:E41)</f>
        <v>75076992.270087004</v>
      </c>
      <c r="F42" s="145">
        <f>AVERAGE(F38:F41)</f>
        <v>121418519.33333333</v>
      </c>
      <c r="G42" s="147">
        <f>AVERAGE(G38:G41)</f>
        <v>75504713.251621038</v>
      </c>
      <c r="H42" s="148"/>
    </row>
    <row r="43" spans="1:14" ht="26.25" customHeight="1" x14ac:dyDescent="0.4">
      <c r="A43" s="122" t="s">
        <v>69</v>
      </c>
      <c r="B43" s="123">
        <v>1</v>
      </c>
      <c r="C43" s="149" t="s">
        <v>70</v>
      </c>
      <c r="D43" s="150">
        <v>17.399999999999999</v>
      </c>
      <c r="E43" s="138"/>
      <c r="F43" s="150">
        <v>16.989999999999998</v>
      </c>
      <c r="H43" s="148"/>
    </row>
    <row r="44" spans="1:14" ht="26.25" customHeight="1" x14ac:dyDescent="0.4">
      <c r="A44" s="122" t="s">
        <v>71</v>
      </c>
      <c r="B44" s="123">
        <v>1</v>
      </c>
      <c r="C44" s="151" t="s">
        <v>72</v>
      </c>
      <c r="D44" s="152">
        <f>D43*$B$34</f>
        <v>16.770856832793463</v>
      </c>
      <c r="E44" s="153"/>
      <c r="F44" s="152">
        <f>F43*$B$34</f>
        <v>16.375681470641432</v>
      </c>
      <c r="H44" s="148"/>
    </row>
    <row r="45" spans="1:14" ht="19.5" customHeight="1" x14ac:dyDescent="0.3">
      <c r="A45" s="122" t="s">
        <v>73</v>
      </c>
      <c r="B45" s="154">
        <f>(B44/B43)*(B42/B41)*(B40/B39)*(B38/B37)*B36</f>
        <v>100</v>
      </c>
      <c r="C45" s="151" t="s">
        <v>74</v>
      </c>
      <c r="D45" s="155">
        <f>D44*$B$30/100</f>
        <v>16.468981409803181</v>
      </c>
      <c r="E45" s="156"/>
      <c r="F45" s="155">
        <f>F44*$B$30/100</f>
        <v>16.080919204169888</v>
      </c>
      <c r="H45" s="148"/>
    </row>
    <row r="46" spans="1:14" ht="19.5" customHeight="1" x14ac:dyDescent="0.3">
      <c r="A46" s="292" t="s">
        <v>75</v>
      </c>
      <c r="B46" s="293"/>
      <c r="C46" s="151" t="s">
        <v>76</v>
      </c>
      <c r="D46" s="157">
        <f>D45/$B$45</f>
        <v>0.16468981409803182</v>
      </c>
      <c r="E46" s="158"/>
      <c r="F46" s="159">
        <f>F45/$B$45</f>
        <v>0.16080919204169888</v>
      </c>
      <c r="H46" s="148"/>
    </row>
    <row r="47" spans="1:14" ht="27" customHeight="1" x14ac:dyDescent="0.4">
      <c r="A47" s="294"/>
      <c r="B47" s="295"/>
      <c r="C47" s="160" t="s">
        <v>77</v>
      </c>
      <c r="D47" s="161">
        <v>0.1</v>
      </c>
      <c r="E47" s="162"/>
      <c r="F47" s="158"/>
      <c r="H47" s="148"/>
    </row>
    <row r="48" spans="1:14" ht="18.75" x14ac:dyDescent="0.3">
      <c r="C48" s="163" t="s">
        <v>78</v>
      </c>
      <c r="D48" s="155">
        <f>D47*$B$45</f>
        <v>10</v>
      </c>
      <c r="F48" s="164"/>
      <c r="H48" s="148"/>
    </row>
    <row r="49" spans="1:12" ht="19.5" customHeight="1" x14ac:dyDescent="0.3">
      <c r="C49" s="165" t="s">
        <v>79</v>
      </c>
      <c r="D49" s="166">
        <f>D48/B34</f>
        <v>10.375140741751681</v>
      </c>
      <c r="F49" s="164"/>
      <c r="H49" s="148"/>
    </row>
    <row r="50" spans="1:12" ht="18.75" x14ac:dyDescent="0.3">
      <c r="C50" s="120" t="s">
        <v>80</v>
      </c>
      <c r="D50" s="167">
        <f>AVERAGE(E38:E41,G38:G41)</f>
        <v>75290852.760854021</v>
      </c>
      <c r="F50" s="168"/>
      <c r="H50" s="148"/>
    </row>
    <row r="51" spans="1:12" ht="18.75" x14ac:dyDescent="0.3">
      <c r="C51" s="122" t="s">
        <v>81</v>
      </c>
      <c r="D51" s="169">
        <f>STDEV(E38:E41,G38:G41)/D50</f>
        <v>3.4838757780135E-3</v>
      </c>
      <c r="F51" s="168"/>
      <c r="H51" s="148"/>
    </row>
    <row r="52" spans="1:12" ht="19.5" customHeight="1" x14ac:dyDescent="0.3">
      <c r="C52" s="170" t="s">
        <v>19</v>
      </c>
      <c r="D52" s="171">
        <f>COUNT(E38:E41,G38:G41)</f>
        <v>6</v>
      </c>
      <c r="F52" s="168"/>
    </row>
    <row r="54" spans="1:12" ht="18.75" x14ac:dyDescent="0.3">
      <c r="A54" s="172" t="s">
        <v>1</v>
      </c>
      <c r="B54" s="173" t="s">
        <v>82</v>
      </c>
    </row>
    <row r="55" spans="1:12" ht="18.75" x14ac:dyDescent="0.3">
      <c r="A55" s="97" t="s">
        <v>83</v>
      </c>
      <c r="B55" s="174" t="str">
        <f>B21</f>
        <v>Each tablet contains: Montelukast Sodium equivalent to 10 mg Montelukast.</v>
      </c>
    </row>
    <row r="56" spans="1:12" ht="26.25" customHeight="1" x14ac:dyDescent="0.4">
      <c r="A56" s="175" t="s">
        <v>84</v>
      </c>
      <c r="B56" s="176">
        <v>10</v>
      </c>
      <c r="C56" s="97" t="str">
        <f>B20</f>
        <v>Montelukast Sodium</v>
      </c>
      <c r="H56" s="177"/>
    </row>
    <row r="57" spans="1:12" ht="18.75" x14ac:dyDescent="0.3">
      <c r="A57" s="174" t="s">
        <v>85</v>
      </c>
      <c r="B57" s="265">
        <f>Uniformity!C46</f>
        <v>203.10000000000002</v>
      </c>
      <c r="H57" s="177"/>
    </row>
    <row r="58" spans="1:12" ht="19.5" customHeight="1" x14ac:dyDescent="0.3">
      <c r="H58" s="177"/>
    </row>
    <row r="59" spans="1:12" s="12" customFormat="1" ht="27" customHeight="1" x14ac:dyDescent="0.4">
      <c r="A59" s="120" t="s">
        <v>86</v>
      </c>
      <c r="B59" s="121">
        <v>100</v>
      </c>
      <c r="C59" s="97"/>
      <c r="D59" s="178" t="s">
        <v>87</v>
      </c>
      <c r="E59" s="179" t="s">
        <v>59</v>
      </c>
      <c r="F59" s="179" t="s">
        <v>60</v>
      </c>
      <c r="G59" s="179" t="s">
        <v>88</v>
      </c>
      <c r="H59" s="124" t="s">
        <v>89</v>
      </c>
      <c r="L59" s="110"/>
    </row>
    <row r="60" spans="1:12" s="12" customFormat="1" ht="26.25" customHeight="1" x14ac:dyDescent="0.4">
      <c r="A60" s="122" t="s">
        <v>90</v>
      </c>
      <c r="B60" s="123">
        <v>1</v>
      </c>
      <c r="C60" s="309" t="s">
        <v>91</v>
      </c>
      <c r="D60" s="312">
        <v>198.9</v>
      </c>
      <c r="E60" s="180">
        <v>1</v>
      </c>
      <c r="F60" s="181">
        <v>72458387</v>
      </c>
      <c r="G60" s="266">
        <f>IF(ISBLANK(F60),"-",(F60/$D$50*$D$47*$B$68)*($B$57/$D$60))</f>
        <v>9.8270142575564368</v>
      </c>
      <c r="H60" s="182">
        <f t="shared" ref="H60:H71" si="0">IF(ISBLANK(F60),"-",G60/$B$56)</f>
        <v>0.98270142575564368</v>
      </c>
      <c r="L60" s="110"/>
    </row>
    <row r="61" spans="1:12" s="12" customFormat="1" ht="26.25" customHeight="1" x14ac:dyDescent="0.4">
      <c r="A61" s="122" t="s">
        <v>92</v>
      </c>
      <c r="B61" s="123">
        <v>1</v>
      </c>
      <c r="C61" s="310"/>
      <c r="D61" s="313"/>
      <c r="E61" s="183">
        <v>2</v>
      </c>
      <c r="F61" s="135">
        <v>72266441</v>
      </c>
      <c r="G61" s="267">
        <f>IF(ISBLANK(F61),"-",(F61/$D$50*$D$47*$B$68)*($B$57/$D$60))</f>
        <v>9.8009819905301097</v>
      </c>
      <c r="H61" s="184">
        <f t="shared" si="0"/>
        <v>0.98009819905301099</v>
      </c>
      <c r="L61" s="110"/>
    </row>
    <row r="62" spans="1:12" s="12" customFormat="1" ht="26.25" customHeight="1" x14ac:dyDescent="0.4">
      <c r="A62" s="122" t="s">
        <v>93</v>
      </c>
      <c r="B62" s="123">
        <v>1</v>
      </c>
      <c r="C62" s="310"/>
      <c r="D62" s="313"/>
      <c r="E62" s="183">
        <v>3</v>
      </c>
      <c r="F62" s="185">
        <v>72548365</v>
      </c>
      <c r="G62" s="267">
        <f>IF(ISBLANK(F62),"-",(F62/$D$50*$D$47*$B$68)*($B$57/$D$60))</f>
        <v>9.8392173319757799</v>
      </c>
      <c r="H62" s="184">
        <f t="shared" si="0"/>
        <v>0.98392173319757803</v>
      </c>
      <c r="L62" s="110"/>
    </row>
    <row r="63" spans="1:12" ht="27" customHeight="1" x14ac:dyDescent="0.4">
      <c r="A63" s="122" t="s">
        <v>94</v>
      </c>
      <c r="B63" s="123">
        <v>1</v>
      </c>
      <c r="C63" s="320"/>
      <c r="D63" s="314"/>
      <c r="E63" s="186">
        <v>4</v>
      </c>
      <c r="F63" s="187"/>
      <c r="G63" s="267" t="str">
        <f>IF(ISBLANK(F63),"-",(F63/$D$50*$D$47*$B$68)*($B$57/$D$60))</f>
        <v>-</v>
      </c>
      <c r="H63" s="184" t="str">
        <f t="shared" si="0"/>
        <v>-</v>
      </c>
    </row>
    <row r="64" spans="1:12" ht="26.25" customHeight="1" x14ac:dyDescent="0.4">
      <c r="A64" s="122" t="s">
        <v>95</v>
      </c>
      <c r="B64" s="123">
        <v>1</v>
      </c>
      <c r="C64" s="309" t="s">
        <v>96</v>
      </c>
      <c r="D64" s="312">
        <v>195.55</v>
      </c>
      <c r="E64" s="180">
        <v>1</v>
      </c>
      <c r="F64" s="181">
        <v>69930320</v>
      </c>
      <c r="G64" s="268">
        <f>IF(ISBLANK(F64),"-",(F64/$D$50*$D$47*$B$68)*($B$57/$D$64))</f>
        <v>9.6466251417737894</v>
      </c>
      <c r="H64" s="188">
        <f t="shared" si="0"/>
        <v>0.96466251417737892</v>
      </c>
    </row>
    <row r="65" spans="1:8" ht="26.25" customHeight="1" x14ac:dyDescent="0.4">
      <c r="A65" s="122" t="s">
        <v>97</v>
      </c>
      <c r="B65" s="123">
        <v>1</v>
      </c>
      <c r="C65" s="310"/>
      <c r="D65" s="313"/>
      <c r="E65" s="183">
        <v>2</v>
      </c>
      <c r="F65" s="135">
        <v>70070461</v>
      </c>
      <c r="G65" s="269">
        <f>IF(ISBLANK(F65),"-",(F65/$D$50*$D$47*$B$68)*($B$57/$D$64))</f>
        <v>9.6659570666669303</v>
      </c>
      <c r="H65" s="189">
        <f t="shared" si="0"/>
        <v>0.96659570666669303</v>
      </c>
    </row>
    <row r="66" spans="1:8" ht="26.25" customHeight="1" x14ac:dyDescent="0.4">
      <c r="A66" s="122" t="s">
        <v>98</v>
      </c>
      <c r="B66" s="123">
        <v>1</v>
      </c>
      <c r="C66" s="310"/>
      <c r="D66" s="313"/>
      <c r="E66" s="183">
        <v>3</v>
      </c>
      <c r="F66" s="135">
        <v>70098108</v>
      </c>
      <c r="G66" s="269">
        <f>IF(ISBLANK(F66),"-",(F66/$D$50*$D$47*$B$68)*($B$57/$D$64))</f>
        <v>9.6697708665364956</v>
      </c>
      <c r="H66" s="189">
        <f t="shared" si="0"/>
        <v>0.96697708665364956</v>
      </c>
    </row>
    <row r="67" spans="1:8" ht="27" customHeight="1" x14ac:dyDescent="0.4">
      <c r="A67" s="122" t="s">
        <v>99</v>
      </c>
      <c r="B67" s="123">
        <v>1</v>
      </c>
      <c r="C67" s="320"/>
      <c r="D67" s="314"/>
      <c r="E67" s="186">
        <v>4</v>
      </c>
      <c r="F67" s="187"/>
      <c r="G67" s="270" t="str">
        <f>IF(ISBLANK(F67),"-",(F67/$D$50*$D$47*$B$68)*($B$57/$D$64))</f>
        <v>-</v>
      </c>
      <c r="H67" s="190" t="str">
        <f t="shared" si="0"/>
        <v>-</v>
      </c>
    </row>
    <row r="68" spans="1:8" ht="26.25" customHeight="1" x14ac:dyDescent="0.4">
      <c r="A68" s="122" t="s">
        <v>100</v>
      </c>
      <c r="B68" s="191">
        <f>(B67/B66)*(B65/B64)*(B63/B62)*(B61/B60)*B59</f>
        <v>100</v>
      </c>
      <c r="C68" s="309" t="s">
        <v>101</v>
      </c>
      <c r="D68" s="312">
        <v>197.59</v>
      </c>
      <c r="E68" s="180">
        <v>1</v>
      </c>
      <c r="F68" s="181">
        <v>70892413</v>
      </c>
      <c r="G68" s="268">
        <f>IF(ISBLANK(F68),"-",(F68/$D$50*$D$47*$B$68)*($B$57/$D$68))</f>
        <v>9.6783763291383931</v>
      </c>
      <c r="H68" s="184">
        <f t="shared" si="0"/>
        <v>0.96783763291383929</v>
      </c>
    </row>
    <row r="69" spans="1:8" ht="27" customHeight="1" x14ac:dyDescent="0.4">
      <c r="A69" s="170" t="s">
        <v>102</v>
      </c>
      <c r="B69" s="192">
        <f>(D47*B68)/B56*B57</f>
        <v>203.10000000000002</v>
      </c>
      <c r="C69" s="310"/>
      <c r="D69" s="313"/>
      <c r="E69" s="183">
        <v>2</v>
      </c>
      <c r="F69" s="135">
        <v>70813706</v>
      </c>
      <c r="G69" s="269">
        <f>IF(ISBLANK(F69),"-",(F69/$D$50*$D$47*$B$68)*($B$57/$D$68))</f>
        <v>9.6676310895069335</v>
      </c>
      <c r="H69" s="184">
        <f t="shared" si="0"/>
        <v>0.9667631089506934</v>
      </c>
    </row>
    <row r="70" spans="1:8" ht="26.25" customHeight="1" x14ac:dyDescent="0.4">
      <c r="A70" s="315" t="s">
        <v>75</v>
      </c>
      <c r="B70" s="316"/>
      <c r="C70" s="310"/>
      <c r="D70" s="313"/>
      <c r="E70" s="183">
        <v>3</v>
      </c>
      <c r="F70" s="135">
        <v>70840106</v>
      </c>
      <c r="G70" s="269">
        <f>IF(ISBLANK(F70),"-",(F70/$D$50*$D$47*$B$68)*($B$57/$D$68))</f>
        <v>9.6712352711714686</v>
      </c>
      <c r="H70" s="184">
        <f t="shared" si="0"/>
        <v>0.96712352711714689</v>
      </c>
    </row>
    <row r="71" spans="1:8" ht="27" customHeight="1" x14ac:dyDescent="0.4">
      <c r="A71" s="317"/>
      <c r="B71" s="318"/>
      <c r="C71" s="311"/>
      <c r="D71" s="314"/>
      <c r="E71" s="186">
        <v>4</v>
      </c>
      <c r="F71" s="187"/>
      <c r="G71" s="270" t="str">
        <f>IF(ISBLANK(F71),"-",(F71/$D$50*$D$47*$B$68)*($B$57/$D$68))</f>
        <v>-</v>
      </c>
      <c r="H71" s="193" t="str">
        <f t="shared" si="0"/>
        <v>-</v>
      </c>
    </row>
    <row r="72" spans="1:8" ht="26.25" customHeight="1" x14ac:dyDescent="0.4">
      <c r="A72" s="194"/>
      <c r="B72" s="194"/>
      <c r="C72" s="194"/>
      <c r="D72" s="194"/>
      <c r="E72" s="194"/>
      <c r="F72" s="196" t="s">
        <v>68</v>
      </c>
      <c r="G72" s="275">
        <f>AVERAGE(G60:G71)</f>
        <v>9.7185343716507031</v>
      </c>
      <c r="H72" s="197">
        <f>AVERAGE(H60:H71)</f>
        <v>0.97185343716507033</v>
      </c>
    </row>
    <row r="73" spans="1:8" ht="26.25" customHeight="1" x14ac:dyDescent="0.4">
      <c r="C73" s="194"/>
      <c r="D73" s="194"/>
      <c r="E73" s="194"/>
      <c r="F73" s="198" t="s">
        <v>81</v>
      </c>
      <c r="G73" s="271">
        <f>STDEV(G60:G71)/G72</f>
        <v>8.1252215806625564E-3</v>
      </c>
      <c r="H73" s="271">
        <f>STDEV(H60:H71)/H72</f>
        <v>8.1252215806625668E-3</v>
      </c>
    </row>
    <row r="74" spans="1:8" ht="27" customHeight="1" x14ac:dyDescent="0.4">
      <c r="A74" s="194"/>
      <c r="B74" s="194"/>
      <c r="C74" s="195"/>
      <c r="D74" s="195"/>
      <c r="E74" s="199"/>
      <c r="F74" s="200" t="s">
        <v>19</v>
      </c>
      <c r="G74" s="201">
        <f>COUNT(G60:G71)</f>
        <v>9</v>
      </c>
      <c r="H74" s="201">
        <f>COUNT(H60:H71)</f>
        <v>9</v>
      </c>
    </row>
    <row r="76" spans="1:8" ht="26.25" customHeight="1" x14ac:dyDescent="0.4">
      <c r="A76" s="106" t="s">
        <v>103</v>
      </c>
      <c r="B76" s="202" t="s">
        <v>104</v>
      </c>
      <c r="C76" s="296" t="str">
        <f>B20</f>
        <v>Montelukast Sodium</v>
      </c>
      <c r="D76" s="296"/>
      <c r="E76" s="203" t="s">
        <v>105</v>
      </c>
      <c r="F76" s="203"/>
      <c r="G76" s="204">
        <f>H72</f>
        <v>0.97185343716507033</v>
      </c>
      <c r="H76" s="205"/>
    </row>
    <row r="77" spans="1:8" ht="18.75" x14ac:dyDescent="0.3">
      <c r="A77" s="105" t="s">
        <v>106</v>
      </c>
      <c r="B77" s="105" t="s">
        <v>107</v>
      </c>
    </row>
    <row r="78" spans="1:8" ht="18.75" x14ac:dyDescent="0.3">
      <c r="A78" s="105"/>
      <c r="B78" s="105"/>
    </row>
    <row r="79" spans="1:8" ht="26.25" customHeight="1" x14ac:dyDescent="0.4">
      <c r="A79" s="106" t="s">
        <v>3</v>
      </c>
      <c r="B79" s="319" t="str">
        <f>B26</f>
        <v>Montelukast Sodium</v>
      </c>
      <c r="C79" s="319"/>
    </row>
    <row r="80" spans="1:8" ht="26.25" customHeight="1" x14ac:dyDescent="0.4">
      <c r="A80" s="107" t="s">
        <v>45</v>
      </c>
      <c r="B80" s="319" t="str">
        <f>B27</f>
        <v>M6-6</v>
      </c>
      <c r="C80" s="319"/>
    </row>
    <row r="81" spans="1:12" ht="27" customHeight="1" x14ac:dyDescent="0.4">
      <c r="A81" s="107" t="s">
        <v>5</v>
      </c>
      <c r="B81" s="206">
        <f>B28</f>
        <v>98.2</v>
      </c>
    </row>
    <row r="82" spans="1:12" s="12" customFormat="1" ht="27" customHeight="1" x14ac:dyDescent="0.4">
      <c r="A82" s="107" t="s">
        <v>46</v>
      </c>
      <c r="B82" s="109">
        <v>0</v>
      </c>
      <c r="C82" s="298" t="s">
        <v>47</v>
      </c>
      <c r="D82" s="299"/>
      <c r="E82" s="299"/>
      <c r="F82" s="299"/>
      <c r="G82" s="300"/>
      <c r="I82" s="110"/>
      <c r="J82" s="110"/>
      <c r="K82" s="110"/>
      <c r="L82" s="110"/>
    </row>
    <row r="83" spans="1:12" s="12" customFormat="1" ht="19.5" customHeight="1" x14ac:dyDescent="0.3">
      <c r="A83" s="107" t="s">
        <v>48</v>
      </c>
      <c r="B83" s="111">
        <f>B81-B82</f>
        <v>98.2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12" customFormat="1" ht="27" customHeight="1" x14ac:dyDescent="0.4">
      <c r="A84" s="107" t="s">
        <v>49</v>
      </c>
      <c r="B84" s="114">
        <v>586.17999999999995</v>
      </c>
      <c r="C84" s="301" t="s">
        <v>108</v>
      </c>
      <c r="D84" s="302"/>
      <c r="E84" s="302"/>
      <c r="F84" s="302"/>
      <c r="G84" s="302"/>
      <c r="H84" s="303"/>
      <c r="I84" s="110"/>
      <c r="J84" s="110"/>
      <c r="K84" s="110"/>
      <c r="L84" s="110"/>
    </row>
    <row r="85" spans="1:12" s="12" customFormat="1" ht="27" customHeight="1" x14ac:dyDescent="0.4">
      <c r="A85" s="107" t="s">
        <v>51</v>
      </c>
      <c r="B85" s="114">
        <v>608.16999999999996</v>
      </c>
      <c r="C85" s="301" t="s">
        <v>109</v>
      </c>
      <c r="D85" s="302"/>
      <c r="E85" s="302"/>
      <c r="F85" s="302"/>
      <c r="G85" s="302"/>
      <c r="H85" s="303"/>
      <c r="I85" s="110"/>
      <c r="J85" s="110"/>
      <c r="K85" s="110"/>
      <c r="L85" s="110"/>
    </row>
    <row r="86" spans="1:12" s="12" customFormat="1" ht="18.75" x14ac:dyDescent="0.3">
      <c r="A86" s="107"/>
      <c r="B86" s="117"/>
      <c r="C86" s="118"/>
      <c r="D86" s="118"/>
      <c r="E86" s="118"/>
      <c r="F86" s="118"/>
      <c r="G86" s="118"/>
      <c r="H86" s="118"/>
      <c r="I86" s="110"/>
      <c r="J86" s="110"/>
      <c r="K86" s="110"/>
      <c r="L86" s="110"/>
    </row>
    <row r="87" spans="1:12" s="12" customFormat="1" ht="18.75" x14ac:dyDescent="0.3">
      <c r="A87" s="107" t="s">
        <v>53</v>
      </c>
      <c r="B87" s="119">
        <f>B84/B85</f>
        <v>0.96384234671226798</v>
      </c>
      <c r="C87" s="97" t="s">
        <v>54</v>
      </c>
      <c r="D87" s="97"/>
      <c r="E87" s="97"/>
      <c r="F87" s="97"/>
      <c r="G87" s="97"/>
      <c r="I87" s="110"/>
      <c r="J87" s="110"/>
      <c r="K87" s="110"/>
      <c r="L87" s="110"/>
    </row>
    <row r="88" spans="1:12" ht="19.5" customHeight="1" x14ac:dyDescent="0.3">
      <c r="A88" s="105"/>
      <c r="B88" s="105"/>
    </row>
    <row r="89" spans="1:12" ht="27" customHeight="1" x14ac:dyDescent="0.4">
      <c r="A89" s="120" t="s">
        <v>55</v>
      </c>
      <c r="B89" s="121">
        <v>100</v>
      </c>
      <c r="D89" s="207" t="s">
        <v>56</v>
      </c>
      <c r="E89" s="208"/>
      <c r="F89" s="304" t="s">
        <v>57</v>
      </c>
      <c r="G89" s="305"/>
    </row>
    <row r="90" spans="1:12" ht="27" customHeight="1" x14ac:dyDescent="0.4">
      <c r="A90" s="122" t="s">
        <v>58</v>
      </c>
      <c r="B90" s="123">
        <v>3</v>
      </c>
      <c r="C90" s="209" t="s">
        <v>59</v>
      </c>
      <c r="D90" s="125" t="s">
        <v>60</v>
      </c>
      <c r="E90" s="126" t="s">
        <v>61</v>
      </c>
      <c r="F90" s="125" t="s">
        <v>60</v>
      </c>
      <c r="G90" s="210" t="s">
        <v>61</v>
      </c>
      <c r="I90" s="128" t="s">
        <v>62</v>
      </c>
    </row>
    <row r="91" spans="1:12" ht="26.25" customHeight="1" x14ac:dyDescent="0.4">
      <c r="A91" s="122" t="s">
        <v>63</v>
      </c>
      <c r="B91" s="123">
        <v>25</v>
      </c>
      <c r="C91" s="211">
        <v>1</v>
      </c>
      <c r="D91" s="130">
        <v>62253122</v>
      </c>
      <c r="E91" s="131">
        <f>IF(ISBLANK(D91),"-",$D$101/$D$98*D91)</f>
        <v>35000209.299719222</v>
      </c>
      <c r="F91" s="130">
        <v>61666580</v>
      </c>
      <c r="G91" s="132">
        <f>IF(ISBLANK(F91),"-",$D$101/$F$98*F91)</f>
        <v>35507102.834257834</v>
      </c>
      <c r="I91" s="133"/>
    </row>
    <row r="92" spans="1:12" ht="26.25" customHeight="1" x14ac:dyDescent="0.4">
      <c r="A92" s="122" t="s">
        <v>64</v>
      </c>
      <c r="B92" s="123">
        <v>1</v>
      </c>
      <c r="C92" s="195">
        <v>2</v>
      </c>
      <c r="D92" s="135">
        <v>62512247</v>
      </c>
      <c r="E92" s="136">
        <f>IF(ISBLANK(D92),"-",$D$101/$D$98*D92)</f>
        <v>35145895.635495119</v>
      </c>
      <c r="F92" s="135">
        <v>61584924</v>
      </c>
      <c r="G92" s="137">
        <f>IF(ISBLANK(F92),"-",$D$101/$F$98*F92)</f>
        <v>35460085.989979558</v>
      </c>
      <c r="I92" s="306">
        <f>ABS((F96/D96*D95)-F95)/D95</f>
        <v>1.2905815269482318E-2</v>
      </c>
    </row>
    <row r="93" spans="1:12" ht="26.25" customHeight="1" x14ac:dyDescent="0.4">
      <c r="A93" s="122" t="s">
        <v>65</v>
      </c>
      <c r="B93" s="123">
        <v>1</v>
      </c>
      <c r="C93" s="195">
        <v>3</v>
      </c>
      <c r="D93" s="135">
        <v>62090376</v>
      </c>
      <c r="E93" s="136">
        <f>IF(ISBLANK(D93),"-",$D$101/$D$98*D93)</f>
        <v>34908709.566377461</v>
      </c>
      <c r="F93" s="135">
        <v>61612844</v>
      </c>
      <c r="G93" s="137">
        <f>IF(ISBLANK(F93),"-",$D$101/$F$98*F93)</f>
        <v>35476162.093294062</v>
      </c>
      <c r="I93" s="306"/>
    </row>
    <row r="94" spans="1:12" ht="27" customHeight="1" x14ac:dyDescent="0.4">
      <c r="A94" s="122" t="s">
        <v>66</v>
      </c>
      <c r="B94" s="123">
        <v>1</v>
      </c>
      <c r="C94" s="212">
        <v>4</v>
      </c>
      <c r="D94" s="140"/>
      <c r="E94" s="141" t="str">
        <f>IF(ISBLANK(D94),"-",$D$101/$D$98*D94)</f>
        <v>-</v>
      </c>
      <c r="F94" s="140"/>
      <c r="G94" s="142" t="str">
        <f>IF(ISBLANK(F94),"-",$D$101/$F$98*F94)</f>
        <v>-</v>
      </c>
      <c r="I94" s="143"/>
    </row>
    <row r="95" spans="1:12" ht="27" customHeight="1" x14ac:dyDescent="0.4">
      <c r="A95" s="122" t="s">
        <v>67</v>
      </c>
      <c r="B95" s="123">
        <v>1</v>
      </c>
      <c r="C95" s="213" t="s">
        <v>68</v>
      </c>
      <c r="D95" s="214">
        <f>AVERAGE(D91:D94)</f>
        <v>62285248.333333336</v>
      </c>
      <c r="E95" s="146">
        <f>AVERAGE(E91:E94)</f>
        <v>35018271.500530601</v>
      </c>
      <c r="F95" s="215">
        <f>AVERAGE(F91:F94)</f>
        <v>61621449.333333336</v>
      </c>
      <c r="G95" s="216">
        <f>AVERAGE(G91:G94)</f>
        <v>35481116.972510487</v>
      </c>
    </row>
    <row r="96" spans="1:12" ht="26.25" customHeight="1" x14ac:dyDescent="0.4">
      <c r="A96" s="122" t="s">
        <v>69</v>
      </c>
      <c r="B96" s="108">
        <v>1</v>
      </c>
      <c r="C96" s="217" t="s">
        <v>110</v>
      </c>
      <c r="D96" s="218">
        <f>D43</f>
        <v>17.399999999999999</v>
      </c>
      <c r="E96" s="138"/>
      <c r="F96" s="150">
        <f>F43</f>
        <v>16.989999999999998</v>
      </c>
    </row>
    <row r="97" spans="1:10" ht="26.25" customHeight="1" x14ac:dyDescent="0.4">
      <c r="A97" s="122" t="s">
        <v>71</v>
      </c>
      <c r="B97" s="108">
        <v>1</v>
      </c>
      <c r="C97" s="219" t="s">
        <v>111</v>
      </c>
      <c r="D97" s="220">
        <f>D96*$B$87</f>
        <v>16.770856832793463</v>
      </c>
      <c r="E97" s="153"/>
      <c r="F97" s="152">
        <f>F96*$B$87</f>
        <v>16.375681470641432</v>
      </c>
    </row>
    <row r="98" spans="1:10" ht="19.5" customHeight="1" x14ac:dyDescent="0.3">
      <c r="A98" s="122" t="s">
        <v>73</v>
      </c>
      <c r="B98" s="221">
        <f>(B97/B96)*(B95/B94)*(B93/B92)*(B91/B90)*B89</f>
        <v>833.33333333333337</v>
      </c>
      <c r="C98" s="219" t="s">
        <v>112</v>
      </c>
      <c r="D98" s="222">
        <f>D97*$B$83/100</f>
        <v>16.468981409803181</v>
      </c>
      <c r="E98" s="156"/>
      <c r="F98" s="155">
        <f>F97*$B$83/100</f>
        <v>16.080919204169888</v>
      </c>
    </row>
    <row r="99" spans="1:10" ht="19.5" customHeight="1" x14ac:dyDescent="0.3">
      <c r="A99" s="292" t="s">
        <v>75</v>
      </c>
      <c r="B99" s="307"/>
      <c r="C99" s="219" t="s">
        <v>113</v>
      </c>
      <c r="D99" s="223">
        <f>D98/$B$98</f>
        <v>1.9762777691763815E-2</v>
      </c>
      <c r="E99" s="156"/>
      <c r="F99" s="159">
        <f>F98/$B$98</f>
        <v>1.9297103045003865E-2</v>
      </c>
      <c r="G99" s="224"/>
      <c r="H99" s="148"/>
    </row>
    <row r="100" spans="1:10" ht="19.5" customHeight="1" x14ac:dyDescent="0.3">
      <c r="A100" s="294"/>
      <c r="B100" s="308"/>
      <c r="C100" s="219" t="s">
        <v>77</v>
      </c>
      <c r="D100" s="225">
        <f>$B$56/$B$116</f>
        <v>1.1111111111111112E-2</v>
      </c>
      <c r="F100" s="164"/>
      <c r="G100" s="226"/>
      <c r="H100" s="148"/>
    </row>
    <row r="101" spans="1:10" ht="18.75" x14ac:dyDescent="0.3">
      <c r="C101" s="219" t="s">
        <v>78</v>
      </c>
      <c r="D101" s="220">
        <f>D100*$B$98</f>
        <v>9.2592592592592595</v>
      </c>
      <c r="F101" s="164"/>
      <c r="G101" s="224"/>
      <c r="H101" s="148"/>
    </row>
    <row r="102" spans="1:10" ht="19.5" customHeight="1" x14ac:dyDescent="0.3">
      <c r="C102" s="227" t="s">
        <v>79</v>
      </c>
      <c r="D102" s="228">
        <f>D101/B34</f>
        <v>9.6066117979182231</v>
      </c>
      <c r="F102" s="168"/>
      <c r="G102" s="224"/>
      <c r="H102" s="148"/>
      <c r="J102" s="229"/>
    </row>
    <row r="103" spans="1:10" ht="18.75" x14ac:dyDescent="0.3">
      <c r="C103" s="230" t="s">
        <v>114</v>
      </c>
      <c r="D103" s="231">
        <f>AVERAGE(E91:E94,G91:G94)</f>
        <v>35249694.236520544</v>
      </c>
      <c r="F103" s="168"/>
      <c r="G103" s="232"/>
      <c r="H103" s="148"/>
      <c r="J103" s="233"/>
    </row>
    <row r="104" spans="1:10" ht="18.75" x14ac:dyDescent="0.3">
      <c r="C104" s="198" t="s">
        <v>81</v>
      </c>
      <c r="D104" s="234">
        <f>STDEV(E91:E94,G91:G94)/D103</f>
        <v>7.5175173083243535E-3</v>
      </c>
      <c r="F104" s="168"/>
      <c r="G104" s="224"/>
      <c r="H104" s="148"/>
      <c r="J104" s="233"/>
    </row>
    <row r="105" spans="1:10" ht="19.5" customHeight="1" x14ac:dyDescent="0.3">
      <c r="C105" s="200" t="s">
        <v>19</v>
      </c>
      <c r="D105" s="235">
        <f>COUNT(E91:E94,G91:G94)</f>
        <v>6</v>
      </c>
      <c r="F105" s="168"/>
      <c r="G105" s="224"/>
      <c r="H105" s="148"/>
      <c r="J105" s="233"/>
    </row>
    <row r="106" spans="1:10" ht="19.5" customHeight="1" x14ac:dyDescent="0.3">
      <c r="A106" s="172"/>
      <c r="B106" s="172"/>
      <c r="C106" s="172"/>
      <c r="D106" s="172"/>
      <c r="E106" s="172"/>
    </row>
    <row r="107" spans="1:10" ht="26.25" customHeight="1" x14ac:dyDescent="0.4">
      <c r="A107" s="120" t="s">
        <v>115</v>
      </c>
      <c r="B107" s="121">
        <v>900</v>
      </c>
      <c r="C107" s="236" t="s">
        <v>116</v>
      </c>
      <c r="D107" s="237" t="s">
        <v>60</v>
      </c>
      <c r="E107" s="238" t="s">
        <v>117</v>
      </c>
      <c r="F107" s="239" t="s">
        <v>118</v>
      </c>
    </row>
    <row r="108" spans="1:10" ht="26.25" customHeight="1" x14ac:dyDescent="0.4">
      <c r="A108" s="122" t="s">
        <v>119</v>
      </c>
      <c r="B108" s="123">
        <v>1</v>
      </c>
      <c r="C108" s="240">
        <v>1</v>
      </c>
      <c r="D108" s="241">
        <v>36337019</v>
      </c>
      <c r="E108" s="272">
        <f t="shared" ref="E108:E113" si="1">IF(ISBLANK(D108),"-",D108/$D$103*$D$100*$B$116)</f>
        <v>10.308463601466629</v>
      </c>
      <c r="F108" s="242">
        <f t="shared" ref="F108:F113" si="2">IF(ISBLANK(D108), "-", E108/$B$56)</f>
        <v>1.0308463601466629</v>
      </c>
    </row>
    <row r="109" spans="1:10" ht="26.25" customHeight="1" x14ac:dyDescent="0.4">
      <c r="A109" s="122" t="s">
        <v>92</v>
      </c>
      <c r="B109" s="123">
        <v>1</v>
      </c>
      <c r="C109" s="240">
        <v>2</v>
      </c>
      <c r="D109" s="241">
        <v>35336104</v>
      </c>
      <c r="E109" s="273">
        <f t="shared" si="1"/>
        <v>10.024513620713886</v>
      </c>
      <c r="F109" s="243">
        <f t="shared" si="2"/>
        <v>1.0024513620713886</v>
      </c>
    </row>
    <row r="110" spans="1:10" ht="26.25" customHeight="1" x14ac:dyDescent="0.4">
      <c r="A110" s="122" t="s">
        <v>93</v>
      </c>
      <c r="B110" s="123">
        <v>1</v>
      </c>
      <c r="C110" s="240">
        <v>3</v>
      </c>
      <c r="D110" s="241">
        <v>35752149</v>
      </c>
      <c r="E110" s="273">
        <f t="shared" si="1"/>
        <v>10.142541594859818</v>
      </c>
      <c r="F110" s="243">
        <f t="shared" si="2"/>
        <v>1.0142541594859817</v>
      </c>
    </row>
    <row r="111" spans="1:10" ht="26.25" customHeight="1" x14ac:dyDescent="0.4">
      <c r="A111" s="122" t="s">
        <v>94</v>
      </c>
      <c r="B111" s="123">
        <v>1</v>
      </c>
      <c r="C111" s="240">
        <v>4</v>
      </c>
      <c r="D111" s="241">
        <v>35456230</v>
      </c>
      <c r="E111" s="273">
        <f t="shared" si="1"/>
        <v>10.058592214188762</v>
      </c>
      <c r="F111" s="243">
        <f t="shared" si="2"/>
        <v>1.0058592214188762</v>
      </c>
    </row>
    <row r="112" spans="1:10" ht="26.25" customHeight="1" x14ac:dyDescent="0.4">
      <c r="A112" s="122" t="s">
        <v>95</v>
      </c>
      <c r="B112" s="123">
        <v>1</v>
      </c>
      <c r="C112" s="240">
        <v>5</v>
      </c>
      <c r="D112" s="241">
        <v>35731576</v>
      </c>
      <c r="E112" s="273">
        <f t="shared" si="1"/>
        <v>10.136705232177647</v>
      </c>
      <c r="F112" s="243">
        <f t="shared" si="2"/>
        <v>1.0136705232177647</v>
      </c>
    </row>
    <row r="113" spans="1:10" ht="26.25" customHeight="1" x14ac:dyDescent="0.4">
      <c r="A113" s="122" t="s">
        <v>97</v>
      </c>
      <c r="B113" s="123">
        <v>1</v>
      </c>
      <c r="C113" s="244">
        <v>6</v>
      </c>
      <c r="D113" s="245">
        <v>37168235</v>
      </c>
      <c r="E113" s="274">
        <f t="shared" si="1"/>
        <v>10.544271604345365</v>
      </c>
      <c r="F113" s="246">
        <f t="shared" si="2"/>
        <v>1.0544271604345365</v>
      </c>
    </row>
    <row r="114" spans="1:10" ht="26.25" customHeight="1" x14ac:dyDescent="0.4">
      <c r="A114" s="122" t="s">
        <v>98</v>
      </c>
      <c r="B114" s="123">
        <v>1</v>
      </c>
      <c r="C114" s="240"/>
      <c r="D114" s="195"/>
      <c r="E114" s="96"/>
      <c r="F114" s="247"/>
    </row>
    <row r="115" spans="1:10" ht="26.25" customHeight="1" x14ac:dyDescent="0.4">
      <c r="A115" s="122" t="s">
        <v>99</v>
      </c>
      <c r="B115" s="123">
        <v>1</v>
      </c>
      <c r="C115" s="240"/>
      <c r="D115" s="248" t="s">
        <v>68</v>
      </c>
      <c r="E115" s="276">
        <f>AVERAGE(E108:E113)</f>
        <v>10.202514644625351</v>
      </c>
      <c r="F115" s="249">
        <f>AVERAGE(F108:F113)</f>
        <v>1.0202514644625351</v>
      </c>
    </row>
    <row r="116" spans="1:10" ht="27" customHeight="1" x14ac:dyDescent="0.4">
      <c r="A116" s="122" t="s">
        <v>100</v>
      </c>
      <c r="B116" s="154">
        <f>(B115/B114)*(B113/B112)*(B111/B110)*(B109/B108)*B107</f>
        <v>900</v>
      </c>
      <c r="C116" s="250"/>
      <c r="D116" s="213" t="s">
        <v>81</v>
      </c>
      <c r="E116" s="251">
        <f>STDEV(E108:E113)/E115</f>
        <v>1.9023440216306146E-2</v>
      </c>
      <c r="F116" s="251">
        <f>STDEV(F108:F113)/F115</f>
        <v>1.9023440216306153E-2</v>
      </c>
      <c r="I116" s="96"/>
    </row>
    <row r="117" spans="1:10" ht="27" customHeight="1" x14ac:dyDescent="0.4">
      <c r="A117" s="292" t="s">
        <v>75</v>
      </c>
      <c r="B117" s="293"/>
      <c r="C117" s="252"/>
      <c r="D117" s="253" t="s">
        <v>19</v>
      </c>
      <c r="E117" s="254">
        <f>COUNT(E108:E113)</f>
        <v>6</v>
      </c>
      <c r="F117" s="254">
        <f>COUNT(F108:F113)</f>
        <v>6</v>
      </c>
      <c r="I117" s="96"/>
      <c r="J117" s="233"/>
    </row>
    <row r="118" spans="1:10" ht="19.5" customHeight="1" x14ac:dyDescent="0.3">
      <c r="A118" s="294"/>
      <c r="B118" s="295"/>
      <c r="C118" s="96"/>
      <c r="D118" s="96"/>
      <c r="E118" s="96"/>
      <c r="F118" s="195"/>
      <c r="G118" s="96"/>
      <c r="H118" s="96"/>
      <c r="I118" s="96"/>
    </row>
    <row r="119" spans="1:10" ht="18.75" x14ac:dyDescent="0.3">
      <c r="A119" s="263"/>
      <c r="B119" s="118"/>
      <c r="C119" s="96"/>
      <c r="D119" s="96"/>
      <c r="E119" s="96"/>
      <c r="F119" s="195"/>
      <c r="G119" s="96"/>
      <c r="H119" s="96"/>
      <c r="I119" s="96"/>
    </row>
    <row r="120" spans="1:10" ht="26.25" customHeight="1" x14ac:dyDescent="0.4">
      <c r="A120" s="106" t="s">
        <v>103</v>
      </c>
      <c r="B120" s="202" t="s">
        <v>120</v>
      </c>
      <c r="C120" s="296" t="str">
        <f>B20</f>
        <v>Montelukast Sodium</v>
      </c>
      <c r="D120" s="296"/>
      <c r="E120" s="203" t="s">
        <v>121</v>
      </c>
      <c r="F120" s="203"/>
      <c r="G120" s="204">
        <f>F115</f>
        <v>1.0202514644625351</v>
      </c>
      <c r="H120" s="96"/>
      <c r="I120" s="96"/>
    </row>
    <row r="121" spans="1:10" ht="19.5" customHeight="1" x14ac:dyDescent="0.3">
      <c r="A121" s="255"/>
      <c r="B121" s="255"/>
      <c r="C121" s="256"/>
      <c r="D121" s="256"/>
      <c r="E121" s="256"/>
      <c r="F121" s="256"/>
      <c r="G121" s="256"/>
      <c r="H121" s="256"/>
    </row>
    <row r="122" spans="1:10" ht="18.75" x14ac:dyDescent="0.3">
      <c r="B122" s="297" t="s">
        <v>23</v>
      </c>
      <c r="C122" s="297"/>
      <c r="E122" s="209" t="s">
        <v>24</v>
      </c>
      <c r="F122" s="257"/>
      <c r="G122" s="297" t="s">
        <v>25</v>
      </c>
      <c r="H122" s="297"/>
    </row>
    <row r="123" spans="1:10" ht="69.95" customHeight="1" x14ac:dyDescent="0.3">
      <c r="A123" s="258" t="s">
        <v>26</v>
      </c>
      <c r="B123" s="259"/>
      <c r="C123" s="259"/>
      <c r="E123" s="259"/>
      <c r="F123" s="96"/>
      <c r="G123" s="260"/>
      <c r="H123" s="260"/>
    </row>
    <row r="124" spans="1:10" ht="69.95" customHeight="1" x14ac:dyDescent="0.3">
      <c r="A124" s="258" t="s">
        <v>27</v>
      </c>
      <c r="B124" s="261"/>
      <c r="C124" s="261"/>
      <c r="E124" s="261"/>
      <c r="F124" s="96"/>
      <c r="G124" s="262"/>
      <c r="H124" s="262"/>
    </row>
    <row r="125" spans="1:10" ht="18.75" x14ac:dyDescent="0.3">
      <c r="A125" s="194"/>
      <c r="B125" s="194"/>
      <c r="C125" s="195"/>
      <c r="D125" s="195"/>
      <c r="E125" s="195"/>
      <c r="F125" s="199"/>
      <c r="G125" s="195"/>
      <c r="H125" s="195"/>
      <c r="I125" s="96"/>
    </row>
    <row r="126" spans="1:10" ht="18.75" x14ac:dyDescent="0.3">
      <c r="A126" s="194"/>
      <c r="B126" s="194"/>
      <c r="C126" s="195"/>
      <c r="D126" s="195"/>
      <c r="E126" s="195"/>
      <c r="F126" s="199"/>
      <c r="G126" s="195"/>
      <c r="H126" s="195"/>
      <c r="I126" s="96"/>
    </row>
    <row r="127" spans="1:10" ht="18.75" x14ac:dyDescent="0.3">
      <c r="A127" s="194"/>
      <c r="B127" s="194"/>
      <c r="C127" s="195"/>
      <c r="D127" s="195"/>
      <c r="E127" s="195"/>
      <c r="F127" s="199"/>
      <c r="G127" s="195"/>
      <c r="H127" s="195"/>
      <c r="I127" s="96"/>
    </row>
    <row r="128" spans="1:10" ht="18.75" x14ac:dyDescent="0.3">
      <c r="A128" s="194"/>
      <c r="B128" s="194"/>
      <c r="C128" s="195"/>
      <c r="D128" s="195"/>
      <c r="E128" s="195"/>
      <c r="F128" s="199"/>
      <c r="G128" s="195"/>
      <c r="H128" s="195"/>
      <c r="I128" s="96"/>
    </row>
    <row r="129" spans="1:9" ht="18.75" x14ac:dyDescent="0.3">
      <c r="A129" s="194"/>
      <c r="B129" s="194"/>
      <c r="C129" s="195"/>
      <c r="D129" s="195"/>
      <c r="E129" s="195"/>
      <c r="F129" s="199"/>
      <c r="G129" s="195"/>
      <c r="H129" s="195"/>
      <c r="I129" s="96"/>
    </row>
    <row r="130" spans="1:9" ht="18.75" x14ac:dyDescent="0.3">
      <c r="A130" s="194"/>
      <c r="B130" s="194"/>
      <c r="C130" s="195"/>
      <c r="D130" s="195"/>
      <c r="E130" s="195"/>
      <c r="F130" s="199"/>
      <c r="G130" s="195"/>
      <c r="H130" s="195"/>
      <c r="I130" s="96"/>
    </row>
    <row r="131" spans="1:9" ht="18.75" x14ac:dyDescent="0.3">
      <c r="A131" s="194"/>
      <c r="B131" s="194"/>
      <c r="C131" s="195"/>
      <c r="D131" s="195"/>
      <c r="E131" s="195"/>
      <c r="F131" s="199"/>
      <c r="G131" s="195"/>
      <c r="H131" s="195"/>
      <c r="I131" s="96"/>
    </row>
    <row r="132" spans="1:9" ht="18.75" x14ac:dyDescent="0.3">
      <c r="A132" s="194"/>
      <c r="B132" s="194"/>
      <c r="C132" s="195"/>
      <c r="D132" s="195"/>
      <c r="E132" s="195"/>
      <c r="F132" s="199"/>
      <c r="G132" s="195"/>
      <c r="H132" s="195"/>
      <c r="I132" s="96"/>
    </row>
    <row r="133" spans="1:9" ht="18.75" x14ac:dyDescent="0.3">
      <c r="A133" s="194"/>
      <c r="B133" s="194"/>
      <c r="C133" s="195"/>
      <c r="D133" s="195"/>
      <c r="E133" s="195"/>
      <c r="F133" s="199"/>
      <c r="G133" s="195"/>
      <c r="H133" s="195"/>
      <c r="I133" s="96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SST</vt:lpstr>
      <vt:lpstr>Montelukast</vt:lpstr>
      <vt:lpstr>Montelukast!Print_Area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2016-05-30T08:59:03Z</dcterms:modified>
</cp:coreProperties>
</file>