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4"/>
  </bookViews>
  <sheets>
    <sheet name="SST Sulphamethoxazole" sheetId="1" r:id="rId1"/>
    <sheet name="SST Trimethoprim" sheetId="6" r:id="rId2"/>
    <sheet name="Uniformity" sheetId="2" r:id="rId3"/>
    <sheet name="SULPHAMETHOXAZOLE" sheetId="3" r:id="rId4"/>
    <sheet name="TRIMETHOPRIM" sheetId="4" r:id="rId5"/>
  </sheets>
  <definedNames>
    <definedName name="_xlnm.Print_Area" localSheetId="2">Uniformity!$A$1:$H$57</definedName>
  </definedNames>
  <calcPr calcId="145621"/>
</workbook>
</file>

<file path=xl/calcChain.xml><?xml version="1.0" encoding="utf-8"?>
<calcChain xmlns="http://schemas.openxmlformats.org/spreadsheetml/2006/main">
  <c r="F51" i="1" l="1"/>
  <c r="F30" i="1"/>
  <c r="B23" i="4" l="1"/>
  <c r="B22" i="4"/>
  <c r="B41" i="6"/>
  <c r="B40" i="6"/>
  <c r="B39" i="6"/>
  <c r="B21" i="6"/>
  <c r="B20" i="6"/>
  <c r="B19" i="6"/>
  <c r="B18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41" i="1"/>
  <c r="B40" i="1"/>
  <c r="B39" i="1"/>
  <c r="B21" i="1"/>
  <c r="B20" i="1"/>
  <c r="B19" i="1"/>
  <c r="B18" i="1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50" i="2"/>
  <c r="C46" i="2"/>
  <c r="D41" i="2" s="1"/>
  <c r="C45" i="2"/>
  <c r="D38" i="2"/>
  <c r="D33" i="2"/>
  <c r="D28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7" i="4" l="1"/>
  <c r="F98" i="4" s="1"/>
  <c r="D101" i="4"/>
  <c r="G92" i="4" s="1"/>
  <c r="I92" i="4"/>
  <c r="I92" i="3"/>
  <c r="D101" i="3"/>
  <c r="D102" i="3" s="1"/>
  <c r="D97" i="3"/>
  <c r="D98" i="3" s="1"/>
  <c r="I39" i="4"/>
  <c r="I39" i="3"/>
  <c r="F45" i="3"/>
  <c r="F46" i="3" s="1"/>
  <c r="D45" i="3"/>
  <c r="D46" i="3" s="1"/>
  <c r="D98" i="4"/>
  <c r="D99" i="4" s="1"/>
  <c r="F98" i="3"/>
  <c r="F99" i="3" s="1"/>
  <c r="G94" i="4"/>
  <c r="D49" i="3"/>
  <c r="E38" i="3"/>
  <c r="D24" i="2"/>
  <c r="D29" i="2"/>
  <c r="D34" i="2"/>
  <c r="D40" i="2"/>
  <c r="D50" i="2"/>
  <c r="B57" i="3"/>
  <c r="B69" i="3" s="1"/>
  <c r="D25" i="2"/>
  <c r="F44" i="4"/>
  <c r="F45" i="4" s="1"/>
  <c r="F46" i="4" s="1"/>
  <c r="D44" i="4"/>
  <c r="D45" i="4" s="1"/>
  <c r="E40" i="4" s="1"/>
  <c r="D49" i="4"/>
  <c r="C49" i="2"/>
  <c r="D43" i="2"/>
  <c r="D39" i="2"/>
  <c r="D35" i="2"/>
  <c r="D31" i="2"/>
  <c r="D27" i="2"/>
  <c r="D30" i="2"/>
  <c r="D36" i="2"/>
  <c r="B49" i="2"/>
  <c r="D26" i="2"/>
  <c r="D32" i="2"/>
  <c r="D37" i="2"/>
  <c r="D42" i="2"/>
  <c r="D49" i="2"/>
  <c r="B57" i="4"/>
  <c r="B69" i="4" s="1"/>
  <c r="B42" i="6" l="1"/>
  <c r="G93" i="4"/>
  <c r="D102" i="4"/>
  <c r="G91" i="4"/>
  <c r="G95" i="4" s="1"/>
  <c r="F99" i="4"/>
  <c r="D99" i="3"/>
  <c r="B42" i="1" s="1"/>
  <c r="E92" i="3"/>
  <c r="E91" i="3"/>
  <c r="E93" i="3"/>
  <c r="E94" i="3"/>
  <c r="E92" i="4"/>
  <c r="E94" i="4"/>
  <c r="E93" i="4"/>
  <c r="G39" i="3"/>
  <c r="G38" i="3"/>
  <c r="G40" i="3"/>
  <c r="G41" i="3"/>
  <c r="E41" i="3"/>
  <c r="E40" i="3"/>
  <c r="E39" i="3"/>
  <c r="G38" i="4"/>
  <c r="G41" i="4"/>
  <c r="G39" i="4"/>
  <c r="E38" i="4"/>
  <c r="G40" i="4"/>
  <c r="E91" i="4"/>
  <c r="G93" i="3"/>
  <c r="G94" i="3"/>
  <c r="D46" i="4"/>
  <c r="E41" i="4"/>
  <c r="G92" i="3"/>
  <c r="G91" i="3"/>
  <c r="E39" i="4"/>
  <c r="D103" i="4" l="1"/>
  <c r="E113" i="4" s="1"/>
  <c r="F113" i="4" s="1"/>
  <c r="E95" i="4"/>
  <c r="E95" i="3"/>
  <c r="G95" i="3"/>
  <c r="D105" i="4"/>
  <c r="D52" i="3"/>
  <c r="G42" i="3"/>
  <c r="E42" i="3"/>
  <c r="D50" i="3"/>
  <c r="G63" i="3" s="1"/>
  <c r="H63" i="3" s="1"/>
  <c r="D103" i="3"/>
  <c r="E113" i="3" s="1"/>
  <c r="F113" i="3" s="1"/>
  <c r="G42" i="4"/>
  <c r="D52" i="4"/>
  <c r="D50" i="4"/>
  <c r="G63" i="4" s="1"/>
  <c r="H63" i="4" s="1"/>
  <c r="E42" i="4"/>
  <c r="D105" i="3"/>
  <c r="E112" i="4"/>
  <c r="F112" i="4" s="1"/>
  <c r="E110" i="4"/>
  <c r="F110" i="4" s="1"/>
  <c r="E108" i="4"/>
  <c r="E109" i="4"/>
  <c r="F109" i="4" s="1"/>
  <c r="E111" i="4"/>
  <c r="F111" i="4" s="1"/>
  <c r="D104" i="4"/>
  <c r="D51" i="3"/>
  <c r="E112" i="3" l="1"/>
  <c r="F112" i="3" s="1"/>
  <c r="D104" i="3"/>
  <c r="E109" i="3"/>
  <c r="F109" i="3" s="1"/>
  <c r="E108" i="3"/>
  <c r="F108" i="3" s="1"/>
  <c r="G71" i="3"/>
  <c r="H71" i="3" s="1"/>
  <c r="G66" i="3"/>
  <c r="H66" i="3" s="1"/>
  <c r="G65" i="3"/>
  <c r="H65" i="3" s="1"/>
  <c r="G68" i="3"/>
  <c r="H68" i="3" s="1"/>
  <c r="G67" i="3"/>
  <c r="H67" i="3" s="1"/>
  <c r="G69" i="3"/>
  <c r="H69" i="3" s="1"/>
  <c r="G62" i="3"/>
  <c r="H62" i="3" s="1"/>
  <c r="G61" i="3"/>
  <c r="H61" i="3" s="1"/>
  <c r="G70" i="3"/>
  <c r="H70" i="3" s="1"/>
  <c r="G64" i="3"/>
  <c r="H64" i="3" s="1"/>
  <c r="G60" i="3"/>
  <c r="E111" i="3"/>
  <c r="F111" i="3" s="1"/>
  <c r="E110" i="3"/>
  <c r="F110" i="3" s="1"/>
  <c r="G71" i="4"/>
  <c r="H71" i="4" s="1"/>
  <c r="D51" i="4"/>
  <c r="G62" i="4"/>
  <c r="H62" i="4" s="1"/>
  <c r="G68" i="4"/>
  <c r="H68" i="4" s="1"/>
  <c r="G67" i="4"/>
  <c r="H67" i="4" s="1"/>
  <c r="G65" i="4"/>
  <c r="H65" i="4" s="1"/>
  <c r="G60" i="4"/>
  <c r="H60" i="4" s="1"/>
  <c r="G66" i="4"/>
  <c r="H66" i="4" s="1"/>
  <c r="G61" i="4"/>
  <c r="H61" i="4" s="1"/>
  <c r="G70" i="4"/>
  <c r="H70" i="4" s="1"/>
  <c r="G64" i="4"/>
  <c r="H64" i="4" s="1"/>
  <c r="G69" i="4"/>
  <c r="H69" i="4" s="1"/>
  <c r="E117" i="4"/>
  <c r="F108" i="4"/>
  <c r="E115" i="4"/>
  <c r="E116" i="4" s="1"/>
  <c r="E115" i="3" l="1"/>
  <c r="E116" i="3" s="1"/>
  <c r="G74" i="3"/>
  <c r="G72" i="3"/>
  <c r="G73" i="3" s="1"/>
  <c r="H60" i="3"/>
  <c r="H74" i="3" s="1"/>
  <c r="E117" i="3"/>
  <c r="G72" i="4"/>
  <c r="G73" i="4" s="1"/>
  <c r="G74" i="4"/>
  <c r="H74" i="4"/>
  <c r="H72" i="4"/>
  <c r="F115" i="4"/>
  <c r="F117" i="4"/>
  <c r="F115" i="3"/>
  <c r="F117" i="3"/>
  <c r="H72" i="3" l="1"/>
  <c r="G76" i="3" s="1"/>
  <c r="G120" i="3"/>
  <c r="F116" i="3"/>
  <c r="G120" i="4"/>
  <c r="F116" i="4"/>
  <c r="G76" i="4"/>
  <c r="H73" i="4"/>
  <c r="H73" i="3" l="1"/>
</calcChain>
</file>

<file path=xl/sharedStrings.xml><?xml version="1.0" encoding="utf-8"?>
<sst xmlns="http://schemas.openxmlformats.org/spreadsheetml/2006/main" count="441" uniqueCount="134">
  <si>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</si>
  <si>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</si>
  <si>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</si>
  <si>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</si>
  <si>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</si>
  <si>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</si>
  <si>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</si>
  <si>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NDQD201602751</t>
  </si>
  <si>
    <t>Weight (mg):</t>
  </si>
  <si>
    <t>Sulfamethoxazole BP &amp; Trimethoprim BP</t>
  </si>
  <si>
    <t>Standard Conc (mg/mL):</t>
  </si>
  <si>
    <t>Each tablet contains: Sulphamethoxazole B.P 800 mg and Trimethoprim B.P 160 mg.</t>
  </si>
  <si>
    <t>2016-02-18 12:38:09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</si>
  <si>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</si>
  <si>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</si>
  <si>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</si>
  <si>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</si>
  <si>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</si>
  <si>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</si>
  <si>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</si>
  <si>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</si>
  <si>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</si>
  <si>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</si>
  <si>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</si>
  <si>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</si>
  <si>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</si>
  <si>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</si>
  <si>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</si>
  <si>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</si>
  <si>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</si>
  <si>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</si>
  <si>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</si>
  <si>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</si>
  <si>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</si>
  <si>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</si>
  <si>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</si>
  <si>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</si>
  <si>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</si>
  <si>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</si>
  <si>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</si>
  <si>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</si>
  <si>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</si>
  <si>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</si>
  <si>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</si>
  <si>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</si>
  <si>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</si>
  <si>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</si>
  <si>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</si>
  <si>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</si>
  <si>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</si>
  <si>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</si>
  <si>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</si>
  <si>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</si>
  <si>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</si>
  <si>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</si>
  <si>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</si>
  <si>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</si>
  <si>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</si>
  <si>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</si>
  <si>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</si>
  <si>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</si>
  <si>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</si>
  <si>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</si>
  <si>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</si>
  <si>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</si>
  <si>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</si>
  <si>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</si>
  <si>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</si>
  <si>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</si>
  <si>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</si>
  <si>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</si>
  <si>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</si>
  <si>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</si>
  <si>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</si>
  <si>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</si>
  <si>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</si>
  <si>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</si>
  <si>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</si>
  <si>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</si>
  <si>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</si>
  <si>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</si>
  <si>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</si>
  <si>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</si>
  <si>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</si>
  <si>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</si>
  <si>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</si>
  <si>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</si>
  <si>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</si>
  <si>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</si>
  <si>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</si>
  <si>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</si>
  <si>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</si>
  <si>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</si>
  <si>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</si>
  <si>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</si>
  <si>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</si>
  <si>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</si>
  <si>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</si>
  <si>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</si>
  <si>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</si>
  <si>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</si>
  <si>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</si>
  <si>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</si>
  <si>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</si>
  <si>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</si>
  <si>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</si>
  <si>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</si>
  <si>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</si>
  <si>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</si>
  <si>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</si>
  <si>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</si>
  <si>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</si>
  <si>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</si>
  <si>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</si>
  <si>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</si>
  <si>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</si>
  <si>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</si>
  <si>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</si>
  <si>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</si>
  <si>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</si>
  <si>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</si>
  <si>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</si>
  <si>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</si>
  <si>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</si>
  <si>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</si>
  <si>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</si>
  <si>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NQCL/WRS/S12-2</t>
  </si>
  <si>
    <t xml:space="preserve">Trimethoprim </t>
  </si>
  <si>
    <t>NQCL/WRS/T7-2</t>
  </si>
  <si>
    <t xml:space="preserve">h </t>
  </si>
  <si>
    <t>11th March 2016</t>
  </si>
  <si>
    <t>22nd March 2016</t>
  </si>
  <si>
    <t>Resolution (USP)</t>
  </si>
  <si>
    <r>
      <t xml:space="preserve">Resolution is </t>
    </r>
    <r>
      <rPr>
        <b/>
        <sz val="12"/>
        <color rgb="FF000000"/>
        <rFont val="Book Antiqua"/>
        <family val="1"/>
      </rPr>
      <t>greater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</si>
</sst>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24" fillId="2" borderId="0" xfId="0" applyFont="1" applyFill="1"/>
    <xf numFmtId="0" fontId="25" fillId="3" borderId="3" xfId="0" applyFont="1" applyFill="1" applyBorder="1" applyAlignment="1" applyProtection="1">
      <alignment horizontal="center"/>
      <protection locked="0"/>
    </xf>
    <xf numFmtId="2" fontId="25" fillId="3" borderId="3" xfId="0" applyNumberFormat="1" applyFont="1" applyFill="1" applyBorder="1" applyAlignment="1" applyProtection="1">
      <alignment horizontal="center"/>
      <protection locked="0"/>
    </xf>
    <xf numFmtId="2" fontId="25" fillId="3" borderId="4" xfId="0" applyNumberFormat="1" applyFont="1" applyFill="1" applyBorder="1" applyAlignment="1" applyProtection="1">
      <alignment horizontal="center"/>
      <protection locked="0"/>
    </xf>
    <xf numFmtId="0" fontId="25" fillId="3" borderId="5" xfId="0" applyFont="1" applyFill="1" applyBorder="1" applyAlignment="1" applyProtection="1">
      <alignment horizontal="center"/>
      <protection locked="0"/>
    </xf>
    <xf numFmtId="0" fontId="26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2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C46" sqref="C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64" t="str">
        <f>SULPHAMETHOXAZOLE!B26</f>
        <v>Sulphamethoxazole</v>
      </c>
      <c r="C18" s="10"/>
      <c r="D18" s="10"/>
      <c r="E18" s="10"/>
    </row>
    <row r="19" spans="1:6" ht="16.5" customHeight="1" x14ac:dyDescent="0.3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f>SULPHAMETHOXAZOLE!D43</f>
        <v>19.18</v>
      </c>
      <c r="C20" s="10"/>
      <c r="D20" s="10"/>
      <c r="E20" s="10"/>
    </row>
    <row r="21" spans="1:6" ht="16.5" customHeight="1" x14ac:dyDescent="0.3">
      <c r="A21" s="7" t="s">
        <v>10</v>
      </c>
      <c r="B21" s="13">
        <f>SULPHAMETHOXAZOLE!D46</f>
        <v>0.19099443999999999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132</v>
      </c>
    </row>
    <row r="24" spans="1:6" ht="16.5" customHeight="1" x14ac:dyDescent="0.3">
      <c r="A24" s="17">
        <v>1</v>
      </c>
      <c r="B24" s="18">
        <v>138573988</v>
      </c>
      <c r="C24" s="18">
        <v>6586.64</v>
      </c>
      <c r="D24" s="19">
        <v>0.94</v>
      </c>
      <c r="E24" s="20">
        <v>7.84</v>
      </c>
      <c r="F24" s="20">
        <v>12.83</v>
      </c>
    </row>
    <row r="25" spans="1:6" ht="16.5" customHeight="1" x14ac:dyDescent="0.3">
      <c r="A25" s="17">
        <v>2</v>
      </c>
      <c r="B25" s="18">
        <v>139402114</v>
      </c>
      <c r="C25" s="18">
        <v>6508.67</v>
      </c>
      <c r="D25" s="19">
        <v>0.94</v>
      </c>
      <c r="E25" s="19">
        <v>7.85</v>
      </c>
      <c r="F25" s="19">
        <v>12.8</v>
      </c>
    </row>
    <row r="26" spans="1:6" ht="16.5" customHeight="1" x14ac:dyDescent="0.3">
      <c r="A26" s="17">
        <v>3</v>
      </c>
      <c r="B26" s="18">
        <v>140311669</v>
      </c>
      <c r="C26" s="18">
        <v>6540.07</v>
      </c>
      <c r="D26" s="19">
        <v>0.92</v>
      </c>
      <c r="E26" s="19">
        <v>7.86</v>
      </c>
      <c r="F26" s="19">
        <v>12.87</v>
      </c>
    </row>
    <row r="27" spans="1:6" ht="16.5" customHeight="1" x14ac:dyDescent="0.3">
      <c r="A27" s="17">
        <v>4</v>
      </c>
      <c r="B27" s="18">
        <v>140558425</v>
      </c>
      <c r="C27" s="18">
        <v>6546.84</v>
      </c>
      <c r="D27" s="19">
        <v>0.92</v>
      </c>
      <c r="E27" s="19">
        <v>7.86</v>
      </c>
      <c r="F27" s="19">
        <v>12.88</v>
      </c>
    </row>
    <row r="28" spans="1:6" ht="16.5" customHeight="1" x14ac:dyDescent="0.3">
      <c r="A28" s="17">
        <v>5</v>
      </c>
      <c r="B28" s="18">
        <v>140990913</v>
      </c>
      <c r="C28" s="18">
        <v>6492.94</v>
      </c>
      <c r="D28" s="19">
        <v>0.93</v>
      </c>
      <c r="E28" s="19">
        <v>7.86</v>
      </c>
      <c r="F28" s="19">
        <v>12.85</v>
      </c>
    </row>
    <row r="29" spans="1:6" ht="16.5" customHeight="1" x14ac:dyDescent="0.3">
      <c r="A29" s="17">
        <v>6</v>
      </c>
      <c r="B29" s="21">
        <v>141437411</v>
      </c>
      <c r="C29" s="21">
        <v>6462.47</v>
      </c>
      <c r="D29" s="22">
        <v>0.94</v>
      </c>
      <c r="E29" s="22">
        <v>7.86</v>
      </c>
      <c r="F29" s="22">
        <v>12.83</v>
      </c>
    </row>
    <row r="30" spans="1:6" ht="16.5" customHeight="1" x14ac:dyDescent="0.3">
      <c r="A30" s="23" t="s">
        <v>18</v>
      </c>
      <c r="B30" s="24">
        <f>AVERAGE(B24:B29)</f>
        <v>140212420</v>
      </c>
      <c r="C30" s="25">
        <f>AVERAGE(C24:C29)</f>
        <v>6522.9383333333326</v>
      </c>
      <c r="D30" s="26">
        <f>AVERAGE(D24:D29)</f>
        <v>0.93166666666666664</v>
      </c>
      <c r="E30" s="26">
        <f>AVERAGE(E24:E29)</f>
        <v>7.8550000000000004</v>
      </c>
      <c r="F30" s="26">
        <f>AVERAGE(F24:F29)</f>
        <v>12.843333333333334</v>
      </c>
    </row>
    <row r="31" spans="1:6" ht="16.5" customHeight="1" x14ac:dyDescent="0.3">
      <c r="A31" s="27" t="s">
        <v>19</v>
      </c>
      <c r="B31" s="28">
        <f>(STDEV(B24:B29)/B30)</f>
        <v>7.5325099120415132E-3</v>
      </c>
      <c r="C31" s="29"/>
      <c r="D31" s="29"/>
      <c r="E31" s="30"/>
      <c r="F31" s="30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  <c r="F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519" t="s">
        <v>133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SULPHAMETHOXAZOLE!B26</f>
        <v>Sulphamethoxazole</v>
      </c>
      <c r="C39" s="10"/>
      <c r="D39" s="10"/>
      <c r="E39" s="10"/>
    </row>
    <row r="40" spans="1:6" ht="16.5" customHeight="1" x14ac:dyDescent="0.3">
      <c r="A40" s="11" t="s">
        <v>6</v>
      </c>
      <c r="B40" s="12">
        <f>SULPHAMETHOXAZOLE!B28</f>
        <v>99.58</v>
      </c>
      <c r="C40" s="10"/>
      <c r="D40" s="10"/>
      <c r="E40" s="10"/>
    </row>
    <row r="41" spans="1:6" ht="16.5" customHeight="1" x14ac:dyDescent="0.3">
      <c r="A41" s="7" t="s">
        <v>8</v>
      </c>
      <c r="B41" s="12">
        <f>SULPHAMETHOXAZOLE!D96</f>
        <v>48.97</v>
      </c>
      <c r="C41" s="10"/>
      <c r="D41" s="10"/>
      <c r="E41" s="10"/>
    </row>
    <row r="42" spans="1:6" ht="16.5" customHeight="1" x14ac:dyDescent="0.3">
      <c r="A42" s="7" t="s">
        <v>10</v>
      </c>
      <c r="B42" s="13">
        <f>SULPHAMETHOXAZOLE!D99</f>
        <v>0.19505730400000001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16" t="s">
        <v>132</v>
      </c>
    </row>
    <row r="45" spans="1:6" ht="16.5" customHeight="1" x14ac:dyDescent="0.3">
      <c r="A45" s="17">
        <v>1</v>
      </c>
      <c r="B45" s="465">
        <v>116534485</v>
      </c>
      <c r="C45" s="465">
        <v>11443.32</v>
      </c>
      <c r="D45" s="466">
        <v>0.86</v>
      </c>
      <c r="E45" s="467">
        <v>7.39</v>
      </c>
      <c r="F45" s="20">
        <v>12.44</v>
      </c>
    </row>
    <row r="46" spans="1:6" ht="16.5" customHeight="1" x14ac:dyDescent="0.3">
      <c r="A46" s="17">
        <v>2</v>
      </c>
      <c r="B46" s="465">
        <v>116757073</v>
      </c>
      <c r="C46" s="465">
        <v>11438.35</v>
      </c>
      <c r="D46" s="466">
        <v>0.88</v>
      </c>
      <c r="E46" s="466">
        <v>7.39</v>
      </c>
      <c r="F46" s="19">
        <v>12.39</v>
      </c>
    </row>
    <row r="47" spans="1:6" ht="16.5" customHeight="1" x14ac:dyDescent="0.3">
      <c r="A47" s="17">
        <v>3</v>
      </c>
      <c r="B47" s="465">
        <v>114572089</v>
      </c>
      <c r="C47" s="465">
        <v>11396.59</v>
      </c>
      <c r="D47" s="466">
        <v>0.88</v>
      </c>
      <c r="E47" s="466">
        <v>7.39</v>
      </c>
      <c r="F47" s="19">
        <v>12.39</v>
      </c>
    </row>
    <row r="48" spans="1:6" ht="16.5" customHeight="1" x14ac:dyDescent="0.3">
      <c r="A48" s="17">
        <v>4</v>
      </c>
      <c r="B48" s="465">
        <v>117766233</v>
      </c>
      <c r="C48" s="465">
        <v>11393.39</v>
      </c>
      <c r="D48" s="466">
        <v>0.88</v>
      </c>
      <c r="E48" s="466">
        <v>7.4</v>
      </c>
      <c r="F48" s="19">
        <v>12.4</v>
      </c>
    </row>
    <row r="49" spans="1:7" ht="16.5" customHeight="1" x14ac:dyDescent="0.3">
      <c r="A49" s="17">
        <v>5</v>
      </c>
      <c r="B49" s="468">
        <v>116393464</v>
      </c>
      <c r="C49" s="465">
        <v>11384.78</v>
      </c>
      <c r="D49" s="466">
        <v>0.88</v>
      </c>
      <c r="E49" s="466">
        <v>7.4</v>
      </c>
      <c r="F49" s="19">
        <v>12.42</v>
      </c>
    </row>
    <row r="50" spans="1:7" ht="16.5" customHeight="1" x14ac:dyDescent="0.3">
      <c r="A50" s="17">
        <v>6</v>
      </c>
      <c r="B50" s="21"/>
      <c r="C50" s="21"/>
      <c r="D50" s="22"/>
      <c r="E50" s="22"/>
      <c r="F50" s="22"/>
    </row>
    <row r="51" spans="1:7" ht="16.5" customHeight="1" x14ac:dyDescent="0.3">
      <c r="A51" s="23" t="s">
        <v>18</v>
      </c>
      <c r="B51" s="24">
        <f>AVERAGE(B45:B50)</f>
        <v>116404668.8</v>
      </c>
      <c r="C51" s="25">
        <f>AVERAGE(C45:C50)</f>
        <v>11411.285999999998</v>
      </c>
      <c r="D51" s="26">
        <f>AVERAGE(D45:D50)</f>
        <v>0.876</v>
      </c>
      <c r="E51" s="26">
        <f>AVERAGE(E45:E50)</f>
        <v>7.3940000000000001</v>
      </c>
      <c r="F51" s="26">
        <f>AVERAGE(F45:F50)</f>
        <v>12.407999999999999</v>
      </c>
    </row>
    <row r="52" spans="1:7" ht="16.5" customHeight="1" x14ac:dyDescent="0.3">
      <c r="A52" s="27" t="s">
        <v>19</v>
      </c>
      <c r="B52" s="28">
        <f>(STDEV(B45:B50)/B51)</f>
        <v>9.9383280675562312E-3</v>
      </c>
      <c r="C52" s="29"/>
      <c r="D52" s="29"/>
      <c r="E52" s="30"/>
      <c r="F52" s="30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469"/>
      <c r="E53" s="35"/>
      <c r="F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519" t="s">
        <v>133</v>
      </c>
      <c r="D58" s="42"/>
      <c r="F58" s="43"/>
      <c r="G58" s="43"/>
    </row>
    <row r="59" spans="1:7" ht="15" customHeight="1" x14ac:dyDescent="0.3">
      <c r="B59" s="471" t="s">
        <v>26</v>
      </c>
      <c r="C59" s="471"/>
      <c r="E59" s="44" t="s">
        <v>27</v>
      </c>
      <c r="F59" s="45"/>
      <c r="G59" s="44" t="s">
        <v>28</v>
      </c>
    </row>
    <row r="60" spans="1:7" ht="30.75" customHeight="1" x14ac:dyDescent="0.3">
      <c r="A60" s="46" t="s">
        <v>29</v>
      </c>
      <c r="B60" s="47"/>
      <c r="C60" s="47"/>
      <c r="E60" s="47"/>
      <c r="F60" s="2"/>
      <c r="G60" s="48"/>
    </row>
    <row r="61" spans="1:7" ht="27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D53" sqref="D53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4" width="25.85546875" style="409" customWidth="1"/>
    <col min="5" max="5" width="25.7109375" style="409" customWidth="1"/>
    <col min="6" max="6" width="23.140625" style="409" customWidth="1"/>
    <col min="7" max="7" width="28.42578125" style="409" customWidth="1"/>
    <col min="8" max="8" width="21.5703125" style="409" customWidth="1"/>
    <col min="9" max="9" width="9.140625" style="409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464" t="str">
        <f>TRIMETHOPRIM!B26</f>
        <v xml:space="preserve">Trimethoprim </v>
      </c>
      <c r="C18" s="71"/>
      <c r="D18" s="71"/>
      <c r="E18" s="71"/>
    </row>
    <row r="19" spans="1:5" ht="16.5" customHeight="1" x14ac:dyDescent="0.3">
      <c r="A19" s="74" t="s">
        <v>6</v>
      </c>
      <c r="B19" s="12">
        <f>TRIMETHOPRIM!B28</f>
        <v>99.66</v>
      </c>
      <c r="C19" s="71"/>
      <c r="D19" s="71"/>
      <c r="E19" s="71"/>
    </row>
    <row r="20" spans="1:5" ht="16.5" customHeight="1" x14ac:dyDescent="0.3">
      <c r="A20" s="8" t="s">
        <v>8</v>
      </c>
      <c r="B20" s="12">
        <f>TRIMETHOPRIM!D43</f>
        <v>17.559999999999999</v>
      </c>
      <c r="C20" s="71"/>
      <c r="D20" s="71"/>
      <c r="E20" s="71"/>
    </row>
    <row r="21" spans="1:5" ht="16.5" customHeight="1" x14ac:dyDescent="0.3">
      <c r="A21" s="8" t="s">
        <v>10</v>
      </c>
      <c r="B21" s="13">
        <f>TRIMETHOPRIM!D46</f>
        <v>3.5000591999999997E-2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10406950</v>
      </c>
      <c r="C24" s="18">
        <v>5506.17</v>
      </c>
      <c r="D24" s="19">
        <v>1.29</v>
      </c>
      <c r="E24" s="20">
        <v>3.98</v>
      </c>
    </row>
    <row r="25" spans="1:5" ht="16.5" customHeight="1" x14ac:dyDescent="0.3">
      <c r="A25" s="17">
        <v>2</v>
      </c>
      <c r="B25" s="18">
        <v>10455288</v>
      </c>
      <c r="C25" s="18">
        <v>5504.57</v>
      </c>
      <c r="D25" s="19">
        <v>1.27</v>
      </c>
      <c r="E25" s="19">
        <v>3.98</v>
      </c>
    </row>
    <row r="26" spans="1:5" ht="16.5" customHeight="1" x14ac:dyDescent="0.3">
      <c r="A26" s="17">
        <v>3</v>
      </c>
      <c r="B26" s="18">
        <v>10516572</v>
      </c>
      <c r="C26" s="18">
        <v>5571.27</v>
      </c>
      <c r="D26" s="19">
        <v>1.29</v>
      </c>
      <c r="E26" s="19">
        <v>3.98</v>
      </c>
    </row>
    <row r="27" spans="1:5" ht="16.5" customHeight="1" x14ac:dyDescent="0.3">
      <c r="A27" s="17">
        <v>4</v>
      </c>
      <c r="B27" s="18">
        <v>10525627</v>
      </c>
      <c r="C27" s="18">
        <v>5593.13</v>
      </c>
      <c r="D27" s="19">
        <v>1.26</v>
      </c>
      <c r="E27" s="19">
        <v>3.98</v>
      </c>
    </row>
    <row r="28" spans="1:5" ht="16.5" customHeight="1" x14ac:dyDescent="0.3">
      <c r="A28" s="17">
        <v>5</v>
      </c>
      <c r="B28" s="18">
        <v>10558139</v>
      </c>
      <c r="C28" s="18">
        <v>5578.94</v>
      </c>
      <c r="D28" s="19">
        <v>1.26</v>
      </c>
      <c r="E28" s="19">
        <v>3.98</v>
      </c>
    </row>
    <row r="29" spans="1:5" ht="16.5" customHeight="1" x14ac:dyDescent="0.3">
      <c r="A29" s="17">
        <v>6</v>
      </c>
      <c r="B29" s="21">
        <v>10575534</v>
      </c>
      <c r="C29" s="21">
        <v>5552.26</v>
      </c>
      <c r="D29" s="22">
        <v>1.26</v>
      </c>
      <c r="E29" s="22">
        <v>3.98</v>
      </c>
    </row>
    <row r="30" spans="1:5" ht="16.5" customHeight="1" x14ac:dyDescent="0.3">
      <c r="A30" s="23" t="s">
        <v>18</v>
      </c>
      <c r="B30" s="24">
        <f>AVERAGE(B24:B29)</f>
        <v>10506351.666666666</v>
      </c>
      <c r="C30" s="25">
        <f>AVERAGE(C24:C29)</f>
        <v>5551.0566666666673</v>
      </c>
      <c r="D30" s="26">
        <f>AVERAGE(D24:D29)</f>
        <v>1.2716666666666667</v>
      </c>
      <c r="E30" s="26">
        <f>AVERAGE(E24:E29)</f>
        <v>3.98</v>
      </c>
    </row>
    <row r="31" spans="1:5" ht="16.5" customHeight="1" x14ac:dyDescent="0.3">
      <c r="A31" s="27" t="s">
        <v>19</v>
      </c>
      <c r="B31" s="28">
        <f>(STDEV(B24:B29)/B30)</f>
        <v>6.0844560562736049E-3</v>
      </c>
      <c r="C31" s="29"/>
      <c r="D31" s="29"/>
      <c r="E31" s="30"/>
    </row>
    <row r="32" spans="1:5" s="409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9" customFormat="1" ht="15.75" customHeight="1" x14ac:dyDescent="0.25">
      <c r="A33" s="71"/>
      <c r="B33" s="71"/>
      <c r="C33" s="71"/>
      <c r="D33" s="71"/>
      <c r="E33" s="71"/>
    </row>
    <row r="34" spans="1:5" s="409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tr">
        <f>TRIMETHOPRIM!B79</f>
        <v xml:space="preserve">Trimethoprim </v>
      </c>
      <c r="C39" s="71"/>
      <c r="D39" s="71"/>
      <c r="E39" s="71"/>
    </row>
    <row r="40" spans="1:5" ht="16.5" customHeight="1" x14ac:dyDescent="0.3">
      <c r="A40" s="74" t="s">
        <v>6</v>
      </c>
      <c r="B40" s="12">
        <f>TRIMETHOPRIM!B81</f>
        <v>99.66</v>
      </c>
      <c r="C40" s="71"/>
      <c r="D40" s="71"/>
      <c r="E40" s="71"/>
    </row>
    <row r="41" spans="1:5" ht="16.5" customHeight="1" x14ac:dyDescent="0.3">
      <c r="A41" s="8" t="s">
        <v>8</v>
      </c>
      <c r="B41" s="12">
        <f>TRIMETHOPRIM!D96</f>
        <v>22.49</v>
      </c>
      <c r="C41" s="71"/>
      <c r="D41" s="71"/>
      <c r="E41" s="71"/>
    </row>
    <row r="42" spans="1:5" ht="16.5" customHeight="1" x14ac:dyDescent="0.3">
      <c r="A42" s="8" t="s">
        <v>10</v>
      </c>
      <c r="B42" s="13">
        <f>TRIMETHOPRIM!D99</f>
        <v>3.5861654399999998E-2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465">
        <v>7806060</v>
      </c>
      <c r="C45" s="466">
        <v>6816.43</v>
      </c>
      <c r="D45" s="466">
        <v>1.37</v>
      </c>
      <c r="E45" s="467">
        <v>4.3600000000000003</v>
      </c>
    </row>
    <row r="46" spans="1:5" ht="16.5" customHeight="1" x14ac:dyDescent="0.3">
      <c r="A46" s="17">
        <v>2</v>
      </c>
      <c r="B46" s="465">
        <v>7816493</v>
      </c>
      <c r="C46" s="466">
        <v>6746.02</v>
      </c>
      <c r="D46" s="466">
        <v>1.34</v>
      </c>
      <c r="E46" s="466">
        <v>4.3600000000000003</v>
      </c>
    </row>
    <row r="47" spans="1:5" ht="16.5" customHeight="1" x14ac:dyDescent="0.3">
      <c r="A47" s="17">
        <v>3</v>
      </c>
      <c r="B47" s="465">
        <v>7670809</v>
      </c>
      <c r="C47" s="466">
        <v>6784.5</v>
      </c>
      <c r="D47" s="466">
        <v>1.35</v>
      </c>
      <c r="E47" s="466">
        <v>4.3600000000000003</v>
      </c>
    </row>
    <row r="48" spans="1:5" ht="16.5" customHeight="1" x14ac:dyDescent="0.3">
      <c r="A48" s="17">
        <v>4</v>
      </c>
      <c r="B48" s="465">
        <v>7805743</v>
      </c>
      <c r="C48" s="466">
        <v>6782.79</v>
      </c>
      <c r="D48" s="466">
        <v>1.34</v>
      </c>
      <c r="E48" s="466">
        <v>4.3600000000000003</v>
      </c>
    </row>
    <row r="49" spans="1:7" ht="16.5" customHeight="1" x14ac:dyDescent="0.3">
      <c r="A49" s="17">
        <v>5</v>
      </c>
      <c r="B49" s="468">
        <v>7803248</v>
      </c>
      <c r="C49" s="466">
        <v>6830.18</v>
      </c>
      <c r="D49" s="466">
        <v>1.36</v>
      </c>
      <c r="E49" s="466">
        <v>4.3600000000000003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7780470.5999999996</v>
      </c>
      <c r="C51" s="25">
        <f>AVERAGE(C45:C50)</f>
        <v>6791.9839999999995</v>
      </c>
      <c r="D51" s="26">
        <f>AVERAGE(D45:D50)</f>
        <v>1.3520000000000001</v>
      </c>
      <c r="E51" s="26">
        <f>AVERAGE(E45:E50)</f>
        <v>4.3600000000000003</v>
      </c>
    </row>
    <row r="52" spans="1:7" ht="16.5" customHeight="1" x14ac:dyDescent="0.3">
      <c r="A52" s="27" t="s">
        <v>19</v>
      </c>
      <c r="B52" s="28">
        <f>(STDEV(B45:B50)/B51)</f>
        <v>7.9061305028902736E-3</v>
      </c>
      <c r="C52" s="29"/>
      <c r="D52" s="29"/>
      <c r="E52" s="30"/>
    </row>
    <row r="53" spans="1:7" s="409" customFormat="1" ht="16.5" customHeight="1" x14ac:dyDescent="0.3">
      <c r="A53" s="31" t="s">
        <v>20</v>
      </c>
      <c r="B53" s="32">
        <f>COUNT(B45:B50)</f>
        <v>5</v>
      </c>
      <c r="C53" s="33"/>
      <c r="D53" s="469" t="s">
        <v>129</v>
      </c>
      <c r="E53" s="35"/>
    </row>
    <row r="54" spans="1:7" s="409" customFormat="1" ht="15.75" customHeight="1" x14ac:dyDescent="0.25">
      <c r="A54" s="71"/>
      <c r="B54" s="71"/>
      <c r="C54" s="71"/>
      <c r="D54" s="71"/>
      <c r="E54" s="71"/>
    </row>
    <row r="55" spans="1:7" s="409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2"/>
      <c r="D58" s="42"/>
      <c r="F58" s="43"/>
      <c r="G58" s="43"/>
    </row>
    <row r="59" spans="1:7" ht="15" customHeight="1" x14ac:dyDescent="0.3">
      <c r="B59" s="471" t="s">
        <v>26</v>
      </c>
      <c r="C59" s="471"/>
      <c r="E59" s="463" t="s">
        <v>27</v>
      </c>
      <c r="F59" s="45"/>
      <c r="G59" s="463" t="s">
        <v>28</v>
      </c>
    </row>
    <row r="60" spans="1:7" ht="29.25" customHeight="1" x14ac:dyDescent="0.3">
      <c r="A60" s="46" t="s">
        <v>29</v>
      </c>
      <c r="B60" s="48"/>
      <c r="C60" s="48"/>
      <c r="E60" s="48"/>
      <c r="G60" s="48"/>
    </row>
    <row r="61" spans="1:7" ht="32.2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F24" sqref="F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90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89"/>
    </row>
    <row r="14" spans="1:7" ht="16.5" customHeight="1" x14ac:dyDescent="0.3">
      <c r="A14" s="479" t="s">
        <v>33</v>
      </c>
      <c r="B14" s="479"/>
      <c r="C14" s="59" t="s">
        <v>5</v>
      </c>
    </row>
    <row r="15" spans="1:7" ht="16.5" customHeight="1" x14ac:dyDescent="0.3">
      <c r="A15" s="479" t="s">
        <v>34</v>
      </c>
      <c r="B15" s="479"/>
      <c r="C15" s="59" t="s">
        <v>7</v>
      </c>
    </row>
    <row r="16" spans="1:7" ht="16.5" customHeight="1" x14ac:dyDescent="0.3">
      <c r="A16" s="479" t="s">
        <v>35</v>
      </c>
      <c r="B16" s="479"/>
      <c r="C16" s="59" t="s">
        <v>9</v>
      </c>
    </row>
    <row r="17" spans="1:5" ht="16.5" customHeight="1" x14ac:dyDescent="0.3">
      <c r="A17" s="479" t="s">
        <v>36</v>
      </c>
      <c r="B17" s="479"/>
      <c r="C17" s="59" t="s">
        <v>11</v>
      </c>
    </row>
    <row r="18" spans="1:5" ht="16.5" customHeight="1" x14ac:dyDescent="0.3">
      <c r="A18" s="479" t="s">
        <v>37</v>
      </c>
      <c r="B18" s="479"/>
      <c r="C18" s="96" t="s">
        <v>12</v>
      </c>
    </row>
    <row r="19" spans="1:5" ht="16.5" customHeight="1" x14ac:dyDescent="0.3">
      <c r="A19" s="479" t="s">
        <v>38</v>
      </c>
      <c r="B19" s="479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4" t="s">
        <v>1</v>
      </c>
      <c r="B21" s="474"/>
      <c r="C21" s="58" t="s">
        <v>39</v>
      </c>
      <c r="D21" s="65"/>
    </row>
    <row r="22" spans="1:5" ht="15.75" customHeight="1" x14ac:dyDescent="0.3">
      <c r="A22" s="478"/>
      <c r="B22" s="478"/>
      <c r="C22" s="56"/>
      <c r="D22" s="478"/>
      <c r="E22" s="478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1034.8399999999999</v>
      </c>
      <c r="D24" s="86">
        <f t="shared" ref="D24:D43" si="0">(C24-$C$46)/$C$46</f>
        <v>-1.1218434120245075E-2</v>
      </c>
      <c r="E24" s="52"/>
    </row>
    <row r="25" spans="1:5" ht="15.75" customHeight="1" x14ac:dyDescent="0.3">
      <c r="C25" s="94">
        <v>1048.56</v>
      </c>
      <c r="D25" s="87">
        <f t="shared" si="0"/>
        <v>1.8909190975183135E-3</v>
      </c>
      <c r="E25" s="52"/>
    </row>
    <row r="26" spans="1:5" ht="15.75" customHeight="1" x14ac:dyDescent="0.3">
      <c r="C26" s="94">
        <v>1049.77</v>
      </c>
      <c r="D26" s="87">
        <f t="shared" si="0"/>
        <v>3.0470646801345051E-3</v>
      </c>
      <c r="E26" s="52"/>
    </row>
    <row r="27" spans="1:5" ht="15.75" customHeight="1" x14ac:dyDescent="0.3">
      <c r="C27" s="94">
        <v>1044.18</v>
      </c>
      <c r="D27" s="87">
        <f t="shared" si="0"/>
        <v>-2.2941368131086529E-3</v>
      </c>
      <c r="E27" s="52"/>
    </row>
    <row r="28" spans="1:5" ht="15.75" customHeight="1" x14ac:dyDescent="0.3">
      <c r="C28" s="94">
        <v>1071.1500000000001</v>
      </c>
      <c r="D28" s="87">
        <f t="shared" si="0"/>
        <v>2.347548828041017E-2</v>
      </c>
      <c r="E28" s="52"/>
    </row>
    <row r="29" spans="1:5" ht="15.75" customHeight="1" x14ac:dyDescent="0.3">
      <c r="C29" s="94">
        <v>1052.93</v>
      </c>
      <c r="D29" s="87">
        <f t="shared" si="0"/>
        <v>6.0664200859751249E-3</v>
      </c>
      <c r="E29" s="52"/>
    </row>
    <row r="30" spans="1:5" ht="15.75" customHeight="1" x14ac:dyDescent="0.3">
      <c r="C30" s="94">
        <v>1043.18</v>
      </c>
      <c r="D30" s="87">
        <f t="shared" si="0"/>
        <v>-3.2496290301467987E-3</v>
      </c>
      <c r="E30" s="52"/>
    </row>
    <row r="31" spans="1:5" ht="15.75" customHeight="1" x14ac:dyDescent="0.3">
      <c r="C31" s="94">
        <v>1038.43</v>
      </c>
      <c r="D31" s="87">
        <f t="shared" si="0"/>
        <v>-7.7882170610779925E-3</v>
      </c>
      <c r="E31" s="52"/>
    </row>
    <row r="32" spans="1:5" ht="15.75" customHeight="1" x14ac:dyDescent="0.3">
      <c r="C32" s="94">
        <v>1046.21</v>
      </c>
      <c r="D32" s="87">
        <f t="shared" si="0"/>
        <v>-3.5448761252124256E-4</v>
      </c>
      <c r="E32" s="52"/>
    </row>
    <row r="33" spans="1:7" ht="15.75" customHeight="1" x14ac:dyDescent="0.3">
      <c r="C33" s="94">
        <v>1032.48</v>
      </c>
      <c r="D33" s="87">
        <f t="shared" si="0"/>
        <v>-1.3473395752455004E-2</v>
      </c>
      <c r="E33" s="52"/>
    </row>
    <row r="34" spans="1:7" ht="15.75" customHeight="1" x14ac:dyDescent="0.3">
      <c r="C34" s="94">
        <v>1036.28</v>
      </c>
      <c r="D34" s="87">
        <f t="shared" si="0"/>
        <v>-9.842525327710093E-3</v>
      </c>
      <c r="E34" s="52"/>
    </row>
    <row r="35" spans="1:7" ht="15.75" customHeight="1" x14ac:dyDescent="0.3">
      <c r="C35" s="94">
        <v>1057.42</v>
      </c>
      <c r="D35" s="87">
        <f t="shared" si="0"/>
        <v>1.0356580140476409E-2</v>
      </c>
      <c r="E35" s="52"/>
    </row>
    <row r="36" spans="1:7" ht="15.75" customHeight="1" x14ac:dyDescent="0.3">
      <c r="C36" s="94">
        <v>1052.1600000000001</v>
      </c>
      <c r="D36" s="87">
        <f t="shared" si="0"/>
        <v>5.3306910788557694E-3</v>
      </c>
      <c r="E36" s="52"/>
    </row>
    <row r="37" spans="1:7" ht="15.75" customHeight="1" x14ac:dyDescent="0.3">
      <c r="C37" s="94">
        <v>1055.82</v>
      </c>
      <c r="D37" s="87">
        <f t="shared" si="0"/>
        <v>8.8277925932152453E-3</v>
      </c>
      <c r="E37" s="52"/>
    </row>
    <row r="38" spans="1:7" ht="15.75" customHeight="1" x14ac:dyDescent="0.3">
      <c r="C38" s="94">
        <v>1041.19</v>
      </c>
      <c r="D38" s="87">
        <f t="shared" si="0"/>
        <v>-5.1510585420527178E-3</v>
      </c>
      <c r="E38" s="52"/>
    </row>
    <row r="39" spans="1:7" ht="15.75" customHeight="1" x14ac:dyDescent="0.3">
      <c r="C39" s="94">
        <v>1042.47</v>
      </c>
      <c r="D39" s="87">
        <f t="shared" si="0"/>
        <v>-3.9280285042439175E-3</v>
      </c>
      <c r="E39" s="52"/>
    </row>
    <row r="40" spans="1:7" ht="15.75" customHeight="1" x14ac:dyDescent="0.3">
      <c r="C40" s="94">
        <v>1039.95</v>
      </c>
      <c r="D40" s="87">
        <f t="shared" si="0"/>
        <v>-6.3358688911800279E-3</v>
      </c>
      <c r="E40" s="52"/>
    </row>
    <row r="41" spans="1:7" ht="15.75" customHeight="1" x14ac:dyDescent="0.3">
      <c r="C41" s="94">
        <v>1038.45</v>
      </c>
      <c r="D41" s="87">
        <f t="shared" si="0"/>
        <v>-7.769107216737247E-3</v>
      </c>
      <c r="E41" s="52"/>
    </row>
    <row r="42" spans="1:7" ht="15.75" customHeight="1" x14ac:dyDescent="0.3">
      <c r="C42" s="94">
        <v>1052.1099999999999</v>
      </c>
      <c r="D42" s="87">
        <f t="shared" si="0"/>
        <v>5.2829164680036882E-3</v>
      </c>
      <c r="E42" s="52"/>
    </row>
    <row r="43" spans="1:7" ht="16.5" customHeight="1" x14ac:dyDescent="0.3">
      <c r="C43" s="95">
        <v>1054.04</v>
      </c>
      <c r="D43" s="88">
        <f t="shared" si="0"/>
        <v>7.1270164468873708E-3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20931.620000000003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1046.5810000000001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2">
        <f>C46</f>
        <v>1046.5810000000001</v>
      </c>
      <c r="C49" s="92">
        <f>-IF(C46&lt;=80,10%,IF(C46&lt;250,7.5%,5%))</f>
        <v>-0.05</v>
      </c>
      <c r="D49" s="80">
        <f>IF(C46&lt;=80,C46*0.9,IF(C46&lt;250,C46*0.925,C46*0.95))</f>
        <v>994.25195000000008</v>
      </c>
    </row>
    <row r="50" spans="1:6" ht="17.25" customHeight="1" x14ac:dyDescent="0.3">
      <c r="B50" s="473"/>
      <c r="C50" s="93">
        <f>IF(C46&lt;=80, 10%, IF(C46&lt;250, 7.5%, 5%))</f>
        <v>0.05</v>
      </c>
      <c r="D50" s="80">
        <f>IF(C46&lt;=80, C46*1.1, IF(C46&lt;250, C46*1.075, C46*1.05))</f>
        <v>1098.9100500000002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99" zoomScale="60" zoomScaleNormal="60" zoomScalePageLayoutView="55" workbookViewId="0">
      <selection activeCell="C111" sqref="C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8" t="s">
        <v>45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46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x14ac:dyDescent="0.3">
      <c r="A15" s="97"/>
    </row>
    <row r="16" spans="1:9" ht="19.5" customHeight="1" x14ac:dyDescent="0.3">
      <c r="A16" s="481" t="s">
        <v>31</v>
      </c>
      <c r="B16" s="482"/>
      <c r="C16" s="482"/>
      <c r="D16" s="482"/>
      <c r="E16" s="482"/>
      <c r="F16" s="482"/>
      <c r="G16" s="482"/>
      <c r="H16" s="483"/>
    </row>
    <row r="17" spans="1:14" ht="20.25" customHeight="1" x14ac:dyDescent="0.25">
      <c r="A17" s="484" t="s">
        <v>47</v>
      </c>
      <c r="B17" s="484"/>
      <c r="C17" s="484"/>
      <c r="D17" s="484"/>
      <c r="E17" s="484"/>
      <c r="F17" s="484"/>
      <c r="G17" s="484"/>
      <c r="H17" s="484"/>
    </row>
    <row r="18" spans="1:14" ht="26.25" customHeight="1" x14ac:dyDescent="0.4">
      <c r="A18" s="99" t="s">
        <v>33</v>
      </c>
      <c r="B18" s="480" t="s">
        <v>5</v>
      </c>
      <c r="C18" s="480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85" t="s">
        <v>9</v>
      </c>
      <c r="C20" s="485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85" t="s">
        <v>11</v>
      </c>
      <c r="C21" s="485"/>
      <c r="D21" s="485"/>
      <c r="E21" s="485"/>
      <c r="F21" s="485"/>
      <c r="G21" s="485"/>
      <c r="H21" s="485"/>
      <c r="I21" s="103"/>
    </row>
    <row r="22" spans="1:14" ht="26.25" customHeight="1" x14ac:dyDescent="0.4">
      <c r="A22" s="99" t="s">
        <v>37</v>
      </c>
      <c r="B22" s="104" t="s">
        <v>130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 t="s">
        <v>131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80" t="s">
        <v>125</v>
      </c>
      <c r="C26" s="480"/>
    </row>
    <row r="27" spans="1:14" ht="26.25" customHeight="1" x14ac:dyDescent="0.4">
      <c r="A27" s="108" t="s">
        <v>48</v>
      </c>
      <c r="B27" s="486" t="s">
        <v>126</v>
      </c>
      <c r="C27" s="486"/>
    </row>
    <row r="28" spans="1:14" ht="27" customHeight="1" x14ac:dyDescent="0.4">
      <c r="A28" s="108" t="s">
        <v>6</v>
      </c>
      <c r="B28" s="109">
        <v>99.58</v>
      </c>
    </row>
    <row r="29" spans="1:14" s="14" customFormat="1" ht="27" customHeight="1" x14ac:dyDescent="0.4">
      <c r="A29" s="108" t="s">
        <v>49</v>
      </c>
      <c r="B29" s="110">
        <v>0</v>
      </c>
      <c r="C29" s="487" t="s">
        <v>50</v>
      </c>
      <c r="D29" s="488"/>
      <c r="E29" s="488"/>
      <c r="F29" s="488"/>
      <c r="G29" s="489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99.58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0" t="s">
        <v>53</v>
      </c>
      <c r="D31" s="491"/>
      <c r="E31" s="491"/>
      <c r="F31" s="491"/>
      <c r="G31" s="491"/>
      <c r="H31" s="492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0" t="s">
        <v>55</v>
      </c>
      <c r="D32" s="491"/>
      <c r="E32" s="491"/>
      <c r="F32" s="491"/>
      <c r="G32" s="491"/>
      <c r="H32" s="49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50</v>
      </c>
      <c r="C36" s="98"/>
      <c r="D36" s="493" t="s">
        <v>59</v>
      </c>
      <c r="E36" s="494"/>
      <c r="F36" s="493" t="s">
        <v>60</v>
      </c>
      <c r="G36" s="49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20</v>
      </c>
      <c r="C38" s="130">
        <v>1</v>
      </c>
      <c r="D38" s="131">
        <v>143613996</v>
      </c>
      <c r="E38" s="132">
        <f>IF(ISBLANK(D38),"-",$D$48/$D$45*D38)</f>
        <v>120308420.28699894</v>
      </c>
      <c r="F38" s="131">
        <v>148838748</v>
      </c>
      <c r="G38" s="133">
        <f>IF(ISBLANK(F38),"-",$D$48/$F$45*F38)</f>
        <v>124490583.92986095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143819663</v>
      </c>
      <c r="E39" s="137">
        <f>IF(ISBLANK(D39),"-",$D$48/$D$45*D39)</f>
        <v>120480711.7945423</v>
      </c>
      <c r="F39" s="136">
        <v>148408629</v>
      </c>
      <c r="G39" s="138">
        <f>IF(ISBLANK(F39),"-",$D$48/$F$45*F39)</f>
        <v>124130827.03732564</v>
      </c>
      <c r="I39" s="497">
        <f>ABS((F43/D43*D42)-F42)/D42</f>
        <v>3.5357247838297481E-2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143343393</v>
      </c>
      <c r="E40" s="137">
        <f>IF(ISBLANK(D40),"-",$D$48/$D$45*D40)</f>
        <v>120081730.54671122</v>
      </c>
      <c r="F40" s="136">
        <v>149434557</v>
      </c>
      <c r="G40" s="138">
        <f>IF(ISBLANK(F40),"-",$D$48/$F$45*F40)</f>
        <v>124988926.00353028</v>
      </c>
      <c r="I40" s="497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143592350.66666666</v>
      </c>
      <c r="E42" s="147">
        <f>AVERAGE(E38:E41)</f>
        <v>120290287.54275082</v>
      </c>
      <c r="F42" s="146">
        <f>AVERAGE(F38:F41)</f>
        <v>148893978</v>
      </c>
      <c r="G42" s="148">
        <f>AVERAGE(G38:G41)</f>
        <v>124536778.99023895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19.18</v>
      </c>
      <c r="E43" s="139"/>
      <c r="F43" s="151">
        <v>19.21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19.18</v>
      </c>
      <c r="E44" s="154"/>
      <c r="F44" s="153">
        <f>F43*$B$34</f>
        <v>19.21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19.099443999999998</v>
      </c>
      <c r="E45" s="157"/>
      <c r="F45" s="156">
        <f>F44*$B$30/100</f>
        <v>19.129318000000001</v>
      </c>
      <c r="H45" s="149"/>
    </row>
    <row r="46" spans="1:14" ht="19.5" customHeight="1" x14ac:dyDescent="0.3">
      <c r="A46" s="498" t="s">
        <v>78</v>
      </c>
      <c r="B46" s="499"/>
      <c r="C46" s="152" t="s">
        <v>79</v>
      </c>
      <c r="D46" s="158">
        <f>D45/$B$45</f>
        <v>0.19099443999999999</v>
      </c>
      <c r="E46" s="159"/>
      <c r="F46" s="160">
        <f>F45/$B$45</f>
        <v>0.19129318000000001</v>
      </c>
      <c r="H46" s="149"/>
    </row>
    <row r="47" spans="1:14" ht="27" customHeight="1" x14ac:dyDescent="0.4">
      <c r="A47" s="500"/>
      <c r="B47" s="501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122413533.26649489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1.9158247034240222E-2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contains: Sulphamethoxazole B.P 800 mg and Trimethoprim B.P 160 mg.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>Sulfamethoxazole BP &amp; Trimethoprim BP</v>
      </c>
      <c r="H56" s="178"/>
    </row>
    <row r="57" spans="1:12" ht="18.75" x14ac:dyDescent="0.3">
      <c r="A57" s="175" t="s">
        <v>88</v>
      </c>
      <c r="B57" s="267">
        <f>Uniformity!C46</f>
        <v>1046.5810000000001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2" t="s">
        <v>94</v>
      </c>
      <c r="D60" s="505">
        <v>217.4</v>
      </c>
      <c r="E60" s="181">
        <v>1</v>
      </c>
      <c r="F60" s="182">
        <v>121981305</v>
      </c>
      <c r="G60" s="268">
        <f>IF(ISBLANK(F60),"-",(F60/$D$50*$D$47*$B$68)*($B$57/$D$60))</f>
        <v>767.53313081452814</v>
      </c>
      <c r="H60" s="183">
        <f t="shared" ref="H60:H71" si="0">IF(ISBLANK(F60),"-",G60/$B$56)</f>
        <v>0.9594164135181602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3"/>
      <c r="D61" s="506"/>
      <c r="E61" s="184">
        <v>2</v>
      </c>
      <c r="F61" s="136">
        <v>121871816</v>
      </c>
      <c r="G61" s="269">
        <f>IF(ISBLANK(F61),"-",(F61/$D$50*$D$47*$B$68)*($B$57/$D$60))</f>
        <v>766.8442020072838</v>
      </c>
      <c r="H61" s="185">
        <f t="shared" si="0"/>
        <v>0.95855525250910478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3"/>
      <c r="D62" s="506"/>
      <c r="E62" s="184">
        <v>3</v>
      </c>
      <c r="F62" s="186">
        <v>121822067</v>
      </c>
      <c r="G62" s="269">
        <f>IF(ISBLANK(F62),"-",(F62/$D$50*$D$47*$B$68)*($B$57/$D$60))</f>
        <v>766.53117038555376</v>
      </c>
      <c r="H62" s="185">
        <f t="shared" si="0"/>
        <v>0.95816396298194217</v>
      </c>
      <c r="L62" s="111"/>
    </row>
    <row r="63" spans="1:12" ht="27" customHeight="1" x14ac:dyDescent="0.4">
      <c r="A63" s="123" t="s">
        <v>97</v>
      </c>
      <c r="B63" s="124">
        <v>1</v>
      </c>
      <c r="C63" s="504"/>
      <c r="D63" s="507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2" t="s">
        <v>99</v>
      </c>
      <c r="D64" s="505">
        <v>213.64</v>
      </c>
      <c r="E64" s="181">
        <v>1</v>
      </c>
      <c r="F64" s="182">
        <v>121344978</v>
      </c>
      <c r="G64" s="270">
        <f>IF(ISBLANK(F64),"-",(F64/$D$50*$D$47*$B$68)*($B$57/$D$64))</f>
        <v>776.96710730832285</v>
      </c>
      <c r="H64" s="189">
        <f t="shared" si="0"/>
        <v>0.97120888413540352</v>
      </c>
    </row>
    <row r="65" spans="1:8" ht="26.25" customHeight="1" x14ac:dyDescent="0.4">
      <c r="A65" s="123" t="s">
        <v>100</v>
      </c>
      <c r="B65" s="124">
        <v>1</v>
      </c>
      <c r="C65" s="503"/>
      <c r="D65" s="506"/>
      <c r="E65" s="184">
        <v>2</v>
      </c>
      <c r="F65" s="136">
        <v>121680769</v>
      </c>
      <c r="G65" s="271">
        <f>IF(ISBLANK(F65),"-",(F65/$D$50*$D$47*$B$68)*($B$57/$D$64))</f>
        <v>779.11716383501459</v>
      </c>
      <c r="H65" s="190">
        <f t="shared" si="0"/>
        <v>0.9738964547937683</v>
      </c>
    </row>
    <row r="66" spans="1:8" ht="26.25" customHeight="1" x14ac:dyDescent="0.4">
      <c r="A66" s="123" t="s">
        <v>101</v>
      </c>
      <c r="B66" s="124">
        <v>1</v>
      </c>
      <c r="C66" s="503"/>
      <c r="D66" s="506"/>
      <c r="E66" s="184">
        <v>3</v>
      </c>
      <c r="F66" s="136">
        <v>121384720</v>
      </c>
      <c r="G66" s="271">
        <f>IF(ISBLANK(F66),"-",(F66/$D$50*$D$47*$B$68)*($B$57/$D$64))</f>
        <v>777.22157376657742</v>
      </c>
      <c r="H66" s="190">
        <f t="shared" si="0"/>
        <v>0.97152696720822174</v>
      </c>
    </row>
    <row r="67" spans="1:8" ht="27" customHeight="1" x14ac:dyDescent="0.4">
      <c r="A67" s="123" t="s">
        <v>102</v>
      </c>
      <c r="B67" s="124">
        <v>1</v>
      </c>
      <c r="C67" s="504"/>
      <c r="D67" s="507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1000</v>
      </c>
      <c r="C68" s="502" t="s">
        <v>104</v>
      </c>
      <c r="D68" s="505">
        <v>220.58</v>
      </c>
      <c r="E68" s="181">
        <v>1</v>
      </c>
      <c r="F68" s="182">
        <v>122604279</v>
      </c>
      <c r="G68" s="270">
        <f>IF(ISBLANK(F68),"-",(F68/$D$50*$D$47*$B$68)*($B$57/$D$68))</f>
        <v>760.33133794382468</v>
      </c>
      <c r="H68" s="185">
        <f t="shared" si="0"/>
        <v>0.95041417242978088</v>
      </c>
    </row>
    <row r="69" spans="1:8" ht="27" customHeight="1" x14ac:dyDescent="0.4">
      <c r="A69" s="171" t="s">
        <v>105</v>
      </c>
      <c r="B69" s="193">
        <f>(D47*B68)/B56*B57</f>
        <v>209.31620000000004</v>
      </c>
      <c r="C69" s="503"/>
      <c r="D69" s="506"/>
      <c r="E69" s="184">
        <v>2</v>
      </c>
      <c r="F69" s="136">
        <v>122530856</v>
      </c>
      <c r="G69" s="271">
        <f>IF(ISBLANK(F69),"-",(F69/$D$50*$D$47*$B$68)*($B$57/$D$68))</f>
        <v>759.87600466931622</v>
      </c>
      <c r="H69" s="185">
        <f t="shared" si="0"/>
        <v>0.94984500583664522</v>
      </c>
    </row>
    <row r="70" spans="1:8" ht="26.25" customHeight="1" x14ac:dyDescent="0.4">
      <c r="A70" s="515" t="s">
        <v>78</v>
      </c>
      <c r="B70" s="516"/>
      <c r="C70" s="503"/>
      <c r="D70" s="506"/>
      <c r="E70" s="184">
        <v>3</v>
      </c>
      <c r="F70" s="136">
        <v>122403461</v>
      </c>
      <c r="G70" s="271">
        <f>IF(ISBLANK(F70),"-",(F70/$D$50*$D$47*$B$68)*($B$57/$D$68))</f>
        <v>759.08596363985623</v>
      </c>
      <c r="H70" s="185">
        <f t="shared" si="0"/>
        <v>0.94885745454982029</v>
      </c>
    </row>
    <row r="71" spans="1:8" ht="27" customHeight="1" x14ac:dyDescent="0.4">
      <c r="A71" s="517"/>
      <c r="B71" s="518"/>
      <c r="C71" s="514"/>
      <c r="D71" s="507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768.16751715225314</v>
      </c>
      <c r="H72" s="198">
        <f>AVERAGE(H60:H71)</f>
        <v>0.96020939644031644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1.0258272358308937E-2</v>
      </c>
      <c r="H73" s="273">
        <f>STDEV(H60:H71)/H72</f>
        <v>1.0258272358308935E-2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510" t="str">
        <f>B20</f>
        <v>Sulfamethoxazole BP &amp; Trimethoprim BP</v>
      </c>
      <c r="D76" s="510"/>
      <c r="E76" s="204" t="s">
        <v>108</v>
      </c>
      <c r="F76" s="204"/>
      <c r="G76" s="205">
        <f>H72</f>
        <v>0.96020939644031644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96" t="str">
        <f>B26</f>
        <v>Sulphamethoxazole</v>
      </c>
      <c r="C79" s="496"/>
    </row>
    <row r="80" spans="1:8" ht="26.25" customHeight="1" x14ac:dyDescent="0.4">
      <c r="A80" s="108" t="s">
        <v>48</v>
      </c>
      <c r="B80" s="496" t="str">
        <f>B27</f>
        <v>NQCL/WRS/S12-2</v>
      </c>
      <c r="C80" s="496"/>
    </row>
    <row r="81" spans="1:12" ht="27" customHeight="1" x14ac:dyDescent="0.4">
      <c r="A81" s="108" t="s">
        <v>6</v>
      </c>
      <c r="B81" s="207">
        <f>B28</f>
        <v>99.58</v>
      </c>
    </row>
    <row r="82" spans="1:12" s="14" customFormat="1" ht="27" customHeight="1" x14ac:dyDescent="0.4">
      <c r="A82" s="108" t="s">
        <v>49</v>
      </c>
      <c r="B82" s="110">
        <v>0</v>
      </c>
      <c r="C82" s="487" t="s">
        <v>50</v>
      </c>
      <c r="D82" s="488"/>
      <c r="E82" s="488"/>
      <c r="F82" s="488"/>
      <c r="G82" s="489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99.58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0" t="s">
        <v>111</v>
      </c>
      <c r="D84" s="491"/>
      <c r="E84" s="491"/>
      <c r="F84" s="491"/>
      <c r="G84" s="491"/>
      <c r="H84" s="492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0" t="s">
        <v>112</v>
      </c>
      <c r="D85" s="491"/>
      <c r="E85" s="491"/>
      <c r="F85" s="491"/>
      <c r="G85" s="491"/>
      <c r="H85" s="49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50</v>
      </c>
      <c r="D89" s="208" t="s">
        <v>59</v>
      </c>
      <c r="E89" s="209"/>
      <c r="F89" s="493" t="s">
        <v>60</v>
      </c>
      <c r="G89" s="495"/>
    </row>
    <row r="90" spans="1:12" ht="27" customHeight="1" x14ac:dyDescent="0.4">
      <c r="A90" s="123" t="s">
        <v>61</v>
      </c>
      <c r="B90" s="124">
        <v>10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50</v>
      </c>
      <c r="C91" s="212">
        <v>1</v>
      </c>
      <c r="D91" s="131">
        <v>114211386</v>
      </c>
      <c r="E91" s="132">
        <f>IF(ISBLANK(D91),"-",$D$101/$D$98*D91)</f>
        <v>104093750.82924348</v>
      </c>
      <c r="F91" s="131">
        <v>87837048</v>
      </c>
      <c r="G91" s="133">
        <f>IF(ISBLANK(F91),"-",$D$101/$F$98*F91)</f>
        <v>104458678.48801897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116052689</v>
      </c>
      <c r="E92" s="137">
        <f>IF(ISBLANK(D92),"-",$D$101/$D$98*D92)</f>
        <v>105771938.46355814</v>
      </c>
      <c r="F92" s="136">
        <v>88443545</v>
      </c>
      <c r="G92" s="138">
        <f>IF(ISBLANK(F92),"-",$D$101/$F$98*F92)</f>
        <v>105179944.47508799</v>
      </c>
      <c r="I92" s="497">
        <f>ABS((F96/D96*D95)-F95)/D95</f>
        <v>7.8524935774761193E-3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114323278</v>
      </c>
      <c r="E93" s="137">
        <f>IF(ISBLANK(D93),"-",$D$101/$D$98*D93)</f>
        <v>104195730.66133995</v>
      </c>
      <c r="F93" s="136">
        <v>90512746</v>
      </c>
      <c r="G93" s="138">
        <f>IF(ISBLANK(F93),"-",$D$101/$F$98*F93)</f>
        <v>107640705.70178685</v>
      </c>
      <c r="I93" s="497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114862451</v>
      </c>
      <c r="E95" s="147">
        <f>AVERAGE(E91:E94)</f>
        <v>104687139.98471385</v>
      </c>
      <c r="F95" s="217">
        <f>AVERAGE(F91:F94)</f>
        <v>88931113</v>
      </c>
      <c r="G95" s="218">
        <f>AVERAGE(G91:G94)</f>
        <v>105759776.22163127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48.97</v>
      </c>
      <c r="E96" s="139"/>
      <c r="F96" s="151">
        <v>37.53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48.97</v>
      </c>
      <c r="E97" s="154"/>
      <c r="F97" s="153">
        <f>F96*$B$87</f>
        <v>37.53</v>
      </c>
    </row>
    <row r="98" spans="1:10" ht="19.5" customHeight="1" x14ac:dyDescent="0.3">
      <c r="A98" s="123" t="s">
        <v>76</v>
      </c>
      <c r="B98" s="223">
        <f>(B97/B96)*(B95/B94)*(B93/B92)*(B91/B90)*B89</f>
        <v>250</v>
      </c>
      <c r="C98" s="221" t="s">
        <v>115</v>
      </c>
      <c r="D98" s="224">
        <f>D97*$B$83/100</f>
        <v>48.764326000000004</v>
      </c>
      <c r="E98" s="157"/>
      <c r="F98" s="156">
        <f>F97*$B$83/100</f>
        <v>37.372374000000001</v>
      </c>
    </row>
    <row r="99" spans="1:10" ht="19.5" customHeight="1" x14ac:dyDescent="0.3">
      <c r="A99" s="498" t="s">
        <v>78</v>
      </c>
      <c r="B99" s="512"/>
      <c r="C99" s="221" t="s">
        <v>116</v>
      </c>
      <c r="D99" s="225">
        <f>D98/$B$98</f>
        <v>0.19505730400000001</v>
      </c>
      <c r="E99" s="157"/>
      <c r="F99" s="160">
        <f>F98/$B$98</f>
        <v>0.149489496</v>
      </c>
      <c r="G99" s="226"/>
      <c r="H99" s="149"/>
    </row>
    <row r="100" spans="1:10" ht="19.5" customHeight="1" x14ac:dyDescent="0.3">
      <c r="A100" s="500"/>
      <c r="B100" s="513"/>
      <c r="C100" s="221" t="s">
        <v>80</v>
      </c>
      <c r="D100" s="227">
        <f>$B$56/$B$116</f>
        <v>0.17777777777777778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44.444444444444443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44.444444444444443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105223458.10317256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1.2795057885743182E-2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10</v>
      </c>
      <c r="C108" s="242">
        <v>1</v>
      </c>
      <c r="D108" s="243">
        <v>106745169</v>
      </c>
      <c r="E108" s="274">
        <f t="shared" ref="E108:E113" si="1">IF(ISBLANK(D108),"-",D108/$D$103*$D$100*$B$116)</f>
        <v>811.56936617943427</v>
      </c>
      <c r="F108" s="244">
        <f t="shared" ref="F108:F113" si="2">IF(ISBLANK(D108), "-", E108/$B$56)</f>
        <v>1.0144617077242928</v>
      </c>
    </row>
    <row r="109" spans="1:10" ht="26.25" customHeight="1" x14ac:dyDescent="0.4">
      <c r="A109" s="123" t="s">
        <v>95</v>
      </c>
      <c r="B109" s="124">
        <v>50</v>
      </c>
      <c r="C109" s="242">
        <v>2</v>
      </c>
      <c r="D109" s="243">
        <v>107083077</v>
      </c>
      <c r="E109" s="275">
        <f t="shared" si="1"/>
        <v>814.13843589899182</v>
      </c>
      <c r="F109" s="245">
        <f t="shared" si="2"/>
        <v>1.0176730448737397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105301975</v>
      </c>
      <c r="E110" s="275">
        <f t="shared" si="1"/>
        <v>800.59695355574024</v>
      </c>
      <c r="F110" s="245">
        <f t="shared" si="2"/>
        <v>1.0007461919446754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105646416</v>
      </c>
      <c r="E111" s="275">
        <f t="shared" si="1"/>
        <v>803.21569280806375</v>
      </c>
      <c r="F111" s="245">
        <f t="shared" si="2"/>
        <v>1.0040196160100796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105125825</v>
      </c>
      <c r="E112" s="275">
        <f t="shared" si="1"/>
        <v>799.25770846210492</v>
      </c>
      <c r="F112" s="245">
        <f t="shared" si="2"/>
        <v>0.99907213557763119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106208815</v>
      </c>
      <c r="E113" s="276">
        <f t="shared" si="1"/>
        <v>807.49153783454858</v>
      </c>
      <c r="F113" s="248">
        <f t="shared" si="2"/>
        <v>1.0093644222931857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806.04494912314715</v>
      </c>
      <c r="F115" s="251">
        <f>AVERAGE(F108:F113)</f>
        <v>1.007556186403934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52"/>
      <c r="D116" s="215" t="s">
        <v>84</v>
      </c>
      <c r="E116" s="253">
        <f>STDEV(E108:E113)/E115</f>
        <v>7.4822851801276775E-3</v>
      </c>
      <c r="F116" s="253">
        <f>STDEV(F108:F113)/F115</f>
        <v>7.4822851801276159E-3</v>
      </c>
      <c r="I116" s="97"/>
    </row>
    <row r="117" spans="1:10" ht="27" customHeight="1" x14ac:dyDescent="0.4">
      <c r="A117" s="498" t="s">
        <v>78</v>
      </c>
      <c r="B117" s="499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500"/>
      <c r="B118" s="501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510" t="str">
        <f>B20</f>
        <v>Sulfamethoxazole BP &amp; Trimethoprim BP</v>
      </c>
      <c r="D120" s="510"/>
      <c r="E120" s="204" t="s">
        <v>124</v>
      </c>
      <c r="F120" s="204"/>
      <c r="G120" s="205">
        <f>F115</f>
        <v>1.007556186403934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11" t="s">
        <v>26</v>
      </c>
      <c r="C122" s="511"/>
      <c r="E122" s="210" t="s">
        <v>27</v>
      </c>
      <c r="F122" s="259"/>
      <c r="G122" s="511" t="s">
        <v>28</v>
      </c>
      <c r="H122" s="511"/>
    </row>
    <row r="123" spans="1:10" ht="49.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57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61" zoomScale="60" zoomScaleNormal="60" zoomScalePageLayoutView="55" workbookViewId="0">
      <selection activeCell="D108" sqref="D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8" t="s">
        <v>45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46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x14ac:dyDescent="0.3">
      <c r="A15" s="280"/>
    </row>
    <row r="16" spans="1:9" ht="19.5" customHeight="1" x14ac:dyDescent="0.3">
      <c r="A16" s="481" t="s">
        <v>31</v>
      </c>
      <c r="B16" s="482"/>
      <c r="C16" s="482"/>
      <c r="D16" s="482"/>
      <c r="E16" s="482"/>
      <c r="F16" s="482"/>
      <c r="G16" s="482"/>
      <c r="H16" s="483"/>
    </row>
    <row r="17" spans="1:14" ht="20.25" customHeight="1" x14ac:dyDescent="0.25">
      <c r="A17" s="484" t="s">
        <v>47</v>
      </c>
      <c r="B17" s="484"/>
      <c r="C17" s="484"/>
      <c r="D17" s="484"/>
      <c r="E17" s="484"/>
      <c r="F17" s="484"/>
      <c r="G17" s="484"/>
      <c r="H17" s="484"/>
    </row>
    <row r="18" spans="1:14" ht="26.25" customHeight="1" x14ac:dyDescent="0.4">
      <c r="A18" s="282" t="s">
        <v>33</v>
      </c>
      <c r="B18" s="480" t="s">
        <v>5</v>
      </c>
      <c r="C18" s="480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485" t="s">
        <v>9</v>
      </c>
      <c r="C20" s="485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485" t="s">
        <v>11</v>
      </c>
      <c r="C21" s="485"/>
      <c r="D21" s="485"/>
      <c r="E21" s="485"/>
      <c r="F21" s="485"/>
      <c r="G21" s="485"/>
      <c r="H21" s="485"/>
      <c r="I21" s="286"/>
    </row>
    <row r="22" spans="1:14" ht="26.25" customHeight="1" x14ac:dyDescent="0.4">
      <c r="A22" s="282" t="s">
        <v>37</v>
      </c>
      <c r="B22" s="287" t="str">
        <f>SULPHAMETHOXAZOLE!B22</f>
        <v>11th March 2016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 t="str">
        <f>SULPHAMETHOXAZOLE!B23</f>
        <v>22nd March 2016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80" t="s">
        <v>127</v>
      </c>
      <c r="C26" s="480"/>
    </row>
    <row r="27" spans="1:14" ht="26.25" customHeight="1" x14ac:dyDescent="0.4">
      <c r="A27" s="291" t="s">
        <v>48</v>
      </c>
      <c r="B27" s="486" t="s">
        <v>128</v>
      </c>
      <c r="C27" s="486"/>
    </row>
    <row r="28" spans="1:14" ht="27" customHeight="1" x14ac:dyDescent="0.4">
      <c r="A28" s="291" t="s">
        <v>6</v>
      </c>
      <c r="B28" s="292">
        <v>99.66</v>
      </c>
    </row>
    <row r="29" spans="1:14" s="14" customFormat="1" ht="27" customHeight="1" x14ac:dyDescent="0.4">
      <c r="A29" s="291" t="s">
        <v>49</v>
      </c>
      <c r="B29" s="293">
        <v>0</v>
      </c>
      <c r="C29" s="487" t="s">
        <v>50</v>
      </c>
      <c r="D29" s="488"/>
      <c r="E29" s="488"/>
      <c r="F29" s="488"/>
      <c r="G29" s="489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99.66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90" t="s">
        <v>53</v>
      </c>
      <c r="D31" s="491"/>
      <c r="E31" s="491"/>
      <c r="F31" s="491"/>
      <c r="G31" s="491"/>
      <c r="H31" s="492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90" t="s">
        <v>55</v>
      </c>
      <c r="D32" s="491"/>
      <c r="E32" s="491"/>
      <c r="F32" s="491"/>
      <c r="G32" s="491"/>
      <c r="H32" s="492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50</v>
      </c>
      <c r="C36" s="281"/>
      <c r="D36" s="493" t="s">
        <v>59</v>
      </c>
      <c r="E36" s="494"/>
      <c r="F36" s="493" t="s">
        <v>60</v>
      </c>
      <c r="G36" s="495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2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20</v>
      </c>
      <c r="C38" s="313">
        <v>1</v>
      </c>
      <c r="D38" s="314">
        <v>10703733</v>
      </c>
      <c r="E38" s="315">
        <f>IF(ISBLANK(D38),"-",$D$48/$D$45*D38)</f>
        <v>9786104.6464585532</v>
      </c>
      <c r="F38" s="314">
        <v>11267145</v>
      </c>
      <c r="G38" s="316">
        <f>IF(ISBLANK(F38),"-",$D$48/$F$45*F38)</f>
        <v>9581003.3775854874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10711130</v>
      </c>
      <c r="E39" s="320">
        <f>IF(ISBLANK(D39),"-",$D$48/$D$45*D39)</f>
        <v>9792867.5034982283</v>
      </c>
      <c r="F39" s="319">
        <v>11228730</v>
      </c>
      <c r="G39" s="321">
        <f>IF(ISBLANK(F39),"-",$D$48/$F$45*F39)</f>
        <v>9548337.2279308978</v>
      </c>
      <c r="I39" s="497">
        <f>ABS((F43/D43*D42)-F42)/D42</f>
        <v>2.1789639346422043E-2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10672499</v>
      </c>
      <c r="E40" s="320">
        <f>IF(ISBLANK(D40),"-",$D$48/$D$45*D40)</f>
        <v>9757548.3294682577</v>
      </c>
      <c r="F40" s="319">
        <v>11304349</v>
      </c>
      <c r="G40" s="321">
        <f>IF(ISBLANK(F40),"-",$D$48/$F$45*F40)</f>
        <v>9612639.7548274323</v>
      </c>
      <c r="I40" s="497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10695787.333333334</v>
      </c>
      <c r="E42" s="330">
        <f>AVERAGE(E38:E41)</f>
        <v>9778840.159808347</v>
      </c>
      <c r="F42" s="329">
        <f>AVERAGE(F38:F41)</f>
        <v>11266741.333333334</v>
      </c>
      <c r="G42" s="331">
        <f>AVERAGE(G38:G41)</f>
        <v>9580660.1201146059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17.559999999999999</v>
      </c>
      <c r="E43" s="322"/>
      <c r="F43" s="334">
        <v>18.88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17.559999999999999</v>
      </c>
      <c r="E44" s="337"/>
      <c r="F44" s="336">
        <f>F43*$B$34</f>
        <v>18.88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500</v>
      </c>
      <c r="C45" s="335" t="s">
        <v>77</v>
      </c>
      <c r="D45" s="339">
        <f>D44*$B$30/100</f>
        <v>17.500295999999999</v>
      </c>
      <c r="E45" s="340"/>
      <c r="F45" s="339">
        <f>F44*$B$30/100</f>
        <v>18.815807999999997</v>
      </c>
      <c r="H45" s="332"/>
    </row>
    <row r="46" spans="1:14" ht="19.5" customHeight="1" x14ac:dyDescent="0.3">
      <c r="A46" s="498" t="s">
        <v>78</v>
      </c>
      <c r="B46" s="499"/>
      <c r="C46" s="335" t="s">
        <v>79</v>
      </c>
      <c r="D46" s="341">
        <f>D45/$B$45</f>
        <v>3.5000591999999997E-2</v>
      </c>
      <c r="E46" s="342"/>
      <c r="F46" s="343">
        <f>F45/$B$45</f>
        <v>3.7631615999999993E-2</v>
      </c>
      <c r="H46" s="332"/>
    </row>
    <row r="47" spans="1:14" ht="27" customHeight="1" x14ac:dyDescent="0.4">
      <c r="A47" s="500"/>
      <c r="B47" s="501"/>
      <c r="C47" s="344" t="s">
        <v>80</v>
      </c>
      <c r="D47" s="345">
        <v>3.2000000000000001E-2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16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16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9679750.1399614755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1.1474537919238409E-2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>Each tablet contains: Sulphamethoxazole B.P 800 mg and Trimethoprim B.P 160 mg.</v>
      </c>
    </row>
    <row r="56" spans="1:12" ht="26.25" customHeight="1" x14ac:dyDescent="0.4">
      <c r="A56" s="359" t="s">
        <v>87</v>
      </c>
      <c r="B56" s="360">
        <v>160</v>
      </c>
      <c r="C56" s="281" t="str">
        <f>B20</f>
        <v>Sulfamethoxazole BP &amp; Trimethoprim BP</v>
      </c>
      <c r="H56" s="361"/>
    </row>
    <row r="57" spans="1:12" ht="18.75" x14ac:dyDescent="0.3">
      <c r="A57" s="358" t="s">
        <v>88</v>
      </c>
      <c r="B57" s="450">
        <f>Uniformity!C46</f>
        <v>1046.5810000000001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5</v>
      </c>
      <c r="C60" s="502" t="s">
        <v>94</v>
      </c>
      <c r="D60" s="505">
        <v>217.4</v>
      </c>
      <c r="E60" s="364">
        <v>1</v>
      </c>
      <c r="F60" s="365">
        <v>9723435</v>
      </c>
      <c r="G60" s="451">
        <f>IF(ISBLANK(F60),"-",(F60/$D$50*$D$47*$B$68)*($B$57/$D$60))</f>
        <v>154.74579371006584</v>
      </c>
      <c r="H60" s="366">
        <f t="shared" ref="H60:H71" si="0">IF(ISBLANK(F60),"-",G60/$B$56)</f>
        <v>0.9671612106879115</v>
      </c>
      <c r="L60" s="294"/>
    </row>
    <row r="61" spans="1:12" s="14" customFormat="1" ht="26.25" customHeight="1" x14ac:dyDescent="0.4">
      <c r="A61" s="306" t="s">
        <v>95</v>
      </c>
      <c r="B61" s="307">
        <v>50</v>
      </c>
      <c r="C61" s="503"/>
      <c r="D61" s="506"/>
      <c r="E61" s="367">
        <v>2</v>
      </c>
      <c r="F61" s="319">
        <v>9727561</v>
      </c>
      <c r="G61" s="452">
        <f>IF(ISBLANK(F61),"-",(F61/$D$50*$D$47*$B$68)*($B$57/$D$60))</f>
        <v>154.81145786525866</v>
      </c>
      <c r="H61" s="368">
        <f t="shared" si="0"/>
        <v>0.96757161165786665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503"/>
      <c r="D62" s="506"/>
      <c r="E62" s="367">
        <v>3</v>
      </c>
      <c r="F62" s="369">
        <v>9729082</v>
      </c>
      <c r="G62" s="452">
        <f>IF(ISBLANK(F62),"-",(F62/$D$50*$D$47*$B$68)*($B$57/$D$60))</f>
        <v>154.83566416192576</v>
      </c>
      <c r="H62" s="368">
        <f t="shared" si="0"/>
        <v>0.96772290101203606</v>
      </c>
      <c r="L62" s="294"/>
    </row>
    <row r="63" spans="1:12" ht="27" customHeight="1" x14ac:dyDescent="0.4">
      <c r="A63" s="306" t="s">
        <v>97</v>
      </c>
      <c r="B63" s="307">
        <v>1</v>
      </c>
      <c r="C63" s="504"/>
      <c r="D63" s="507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502" t="s">
        <v>99</v>
      </c>
      <c r="D64" s="505">
        <v>213.64</v>
      </c>
      <c r="E64" s="364">
        <v>1</v>
      </c>
      <c r="F64" s="365">
        <v>9608436</v>
      </c>
      <c r="G64" s="453">
        <f>IF(ISBLANK(F64),"-",(F64/$D$50*$D$47*$B$68)*($B$57/$D$64))</f>
        <v>155.60688529140921</v>
      </c>
      <c r="H64" s="372">
        <f t="shared" si="0"/>
        <v>0.97254303307130763</v>
      </c>
    </row>
    <row r="65" spans="1:8" ht="26.25" customHeight="1" x14ac:dyDescent="0.4">
      <c r="A65" s="306" t="s">
        <v>100</v>
      </c>
      <c r="B65" s="307">
        <v>1</v>
      </c>
      <c r="C65" s="503"/>
      <c r="D65" s="506"/>
      <c r="E65" s="367">
        <v>2</v>
      </c>
      <c r="F65" s="319">
        <v>9653069</v>
      </c>
      <c r="G65" s="454">
        <f>IF(ISBLANK(F65),"-",(F65/$D$50*$D$47*$B$68)*($B$57/$D$64))</f>
        <v>156.32970866362206</v>
      </c>
      <c r="H65" s="373">
        <f t="shared" si="0"/>
        <v>0.97706067914763783</v>
      </c>
    </row>
    <row r="66" spans="1:8" ht="26.25" customHeight="1" x14ac:dyDescent="0.4">
      <c r="A66" s="306" t="s">
        <v>101</v>
      </c>
      <c r="B66" s="307">
        <v>1</v>
      </c>
      <c r="C66" s="503"/>
      <c r="D66" s="506"/>
      <c r="E66" s="367">
        <v>3</v>
      </c>
      <c r="F66" s="319">
        <v>9627054</v>
      </c>
      <c r="G66" s="454">
        <f>IF(ISBLANK(F66),"-",(F66/$D$50*$D$47*$B$68)*($B$57/$D$64))</f>
        <v>155.90840043813606</v>
      </c>
      <c r="H66" s="373">
        <f t="shared" si="0"/>
        <v>0.97442750273835033</v>
      </c>
    </row>
    <row r="67" spans="1:8" ht="27" customHeight="1" x14ac:dyDescent="0.4">
      <c r="A67" s="306" t="s">
        <v>102</v>
      </c>
      <c r="B67" s="307">
        <v>1</v>
      </c>
      <c r="C67" s="504"/>
      <c r="D67" s="507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502" t="s">
        <v>104</v>
      </c>
      <c r="D68" s="505">
        <v>220.58</v>
      </c>
      <c r="E68" s="364">
        <v>1</v>
      </c>
      <c r="F68" s="365">
        <v>9693066</v>
      </c>
      <c r="G68" s="453">
        <f>IF(ISBLANK(F68),"-",(F68/$D$50*$D$47*$B$68)*($B$57/$D$68))</f>
        <v>152.03854849751298</v>
      </c>
      <c r="H68" s="368">
        <f t="shared" si="0"/>
        <v>0.95024092810945615</v>
      </c>
    </row>
    <row r="69" spans="1:8" ht="27" customHeight="1" x14ac:dyDescent="0.4">
      <c r="A69" s="354" t="s">
        <v>105</v>
      </c>
      <c r="B69" s="376">
        <f>(D47*B68)/B56*B57</f>
        <v>209.31620000000004</v>
      </c>
      <c r="C69" s="503"/>
      <c r="D69" s="506"/>
      <c r="E69" s="367">
        <v>2</v>
      </c>
      <c r="F69" s="319">
        <v>9707317</v>
      </c>
      <c r="G69" s="454">
        <f>IF(ISBLANK(F69),"-",(F69/$D$50*$D$47*$B$68)*($B$57/$D$68))</f>
        <v>152.26207956133098</v>
      </c>
      <c r="H69" s="368">
        <f t="shared" si="0"/>
        <v>0.95163799725831866</v>
      </c>
    </row>
    <row r="70" spans="1:8" ht="26.25" customHeight="1" x14ac:dyDescent="0.4">
      <c r="A70" s="515" t="s">
        <v>78</v>
      </c>
      <c r="B70" s="516"/>
      <c r="C70" s="503"/>
      <c r="D70" s="506"/>
      <c r="E70" s="367">
        <v>3</v>
      </c>
      <c r="F70" s="319">
        <v>9706174</v>
      </c>
      <c r="G70" s="454">
        <f>IF(ISBLANK(F70),"-",(F70/$D$50*$D$47*$B$68)*($B$57/$D$68))</f>
        <v>152.24415127517955</v>
      </c>
      <c r="H70" s="368">
        <f t="shared" si="0"/>
        <v>0.95152594546987213</v>
      </c>
    </row>
    <row r="71" spans="1:8" ht="27" customHeight="1" x14ac:dyDescent="0.4">
      <c r="A71" s="517"/>
      <c r="B71" s="518"/>
      <c r="C71" s="514"/>
      <c r="D71" s="507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154.30918771827123</v>
      </c>
      <c r="H72" s="381">
        <f>AVERAGE(H60:H71)</f>
        <v>0.96443242323919498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1.0905470724495445E-2</v>
      </c>
      <c r="H73" s="456">
        <f>STDEV(H60:H71)/H72</f>
        <v>1.0905470724495442E-2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510" t="str">
        <f>B20</f>
        <v>Sulfamethoxazole BP &amp; Trimethoprim BP</v>
      </c>
      <c r="D76" s="510"/>
      <c r="E76" s="387" t="s">
        <v>108</v>
      </c>
      <c r="F76" s="387"/>
      <c r="G76" s="388">
        <f>H72</f>
        <v>0.96443242323919498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96" t="str">
        <f>B26</f>
        <v xml:space="preserve">Trimethoprim </v>
      </c>
      <c r="C79" s="496"/>
    </row>
    <row r="80" spans="1:8" ht="26.25" customHeight="1" x14ac:dyDescent="0.4">
      <c r="A80" s="291" t="s">
        <v>48</v>
      </c>
      <c r="B80" s="496" t="str">
        <f>B27</f>
        <v>NQCL/WRS/T7-2</v>
      </c>
      <c r="C80" s="496"/>
    </row>
    <row r="81" spans="1:12" ht="27" customHeight="1" x14ac:dyDescent="0.4">
      <c r="A81" s="291" t="s">
        <v>6</v>
      </c>
      <c r="B81" s="390">
        <f>B28</f>
        <v>99.66</v>
      </c>
    </row>
    <row r="82" spans="1:12" s="14" customFormat="1" ht="27" customHeight="1" x14ac:dyDescent="0.4">
      <c r="A82" s="291" t="s">
        <v>49</v>
      </c>
      <c r="B82" s="293">
        <v>0</v>
      </c>
      <c r="C82" s="487" t="s">
        <v>50</v>
      </c>
      <c r="D82" s="488"/>
      <c r="E82" s="488"/>
      <c r="F82" s="488"/>
      <c r="G82" s="489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99.66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490" t="s">
        <v>111</v>
      </c>
      <c r="D84" s="491"/>
      <c r="E84" s="491"/>
      <c r="F84" s="491"/>
      <c r="G84" s="491"/>
      <c r="H84" s="492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490" t="s">
        <v>112</v>
      </c>
      <c r="D85" s="491"/>
      <c r="E85" s="491"/>
      <c r="F85" s="491"/>
      <c r="G85" s="491"/>
      <c r="H85" s="492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50</v>
      </c>
      <c r="D89" s="391" t="s">
        <v>59</v>
      </c>
      <c r="E89" s="392"/>
      <c r="F89" s="493" t="s">
        <v>60</v>
      </c>
      <c r="G89" s="495"/>
    </row>
    <row r="90" spans="1:12" ht="27" customHeight="1" x14ac:dyDescent="0.4">
      <c r="A90" s="306" t="s">
        <v>61</v>
      </c>
      <c r="B90" s="307">
        <v>4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50</v>
      </c>
      <c r="C91" s="395">
        <v>1</v>
      </c>
      <c r="D91" s="314">
        <v>7690758</v>
      </c>
      <c r="E91" s="315">
        <f>IF(ISBLANK(D91),"-",$D$101/$D$98*D91)</f>
        <v>7625113.1719492935</v>
      </c>
      <c r="F91" s="314">
        <v>8918359</v>
      </c>
      <c r="G91" s="316">
        <f>IF(ISBLANK(F91),"-",$D$101/$F$98*F91)</f>
        <v>7707825.03751342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7809143</v>
      </c>
      <c r="E92" s="320">
        <f>IF(ISBLANK(D92),"-",$D$101/$D$98*D92)</f>
        <v>7742487.6911918987</v>
      </c>
      <c r="F92" s="319">
        <v>8979951</v>
      </c>
      <c r="G92" s="321">
        <f>IF(ISBLANK(F92),"-",$D$101/$F$98*F92)</f>
        <v>7761056.843915307</v>
      </c>
      <c r="I92" s="497">
        <f>ABS((F96/D96*D95)-F95)/D95</f>
        <v>2.0391351350004461E-2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7712842</v>
      </c>
      <c r="E93" s="320">
        <f>IF(ISBLANK(D93),"-",$D$101/$D$98*D93)</f>
        <v>7647008.6729245326</v>
      </c>
      <c r="F93" s="319">
        <v>9204143</v>
      </c>
      <c r="G93" s="321">
        <f>IF(ISBLANK(F93),"-",$D$101/$F$98*F93)</f>
        <v>7954818.1301351385</v>
      </c>
      <c r="I93" s="497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7737581</v>
      </c>
      <c r="E95" s="330">
        <f>AVERAGE(E91:E94)</f>
        <v>7671536.5120219076</v>
      </c>
      <c r="F95" s="400">
        <f>AVERAGE(F91:F94)</f>
        <v>9034151</v>
      </c>
      <c r="G95" s="401">
        <f>AVERAGE(G91:G94)</f>
        <v>7807900.0038546212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22.49</v>
      </c>
      <c r="E96" s="322"/>
      <c r="F96" s="334">
        <v>25.8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22.49</v>
      </c>
      <c r="E97" s="337"/>
      <c r="F97" s="336">
        <f>F96*$B$87</f>
        <v>25.8</v>
      </c>
    </row>
    <row r="98" spans="1:10" ht="19.5" customHeight="1" x14ac:dyDescent="0.3">
      <c r="A98" s="306" t="s">
        <v>76</v>
      </c>
      <c r="B98" s="406">
        <f>(B97/B96)*(B95/B94)*(B93/B92)*(B91/B90)*B89</f>
        <v>625</v>
      </c>
      <c r="C98" s="404" t="s">
        <v>115</v>
      </c>
      <c r="D98" s="407">
        <f>D97*$B$83/100</f>
        <v>22.413533999999999</v>
      </c>
      <c r="E98" s="340"/>
      <c r="F98" s="339">
        <f>F97*$B$83/100</f>
        <v>25.71228</v>
      </c>
    </row>
    <row r="99" spans="1:10" ht="19.5" customHeight="1" x14ac:dyDescent="0.3">
      <c r="A99" s="498" t="s">
        <v>78</v>
      </c>
      <c r="B99" s="512"/>
      <c r="C99" s="404" t="s">
        <v>116</v>
      </c>
      <c r="D99" s="408">
        <f>D98/$B$98</f>
        <v>3.5861654399999998E-2</v>
      </c>
      <c r="E99" s="340"/>
      <c r="F99" s="343">
        <f>F98/$B$98</f>
        <v>4.1139648000000001E-2</v>
      </c>
      <c r="G99" s="409"/>
      <c r="H99" s="332"/>
    </row>
    <row r="100" spans="1:10" ht="19.5" customHeight="1" x14ac:dyDescent="0.3">
      <c r="A100" s="500"/>
      <c r="B100" s="513"/>
      <c r="C100" s="404" t="s">
        <v>80</v>
      </c>
      <c r="D100" s="410">
        <f>$B$56/$B$116</f>
        <v>3.5555555555555556E-2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22.222222222222221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22.222222222222221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7739718.2579382658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1.5230425361011065E-2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10</v>
      </c>
      <c r="C108" s="425">
        <v>1</v>
      </c>
      <c r="D108" s="426">
        <v>7866946</v>
      </c>
      <c r="E108" s="457">
        <f t="shared" ref="E108:E113" si="1">IF(ISBLANK(D108),"-",D108/$D$103*$D$100*$B$116)</f>
        <v>162.63012658232086</v>
      </c>
      <c r="F108" s="427">
        <f t="shared" ref="F108:F113" si="2">IF(ISBLANK(D108), "-", E108/$B$56)</f>
        <v>1.0164382911395053</v>
      </c>
    </row>
    <row r="109" spans="1:10" ht="26.25" customHeight="1" x14ac:dyDescent="0.4">
      <c r="A109" s="306" t="s">
        <v>95</v>
      </c>
      <c r="B109" s="307">
        <v>50</v>
      </c>
      <c r="C109" s="425">
        <v>2</v>
      </c>
      <c r="D109" s="426">
        <v>8000979</v>
      </c>
      <c r="E109" s="458">
        <f t="shared" si="1"/>
        <v>165.40093545226966</v>
      </c>
      <c r="F109" s="428">
        <f t="shared" si="2"/>
        <v>1.0337558465766854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7910413</v>
      </c>
      <c r="E110" s="458">
        <f t="shared" si="1"/>
        <v>163.52870192682605</v>
      </c>
      <c r="F110" s="428">
        <f t="shared" si="2"/>
        <v>1.0220543870426628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7941642</v>
      </c>
      <c r="E111" s="458">
        <f t="shared" si="1"/>
        <v>164.17428615011158</v>
      </c>
      <c r="F111" s="428">
        <f t="shared" si="2"/>
        <v>1.0260892884381974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8110610</v>
      </c>
      <c r="E112" s="458">
        <f t="shared" si="1"/>
        <v>167.66729185122631</v>
      </c>
      <c r="F112" s="428">
        <f t="shared" si="2"/>
        <v>1.0479205740701645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8084806</v>
      </c>
      <c r="E113" s="459">
        <f t="shared" si="1"/>
        <v>167.13385641308676</v>
      </c>
      <c r="F113" s="431">
        <f t="shared" si="2"/>
        <v>1.0445866025817923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165.08919972930687</v>
      </c>
      <c r="F115" s="434">
        <f>AVERAGE(F108:F113)</f>
        <v>1.031807498308168</v>
      </c>
    </row>
    <row r="116" spans="1:10" ht="27" customHeight="1" x14ac:dyDescent="0.4">
      <c r="A116" s="306" t="s">
        <v>103</v>
      </c>
      <c r="B116" s="338">
        <f>(B115/B114)*(B113/B112)*(B111/B110)*(B109/B108)*B107</f>
        <v>4500</v>
      </c>
      <c r="C116" s="435"/>
      <c r="D116" s="398" t="s">
        <v>84</v>
      </c>
      <c r="E116" s="436">
        <f>STDEV(E108:E113)/E115</f>
        <v>1.2188223930368541E-2</v>
      </c>
      <c r="F116" s="436">
        <f>STDEV(F108:F113)/F115</f>
        <v>1.2188223930368549E-2</v>
      </c>
      <c r="I116" s="280"/>
    </row>
    <row r="117" spans="1:10" ht="27" customHeight="1" x14ac:dyDescent="0.4">
      <c r="A117" s="498" t="s">
        <v>78</v>
      </c>
      <c r="B117" s="499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500"/>
      <c r="B118" s="501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510" t="str">
        <f>B20</f>
        <v>Sulfamethoxazole BP &amp; Trimethoprim BP</v>
      </c>
      <c r="D120" s="510"/>
      <c r="E120" s="387" t="s">
        <v>124</v>
      </c>
      <c r="F120" s="387"/>
      <c r="G120" s="388">
        <f>F115</f>
        <v>1.031807498308168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11" t="s">
        <v>26</v>
      </c>
      <c r="C122" s="511"/>
      <c r="E122" s="393" t="s">
        <v>27</v>
      </c>
      <c r="F122" s="442"/>
      <c r="G122" s="511" t="s">
        <v>28</v>
      </c>
      <c r="H122" s="511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Sulphamethoxazole</vt:lpstr>
      <vt:lpstr>SST Trimethoprim</vt:lpstr>
      <vt:lpstr>Uniformity</vt:lpstr>
      <vt:lpstr>SULPHAMETHOXAZOLE</vt:lpstr>
      <vt:lpstr>TRIMETHOPRIM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2016-03-23T06:50:55Z</cp:lastPrinted>
  <dcterms:created xsi:type="dcterms:W3CDTF">2005-07-05T10:19:27Z</dcterms:created>
  <dcterms:modified xsi:type="dcterms:W3CDTF">2016-04-01T07:56:35Z</dcterms:modified>
  <cp:category/>
</cp:coreProperties>
</file>