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4"/>
  </bookViews>
  <sheets>
    <sheet name="SST" sheetId="1" r:id="rId1"/>
    <sheet name="Uniformity" sheetId="2" r:id="rId2"/>
    <sheet name="Lopinavir" sheetId="5" r:id="rId3"/>
    <sheet name="Ritonavir" sheetId="6" r:id="rId4"/>
    <sheet name="SST (2)" sheetId="10" r:id="rId5"/>
  </sheets>
  <definedNames>
    <definedName name="_xlnm.Print_Area" localSheetId="2">Lopinavir!$A$1:$H$172</definedName>
    <definedName name="_xlnm.Print_Area" localSheetId="3">Ritonavir!$A$1:$H$175</definedName>
    <definedName name="_xlnm.Print_Area" localSheetId="1">Uniformity!$A$7:$G$52</definedName>
  </definedNames>
  <calcPr calcId="145621"/>
</workbook>
</file>

<file path=xl/calcChain.xml><?xml version="1.0" encoding="utf-8"?>
<calcChain xmlns="http://schemas.openxmlformats.org/spreadsheetml/2006/main">
  <c r="B21" i="10" l="1"/>
  <c r="B43" i="10"/>
  <c r="B54" i="10"/>
  <c r="E52" i="10"/>
  <c r="D52" i="10"/>
  <c r="C52" i="10"/>
  <c r="B52" i="10"/>
  <c r="B53" i="10" s="1"/>
  <c r="B32" i="10"/>
  <c r="E30" i="10"/>
  <c r="D30" i="10"/>
  <c r="C30" i="10"/>
  <c r="B30" i="10"/>
  <c r="B31" i="10" s="1"/>
  <c r="B126" i="6" l="1"/>
  <c r="B126" i="5"/>
  <c r="B57" i="5"/>
  <c r="B57" i="6"/>
  <c r="C168" i="6"/>
  <c r="B159" i="6"/>
  <c r="D143" i="6" s="1"/>
  <c r="B141" i="6"/>
  <c r="F140" i="6"/>
  <c r="D140" i="6"/>
  <c r="F138" i="6"/>
  <c r="D138" i="6"/>
  <c r="G137" i="6"/>
  <c r="E137" i="6"/>
  <c r="B130" i="6"/>
  <c r="B116" i="6"/>
  <c r="D100" i="6" s="1"/>
  <c r="B98" i="6"/>
  <c r="F95" i="6"/>
  <c r="D95" i="6"/>
  <c r="G94" i="6"/>
  <c r="E94" i="6"/>
  <c r="B87" i="6"/>
  <c r="F97" i="6" s="1"/>
  <c r="F98" i="6" s="1"/>
  <c r="B83" i="6"/>
  <c r="B82" i="6"/>
  <c r="B81" i="6"/>
  <c r="B80" i="6"/>
  <c r="B79" i="6"/>
  <c r="C76" i="6"/>
  <c r="H71" i="6"/>
  <c r="G71" i="6"/>
  <c r="B68" i="6"/>
  <c r="B69" i="6" s="1"/>
  <c r="H67" i="6"/>
  <c r="G67" i="6"/>
  <c r="H63" i="6"/>
  <c r="G63" i="6"/>
  <c r="C56" i="6"/>
  <c r="B55" i="6"/>
  <c r="B45" i="6"/>
  <c r="D48" i="6" s="1"/>
  <c r="F42" i="6"/>
  <c r="D42" i="6"/>
  <c r="G41" i="6"/>
  <c r="E41" i="6"/>
  <c r="B34" i="6"/>
  <c r="F44" i="6" s="1"/>
  <c r="F45" i="6" s="1"/>
  <c r="F46" i="6" s="1"/>
  <c r="B30" i="6"/>
  <c r="C168" i="5"/>
  <c r="B159" i="5"/>
  <c r="D143" i="5"/>
  <c r="B141" i="5"/>
  <c r="F138" i="5"/>
  <c r="D138" i="5"/>
  <c r="G137" i="5"/>
  <c r="E137" i="5"/>
  <c r="B130" i="5"/>
  <c r="F140" i="5" s="1"/>
  <c r="B116" i="5"/>
  <c r="D100" i="5" s="1"/>
  <c r="D101" i="5" s="1"/>
  <c r="B98" i="5"/>
  <c r="F97" i="5"/>
  <c r="D97" i="5"/>
  <c r="D98" i="5" s="1"/>
  <c r="D99" i="5" s="1"/>
  <c r="F95" i="5"/>
  <c r="D95" i="5"/>
  <c r="G94" i="5"/>
  <c r="E94" i="5"/>
  <c r="B87" i="5"/>
  <c r="B82" i="5"/>
  <c r="B81" i="5"/>
  <c r="B83" i="5" s="1"/>
  <c r="B80" i="5"/>
  <c r="B79" i="5"/>
  <c r="C76" i="5"/>
  <c r="H71" i="5"/>
  <c r="G71" i="5"/>
  <c r="B68" i="5"/>
  <c r="H67" i="5"/>
  <c r="G67" i="5"/>
  <c r="H63" i="5"/>
  <c r="G63" i="5"/>
  <c r="B69" i="5"/>
  <c r="C56" i="5"/>
  <c r="B55" i="5"/>
  <c r="B45" i="5"/>
  <c r="D48" i="5" s="1"/>
  <c r="F44" i="5"/>
  <c r="F45" i="5" s="1"/>
  <c r="F46" i="5" s="1"/>
  <c r="D44" i="5"/>
  <c r="D45" i="5" s="1"/>
  <c r="D46" i="5" s="1"/>
  <c r="F42" i="5"/>
  <c r="D42" i="5"/>
  <c r="G41" i="5"/>
  <c r="E41" i="5"/>
  <c r="B34" i="5"/>
  <c r="B30" i="5"/>
  <c r="D144" i="5" l="1"/>
  <c r="D145" i="5" s="1"/>
  <c r="D141" i="6"/>
  <c r="D142" i="6" s="1"/>
  <c r="F141" i="6"/>
  <c r="F142" i="6" s="1"/>
  <c r="F141" i="5"/>
  <c r="F142" i="5" s="1"/>
  <c r="D144" i="6"/>
  <c r="D101" i="6"/>
  <c r="G91" i="6" s="1"/>
  <c r="F99" i="6"/>
  <c r="E93" i="5"/>
  <c r="E91" i="5"/>
  <c r="G92" i="5"/>
  <c r="E92" i="5"/>
  <c r="D102" i="5"/>
  <c r="G91" i="5"/>
  <c r="D49" i="5"/>
  <c r="E40" i="5"/>
  <c r="E38" i="5"/>
  <c r="G39" i="5"/>
  <c r="E39" i="5"/>
  <c r="G38" i="5"/>
  <c r="G42" i="5" s="1"/>
  <c r="G40" i="5"/>
  <c r="F98" i="5"/>
  <c r="F99" i="5" s="1"/>
  <c r="G39" i="6"/>
  <c r="D140" i="5"/>
  <c r="D141" i="5" s="1"/>
  <c r="D142" i="5" s="1"/>
  <c r="D44" i="6"/>
  <c r="D45" i="6" s="1"/>
  <c r="D46" i="6" s="1"/>
  <c r="D49" i="6"/>
  <c r="D97" i="6"/>
  <c r="D98" i="6" s="1"/>
  <c r="D99" i="6" s="1"/>
  <c r="G38" i="6"/>
  <c r="G42" i="6" s="1"/>
  <c r="G40" i="6"/>
  <c r="D43" i="2"/>
  <c r="D48" i="2" s="1"/>
  <c r="C43" i="2"/>
  <c r="B43" i="2"/>
  <c r="C42" i="2"/>
  <c r="B42" i="2"/>
  <c r="D40" i="2"/>
  <c r="D39" i="2"/>
  <c r="D38" i="2"/>
  <c r="E37" i="2"/>
  <c r="D37" i="2"/>
  <c r="D36" i="2"/>
  <c r="E35" i="2"/>
  <c r="D35" i="2"/>
  <c r="D34" i="2"/>
  <c r="E33" i="2"/>
  <c r="D33" i="2"/>
  <c r="D32" i="2"/>
  <c r="E31" i="2"/>
  <c r="D31" i="2"/>
  <c r="D30" i="2"/>
  <c r="E29" i="2"/>
  <c r="D29" i="2"/>
  <c r="D28" i="2"/>
  <c r="E27" i="2"/>
  <c r="D27" i="2"/>
  <c r="D26" i="2"/>
  <c r="E25" i="2"/>
  <c r="D25" i="2"/>
  <c r="D24" i="2"/>
  <c r="E23" i="2"/>
  <c r="D23" i="2"/>
  <c r="D22" i="2"/>
  <c r="E21" i="2"/>
  <c r="D21" i="2"/>
  <c r="D42" i="2" s="1"/>
  <c r="B54" i="1"/>
  <c r="E52" i="1"/>
  <c r="D52" i="1"/>
  <c r="C52" i="1"/>
  <c r="B52" i="1"/>
  <c r="B53" i="1" s="1"/>
  <c r="B32" i="1"/>
  <c r="E30" i="1"/>
  <c r="D30" i="1"/>
  <c r="C30" i="1"/>
  <c r="B30" i="1"/>
  <c r="B31" i="1" s="1"/>
  <c r="G134" i="6" l="1"/>
  <c r="G134" i="5"/>
  <c r="G136" i="5"/>
  <c r="G135" i="5"/>
  <c r="G138" i="5" s="1"/>
  <c r="E136" i="6"/>
  <c r="D145" i="6"/>
  <c r="G136" i="6"/>
  <c r="G135" i="6"/>
  <c r="E135" i="6"/>
  <c r="E134" i="6"/>
  <c r="G93" i="6"/>
  <c r="G95" i="6" s="1"/>
  <c r="D102" i="6"/>
  <c r="G92" i="6"/>
  <c r="E38" i="6"/>
  <c r="E93" i="6"/>
  <c r="D50" i="5"/>
  <c r="E42" i="5"/>
  <c r="D52" i="5"/>
  <c r="E92" i="6"/>
  <c r="E134" i="5"/>
  <c r="E40" i="6"/>
  <c r="E39" i="6"/>
  <c r="E91" i="6"/>
  <c r="G93" i="5"/>
  <c r="D103" i="5" s="1"/>
  <c r="E95" i="5"/>
  <c r="E136" i="5"/>
  <c r="E135" i="5"/>
  <c r="E39" i="2"/>
  <c r="E22" i="2"/>
  <c r="E28" i="2"/>
  <c r="C48" i="2"/>
  <c r="E24" i="2"/>
  <c r="E26" i="2"/>
  <c r="E30" i="2"/>
  <c r="E32" i="2"/>
  <c r="E34" i="2"/>
  <c r="E36" i="2"/>
  <c r="E38" i="2"/>
  <c r="E40" i="2"/>
  <c r="C47" i="2"/>
  <c r="D47" i="2"/>
  <c r="B47" i="2"/>
  <c r="G138" i="6" l="1"/>
  <c r="D105" i="5"/>
  <c r="D146" i="6"/>
  <c r="E155" i="6" s="1"/>
  <c r="F155" i="6" s="1"/>
  <c r="E138" i="6"/>
  <c r="D148" i="6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F108" i="5" s="1"/>
  <c r="G68" i="5"/>
  <c r="H68" i="5" s="1"/>
  <c r="G65" i="5"/>
  <c r="H65" i="5" s="1"/>
  <c r="G69" i="5"/>
  <c r="H69" i="5" s="1"/>
  <c r="G66" i="5"/>
  <c r="H66" i="5" s="1"/>
  <c r="G64" i="5"/>
  <c r="H64" i="5" s="1"/>
  <c r="G62" i="5"/>
  <c r="H62" i="5" s="1"/>
  <c r="G60" i="5"/>
  <c r="H60" i="5" s="1"/>
  <c r="D51" i="5"/>
  <c r="G70" i="5"/>
  <c r="H70" i="5" s="1"/>
  <c r="G61" i="5"/>
  <c r="H61" i="5" s="1"/>
  <c r="D103" i="6"/>
  <c r="E95" i="6"/>
  <c r="D105" i="6"/>
  <c r="G95" i="5"/>
  <c r="D146" i="5"/>
  <c r="E138" i="5"/>
  <c r="D148" i="5"/>
  <c r="D50" i="6"/>
  <c r="E42" i="6"/>
  <c r="D52" i="6"/>
  <c r="D147" i="5" l="1"/>
  <c r="E155" i="5"/>
  <c r="F155" i="5" s="1"/>
  <c r="E151" i="5"/>
  <c r="F151" i="5" s="1"/>
  <c r="E154" i="5"/>
  <c r="F154" i="5" s="1"/>
  <c r="E153" i="5"/>
  <c r="F153" i="5" s="1"/>
  <c r="E152" i="5"/>
  <c r="F152" i="5" s="1"/>
  <c r="E156" i="5"/>
  <c r="F156" i="5" s="1"/>
  <c r="E156" i="6"/>
  <c r="F156" i="6" s="1"/>
  <c r="E152" i="6"/>
  <c r="F152" i="6" s="1"/>
  <c r="E153" i="6"/>
  <c r="F153" i="6" s="1"/>
  <c r="E151" i="6"/>
  <c r="F151" i="6" s="1"/>
  <c r="D147" i="6"/>
  <c r="E154" i="6"/>
  <c r="F154" i="6" s="1"/>
  <c r="F117" i="5"/>
  <c r="F115" i="5"/>
  <c r="F116" i="5" s="1"/>
  <c r="D51" i="6"/>
  <c r="G70" i="6"/>
  <c r="H70" i="6" s="1"/>
  <c r="G65" i="6"/>
  <c r="H65" i="6" s="1"/>
  <c r="G61" i="6"/>
  <c r="H61" i="6" s="1"/>
  <c r="G66" i="6"/>
  <c r="H66" i="6" s="1"/>
  <c r="G64" i="6"/>
  <c r="H64" i="6" s="1"/>
  <c r="G60" i="6"/>
  <c r="H60" i="6" s="1"/>
  <c r="G68" i="6"/>
  <c r="H68" i="6" s="1"/>
  <c r="G69" i="6"/>
  <c r="H69" i="6" s="1"/>
  <c r="G62" i="6"/>
  <c r="H62" i="6" s="1"/>
  <c r="E112" i="6"/>
  <c r="F112" i="6" s="1"/>
  <c r="E110" i="6"/>
  <c r="F110" i="6" s="1"/>
  <c r="E108" i="6"/>
  <c r="F108" i="6" s="1"/>
  <c r="E111" i="6"/>
  <c r="F111" i="6" s="1"/>
  <c r="D104" i="6"/>
  <c r="E113" i="6"/>
  <c r="F113" i="6" s="1"/>
  <c r="E109" i="6"/>
  <c r="F109" i="6" s="1"/>
  <c r="H74" i="5"/>
  <c r="H72" i="5"/>
  <c r="B167" i="5" l="1"/>
  <c r="B165" i="5"/>
  <c r="G168" i="5" s="1"/>
  <c r="F160" i="5"/>
  <c r="F158" i="5"/>
  <c r="F159" i="5" s="1"/>
  <c r="F160" i="6"/>
  <c r="F158" i="6"/>
  <c r="F159" i="6" s="1"/>
  <c r="H73" i="5"/>
  <c r="G76" i="5"/>
  <c r="H72" i="6"/>
  <c r="H74" i="6"/>
  <c r="B166" i="5"/>
  <c r="B167" i="6"/>
  <c r="F115" i="6"/>
  <c r="F116" i="6" s="1"/>
  <c r="B165" i="6"/>
  <c r="F117" i="6"/>
  <c r="B166" i="6" l="1"/>
  <c r="G168" i="6"/>
  <c r="H73" i="6"/>
  <c r="G76" i="6"/>
</calcChain>
</file>

<file path=xl/sharedStrings.xml><?xml version="1.0" encoding="utf-8"?>
<sst xmlns="http://schemas.openxmlformats.org/spreadsheetml/2006/main" count="579" uniqueCount="140">
  <si>
    <t>HPLC System Suitability Report</t>
  </si>
  <si>
    <t>Analysis Data</t>
  </si>
  <si>
    <t>Sample(s)</t>
  </si>
  <si>
    <t>Reference Substance:</t>
  </si>
  <si>
    <t>LOPINAVIR/ RITONAVIR ORAL PELLETS 40 mg/10 mg CAPSULES</t>
  </si>
  <si>
    <t>% age Purity:</t>
  </si>
  <si>
    <t>NDQD201602760</t>
  </si>
  <si>
    <t>Weight (mg):</t>
  </si>
  <si>
    <t>Lopinavir &amp; Ritonavir</t>
  </si>
  <si>
    <t>Standard Conc (mg/mL):</t>
  </si>
  <si>
    <t>Each capsule contains Lopinavir 400 mg, Ritonavir 10 mg</t>
  </si>
  <si>
    <t>2016-02-18 14:28:34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</si>
  <si>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</si>
  <si>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</si>
  <si>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</si>
  <si>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</si>
  <si>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</si>
  <si>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</si>
  <si>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</si>
  <si>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</si>
  <si>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</si>
  <si>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</si>
  <si>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</si>
  <si>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</si>
  <si>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</si>
  <si>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</si>
  <si>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</si>
  <si>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</si>
  <si>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</si>
  <si>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</si>
  <si>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</si>
  <si>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</si>
  <si>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</si>
  <si>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</si>
  <si>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2016-05-11 15:12:43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</si>
  <si>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</si>
  <si>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</si>
  <si>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</si>
  <si>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</si>
  <si>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</si>
  <si>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</si>
  <si>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</si>
  <si>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</si>
  <si>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</si>
  <si>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</si>
  <si>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</si>
  <si>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</si>
  <si>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</si>
  <si>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</si>
  <si>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</si>
  <si>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</si>
  <si>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</si>
  <si>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</si>
  <si>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</si>
  <si>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</si>
  <si>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</si>
  <si>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</si>
  <si>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</si>
  <si>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</si>
  <si>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t>Injection</t>
  </si>
  <si>
    <t>Response:</t>
  </si>
  <si>
    <t>Normalised Response: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</si>
  <si>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</si>
  <si>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</si>
  <si>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</si>
  <si>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</si>
  <si>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</si>
  <si>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</si>
  <si>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</si>
  <si>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</si>
  <si>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</si>
  <si>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</si>
  <si>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</si>
  <si>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</si>
  <si>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</si>
  <si>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</si>
  <si>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</si>
  <si>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</si>
  <si>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</si>
  <si>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</si>
  <si>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</si>
  <si>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</si>
  <si>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</si>
  <si>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</si>
  <si>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</si>
  <si>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</si>
  <si>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</si>
  <si>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</si>
  <si>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</si>
  <si>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</si>
  <si>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</si>
  <si>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</si>
  <si>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</si>
  <si>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</si>
  <si>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t xml:space="preserve">The amount  of </t>
  </si>
  <si>
    <t xml:space="preserve">dissolved as a percentage of the stated  label claim is </t>
  </si>
  <si>
    <t>Ritonavir</t>
  </si>
  <si>
    <t>R9-1</t>
  </si>
  <si>
    <t>Lopinavir</t>
  </si>
  <si>
    <t>L20-3</t>
  </si>
  <si>
    <t>Each capsule contains Lopinavir 40 mg, Ritonavir 10 mg</t>
  </si>
  <si>
    <t>Assay &amp; Dissolutrion, RITONAVIR</t>
  </si>
  <si>
    <t>Assay &amp; Dissolutrion, LOPINAVIR</t>
  </si>
  <si>
    <r>
      <t xml:space="preserve">The Resolution between Lopinavir &amp; Ritonavir peaks is </t>
    </r>
    <r>
      <rPr>
        <b/>
        <sz val="12"/>
        <color rgb="FF000000"/>
        <rFont val="Book Antiqua"/>
        <family val="1"/>
      </rPr>
      <t>NLT 1.5</t>
    </r>
  </si>
  <si>
    <r>
      <t xml:space="preserve">The Assymetry of all peaks is </t>
    </r>
    <r>
      <rPr>
        <b/>
        <sz val="12"/>
        <color rgb="FF000000"/>
        <rFont val="Book Antiqua"/>
        <family val="1"/>
      </rPr>
      <t>NLT 0.8</t>
    </r>
    <r>
      <rPr>
        <sz val="12"/>
        <color rgb="FF000000"/>
        <rFont val="Book Antiqua"/>
        <family val="1"/>
      </rPr>
      <t xml:space="preserve"> &amp; </t>
    </r>
    <r>
      <rPr>
        <b/>
        <sz val="12"/>
        <color rgb="FF000000"/>
        <rFont val="Book Antiqua"/>
        <family val="1"/>
      </rPr>
      <t>NMT 2.0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</si>
  <si>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NLT 3000</t>
    </r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</si>
  <si>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NMT 2.0%.</t>
    </r>
  </si>
  <si>
    <r>
      <t xml:space="preserve">The Assymetry of all peaks is </t>
    </r>
    <r>
      <rPr>
        <b/>
        <sz val="12"/>
        <color rgb="FF000000"/>
        <rFont val="Book Antiqua"/>
        <family val="1"/>
      </rPr>
      <t xml:space="preserve">NLT 0.8 </t>
    </r>
    <r>
      <rPr>
        <sz val="12"/>
        <color rgb="FF000000"/>
        <rFont val="Book Antiqua"/>
        <family val="1"/>
      </rPr>
      <t>&amp;</t>
    </r>
    <r>
      <rPr>
        <b/>
        <sz val="12"/>
        <color rgb="FF000000"/>
        <rFont val="Book Antiqua"/>
        <family val="1"/>
      </rPr>
      <t xml:space="preserve"> NMT 2.0</t>
    </r>
  </si>
  <si>
    <t>Aluvia Tablets  &amp; Ritonavir/ Lopinavir Oral Pellets Capsules</t>
  </si>
  <si>
    <t>If correction for water content is NOT needed please enter 0</t>
  </si>
  <si>
    <t>Initial Standard dilution (mL):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</si>
  <si>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</si>
  <si>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</si>
  <si>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</si>
  <si>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</si>
  <si>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</si>
  <si>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</si>
  <si>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</si>
  <si>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</si>
  <si>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Desired Concetration (mg/mL):</t>
  </si>
  <si>
    <t>Each Tablet contains</t>
  </si>
  <si>
    <t>Average Tablet Content Weight (mg):</t>
  </si>
  <si>
    <t>Initial Sample dilution (mL):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</si>
  <si>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</si>
  <si>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</si>
  <si>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</si>
  <si>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</si>
  <si>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</si>
  <si>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</si>
  <si>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</si>
  <si>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</si>
  <si>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Desired Sample Weight (mg)</t>
  </si>
  <si>
    <t>Comment</t>
  </si>
  <si>
    <t>tablet No.</t>
  </si>
  <si>
    <t>Analysis Data:</t>
  </si>
  <si>
    <t>Repeat Determination of Active Ingredient Dissolved</t>
  </si>
  <si>
    <t>Inj</t>
  </si>
  <si>
    <t>Dissolution Result Summary</t>
  </si>
  <si>
    <t xml:space="preserve"> Ritonavir</t>
  </si>
  <si>
    <t>Kefa Makoyo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</si>
</sst>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</numFmts>
  <fonts count="2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0"/>
      <color rgb="FF000000"/>
      <name val="Arial"/>
    </font>
    <font>
      <b/>
      <sz val="72"/>
      <color rgb="FF000000"/>
      <name val="Book Antiqua"/>
    </font>
    <font>
      <b/>
      <sz val="10"/>
      <color rgb="FF000000"/>
      <name val="Book Antiqua"/>
    </font>
    <font>
      <b/>
      <sz val="5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sz val="14"/>
      <color rgb="FF000000"/>
      <name val="Book Antiqua"/>
    </font>
    <font>
      <b/>
      <u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sz val="1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11" fillId="2" borderId="0"/>
  </cellStyleXfs>
  <cellXfs count="40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/>
    <xf numFmtId="0" fontId="13" fillId="2" borderId="0" xfId="1" applyFont="1" applyFill="1"/>
    <xf numFmtId="2" fontId="15" fillId="3" borderId="3" xfId="1" applyNumberFormat="1" applyFont="1" applyFill="1" applyBorder="1" applyAlignment="1" applyProtection="1">
      <alignment horizontal="center"/>
      <protection locked="0"/>
    </xf>
    <xf numFmtId="0" fontId="11" fillId="2" borderId="0" xfId="1" applyFill="1"/>
    <xf numFmtId="0" fontId="18" fillId="2" borderId="0" xfId="1" applyFont="1" applyFill="1" applyAlignment="1">
      <alignment vertical="center"/>
    </xf>
    <xf numFmtId="0" fontId="18" fillId="3" borderId="0" xfId="1" applyFont="1" applyFill="1" applyAlignment="1" applyProtection="1">
      <alignment horizontal="left" vertical="center"/>
      <protection locked="0"/>
    </xf>
    <xf numFmtId="0" fontId="20" fillId="3" borderId="0" xfId="1" applyFont="1" applyFill="1" applyAlignment="1" applyProtection="1">
      <alignment horizontal="left" vertical="center"/>
      <protection locked="0"/>
    </xf>
    <xf numFmtId="0" fontId="21" fillId="2" borderId="0" xfId="1" applyFont="1" applyFill="1" applyAlignment="1">
      <alignment vertical="center"/>
    </xf>
    <xf numFmtId="0" fontId="20" fillId="3" borderId="0" xfId="1" applyFont="1" applyFill="1" applyAlignment="1" applyProtection="1">
      <alignment vertical="center"/>
      <protection locked="0"/>
    </xf>
    <xf numFmtId="0" fontId="21" fillId="3" borderId="0" xfId="1" applyFont="1" applyFill="1" applyAlignment="1" applyProtection="1">
      <alignment vertical="center"/>
      <protection locked="0"/>
    </xf>
    <xf numFmtId="170" fontId="20" fillId="3" borderId="0" xfId="1" applyNumberFormat="1" applyFont="1" applyFill="1" applyAlignment="1" applyProtection="1">
      <alignment horizontal="left" vertical="center"/>
      <protection locked="0"/>
    </xf>
    <xf numFmtId="170" fontId="21" fillId="2" borderId="0" xfId="1" applyNumberFormat="1" applyFont="1" applyFill="1" applyAlignment="1">
      <alignment horizontal="left" vertical="center"/>
    </xf>
    <xf numFmtId="0" fontId="22" fillId="2" borderId="0" xfId="1" applyFont="1" applyFill="1" applyAlignment="1">
      <alignment horizontal="left" vertical="center"/>
    </xf>
    <xf numFmtId="0" fontId="18" fillId="2" borderId="0" xfId="1" applyFont="1" applyFill="1" applyAlignment="1">
      <alignment horizontal="right" vertical="center"/>
    </xf>
    <xf numFmtId="0" fontId="21" fillId="2" borderId="0" xfId="1" applyFont="1" applyFill="1" applyAlignment="1">
      <alignment horizontal="right" vertical="center"/>
    </xf>
    <xf numFmtId="0" fontId="19" fillId="3" borderId="0" xfId="1" applyFont="1" applyFill="1" applyAlignment="1" applyProtection="1">
      <alignment horizontal="center" vertical="center"/>
      <protection locked="0"/>
    </xf>
    <xf numFmtId="0" fontId="20" fillId="3" borderId="0" xfId="1" applyFont="1" applyFill="1" applyAlignment="1" applyProtection="1">
      <alignment horizontal="center" vertical="center"/>
      <protection locked="0"/>
    </xf>
    <xf numFmtId="0" fontId="23" fillId="2" borderId="0" xfId="1" applyFont="1" applyFill="1" applyAlignment="1">
      <alignment vertical="center"/>
    </xf>
    <xf numFmtId="0" fontId="24" fillId="2" borderId="0" xfId="1" applyFont="1" applyFill="1" applyAlignment="1">
      <alignment vertical="center" wrapText="1"/>
    </xf>
    <xf numFmtId="0" fontId="25" fillId="2" borderId="0" xfId="1" applyFont="1" applyFill="1"/>
    <xf numFmtId="0" fontId="18" fillId="2" borderId="0" xfId="1" applyFont="1" applyFill="1" applyAlignment="1">
      <alignment horizontal="center" vertical="center"/>
    </xf>
    <xf numFmtId="0" fontId="26" fillId="2" borderId="0" xfId="1" applyFont="1" applyFill="1" applyAlignment="1">
      <alignment vertical="center"/>
    </xf>
    <xf numFmtId="0" fontId="27" fillId="2" borderId="0" xfId="1" applyFont="1" applyFill="1" applyAlignment="1">
      <alignment vertical="center"/>
    </xf>
    <xf numFmtId="2" fontId="19" fillId="3" borderId="0" xfId="1" applyNumberFormat="1" applyFont="1" applyFill="1" applyAlignment="1" applyProtection="1">
      <alignment horizontal="center" vertical="center"/>
      <protection locked="0"/>
    </xf>
    <xf numFmtId="0" fontId="18" fillId="2" borderId="0" xfId="1" applyFont="1" applyFill="1" applyAlignment="1">
      <alignment vertical="center" wrapText="1"/>
    </xf>
    <xf numFmtId="0" fontId="23" fillId="2" borderId="0" xfId="1" applyFont="1" applyFill="1"/>
    <xf numFmtId="2" fontId="18" fillId="2" borderId="0" xfId="1" applyNumberFormat="1" applyFont="1" applyFill="1" applyAlignment="1">
      <alignment horizontal="center" vertical="center"/>
    </xf>
    <xf numFmtId="0" fontId="16" fillId="2" borderId="0" xfId="1" applyFont="1" applyFill="1" applyAlignment="1">
      <alignment horizontal="left" vertical="center" wrapText="1"/>
    </xf>
    <xf numFmtId="169" fontId="18" fillId="2" borderId="0" xfId="1" applyNumberFormat="1" applyFont="1" applyFill="1" applyAlignment="1">
      <alignment horizontal="center" vertical="center"/>
    </xf>
    <xf numFmtId="0" fontId="21" fillId="2" borderId="33" xfId="1" applyFont="1" applyFill="1" applyBorder="1" applyAlignment="1">
      <alignment horizontal="right" vertical="center"/>
    </xf>
    <xf numFmtId="0" fontId="19" fillId="3" borderId="34" xfId="1" applyFont="1" applyFill="1" applyBorder="1" applyAlignment="1" applyProtection="1">
      <alignment horizontal="center" vertical="center"/>
      <protection locked="0"/>
    </xf>
    <xf numFmtId="0" fontId="21" fillId="2" borderId="35" xfId="1" applyFont="1" applyFill="1" applyBorder="1" applyAlignment="1">
      <alignment horizontal="right" vertical="center"/>
    </xf>
    <xf numFmtId="0" fontId="19" fillId="3" borderId="36" xfId="1" applyFont="1" applyFill="1" applyBorder="1" applyAlignment="1" applyProtection="1">
      <alignment horizontal="center" vertical="center"/>
      <protection locked="0"/>
    </xf>
    <xf numFmtId="0" fontId="18" fillId="2" borderId="10" xfId="1" applyFont="1" applyFill="1" applyBorder="1" applyAlignment="1">
      <alignment horizontal="center" vertical="center"/>
    </xf>
    <xf numFmtId="0" fontId="18" fillId="2" borderId="57" xfId="1" applyFont="1" applyFill="1" applyBorder="1" applyAlignment="1">
      <alignment horizontal="center" vertical="center"/>
    </xf>
    <xf numFmtId="0" fontId="18" fillId="2" borderId="38" xfId="1" applyFont="1" applyFill="1" applyBorder="1" applyAlignment="1">
      <alignment horizontal="center" vertical="center"/>
    </xf>
    <xf numFmtId="0" fontId="18" fillId="2" borderId="42" xfId="1" applyFont="1" applyFill="1" applyBorder="1" applyAlignment="1">
      <alignment horizontal="center" vertical="center"/>
    </xf>
    <xf numFmtId="0" fontId="21" fillId="2" borderId="54" xfId="1" applyFont="1" applyFill="1" applyBorder="1" applyAlignment="1">
      <alignment horizontal="center" vertical="center"/>
    </xf>
    <xf numFmtId="0" fontId="19" fillId="3" borderId="57" xfId="1" applyFont="1" applyFill="1" applyBorder="1" applyAlignment="1" applyProtection="1">
      <alignment horizontal="center" vertical="center"/>
      <protection locked="0"/>
    </xf>
    <xf numFmtId="171" fontId="21" fillId="2" borderId="54" xfId="1" applyNumberFormat="1" applyFont="1" applyFill="1" applyBorder="1" applyAlignment="1">
      <alignment horizontal="center" vertical="center"/>
    </xf>
    <xf numFmtId="171" fontId="21" fillId="2" borderId="40" xfId="1" applyNumberFormat="1" applyFont="1" applyFill="1" applyBorder="1" applyAlignment="1">
      <alignment horizontal="center" vertical="center"/>
    </xf>
    <xf numFmtId="0" fontId="21" fillId="2" borderId="0" xfId="1" applyFont="1" applyFill="1" applyAlignment="1">
      <alignment horizontal="center" vertical="center"/>
    </xf>
    <xf numFmtId="0" fontId="19" fillId="3" borderId="55" xfId="1" applyFont="1" applyFill="1" applyBorder="1" applyAlignment="1" applyProtection="1">
      <alignment horizontal="center" vertical="center"/>
      <protection locked="0"/>
    </xf>
    <xf numFmtId="171" fontId="21" fillId="2" borderId="0" xfId="1" applyNumberFormat="1" applyFont="1" applyFill="1" applyAlignment="1">
      <alignment horizontal="center" vertical="center"/>
    </xf>
    <xf numFmtId="171" fontId="21" fillId="2" borderId="36" xfId="1" applyNumberFormat="1" applyFont="1" applyFill="1" applyBorder="1" applyAlignment="1">
      <alignment horizontal="center" vertical="center"/>
    </xf>
    <xf numFmtId="0" fontId="21" fillId="2" borderId="0" xfId="1" applyFont="1" applyFill="1"/>
    <xf numFmtId="0" fontId="21" fillId="2" borderId="7" xfId="1" applyFont="1" applyFill="1" applyBorder="1" applyAlignment="1">
      <alignment horizontal="center" vertical="center"/>
    </xf>
    <xf numFmtId="0" fontId="19" fillId="3" borderId="61" xfId="1" applyFont="1" applyFill="1" applyBorder="1" applyAlignment="1" applyProtection="1">
      <alignment horizontal="center" vertical="center"/>
      <protection locked="0"/>
    </xf>
    <xf numFmtId="171" fontId="21" fillId="2" borderId="7" xfId="1" applyNumberFormat="1" applyFont="1" applyFill="1" applyBorder="1" applyAlignment="1">
      <alignment horizontal="center" vertical="center"/>
    </xf>
    <xf numFmtId="171" fontId="21" fillId="2" borderId="15" xfId="1" applyNumberFormat="1" applyFont="1" applyFill="1" applyBorder="1" applyAlignment="1">
      <alignment horizontal="center" vertical="center"/>
    </xf>
    <xf numFmtId="171" fontId="18" fillId="6" borderId="55" xfId="1" applyNumberFormat="1" applyFont="1" applyFill="1" applyBorder="1" applyAlignment="1">
      <alignment horizontal="center" vertical="center"/>
    </xf>
    <xf numFmtId="171" fontId="18" fillId="6" borderId="48" xfId="1" applyNumberFormat="1" applyFont="1" applyFill="1" applyBorder="1" applyAlignment="1">
      <alignment horizontal="center" vertical="center"/>
    </xf>
    <xf numFmtId="1" fontId="18" fillId="6" borderId="56" xfId="1" applyNumberFormat="1" applyFont="1" applyFill="1" applyBorder="1" applyAlignment="1">
      <alignment horizontal="center" vertical="center"/>
    </xf>
    <xf numFmtId="171" fontId="18" fillId="6" borderId="49" xfId="1" applyNumberFormat="1" applyFont="1" applyFill="1" applyBorder="1" applyAlignment="1">
      <alignment horizontal="center" vertical="center"/>
    </xf>
    <xf numFmtId="0" fontId="25" fillId="2" borderId="0" xfId="1" applyFont="1" applyFill="1" applyAlignment="1">
      <alignment horizontal="center" vertical="center"/>
    </xf>
    <xf numFmtId="0" fontId="21" fillId="2" borderId="50" xfId="1" applyFont="1" applyFill="1" applyBorder="1" applyAlignment="1">
      <alignment horizontal="right"/>
    </xf>
    <xf numFmtId="0" fontId="19" fillId="3" borderId="23" xfId="1" applyFont="1" applyFill="1" applyBorder="1" applyAlignment="1" applyProtection="1">
      <alignment horizontal="center" vertical="center"/>
      <protection locked="0"/>
    </xf>
    <xf numFmtId="0" fontId="19" fillId="3" borderId="28" xfId="1" applyFont="1" applyFill="1" applyBorder="1" applyAlignment="1" applyProtection="1">
      <alignment horizontal="center" vertical="center"/>
      <protection locked="0"/>
    </xf>
    <xf numFmtId="0" fontId="21" fillId="2" borderId="11" xfId="1" applyFont="1" applyFill="1" applyBorder="1" applyAlignment="1">
      <alignment horizontal="right"/>
    </xf>
    <xf numFmtId="2" fontId="21" fillId="6" borderId="39" xfId="1" applyNumberFormat="1" applyFont="1" applyFill="1" applyBorder="1" applyAlignment="1">
      <alignment horizontal="center" vertical="center"/>
    </xf>
    <xf numFmtId="2" fontId="21" fillId="6" borderId="17" xfId="1" applyNumberFormat="1" applyFont="1" applyFill="1" applyBorder="1" applyAlignment="1">
      <alignment horizontal="center" vertical="center"/>
    </xf>
    <xf numFmtId="0" fontId="21" fillId="2" borderId="36" xfId="1" applyFont="1" applyFill="1" applyBorder="1" applyAlignment="1">
      <alignment horizontal="center" vertical="center"/>
    </xf>
    <xf numFmtId="2" fontId="21" fillId="7" borderId="39" xfId="1" applyNumberFormat="1" applyFont="1" applyFill="1" applyBorder="1" applyAlignment="1">
      <alignment horizontal="center" vertical="center"/>
    </xf>
    <xf numFmtId="2" fontId="21" fillId="2" borderId="0" xfId="1" applyNumberFormat="1" applyFont="1" applyFill="1" applyAlignment="1">
      <alignment horizontal="center" vertical="center"/>
    </xf>
    <xf numFmtId="2" fontId="21" fillId="7" borderId="17" xfId="1" applyNumberFormat="1" applyFont="1" applyFill="1" applyBorder="1" applyAlignment="1">
      <alignment horizontal="center" vertical="center"/>
    </xf>
    <xf numFmtId="2" fontId="21" fillId="6" borderId="18" xfId="1" applyNumberFormat="1" applyFont="1" applyFill="1" applyBorder="1" applyAlignment="1">
      <alignment horizontal="center" vertical="center"/>
    </xf>
    <xf numFmtId="0" fontId="21" fillId="2" borderId="62" xfId="1" applyFont="1" applyFill="1" applyBorder="1" applyAlignment="1">
      <alignment horizontal="right" vertical="center"/>
    </xf>
    <xf numFmtId="166" fontId="19" fillId="3" borderId="39" xfId="1" applyNumberFormat="1" applyFont="1" applyFill="1" applyBorder="1" applyAlignment="1" applyProtection="1">
      <alignment horizontal="center" vertical="center"/>
      <protection locked="0"/>
    </xf>
    <xf numFmtId="1" fontId="21" fillId="2" borderId="0" xfId="1" applyNumberFormat="1" applyFont="1" applyFill="1" applyAlignment="1">
      <alignment horizontal="center" vertical="center"/>
    </xf>
    <xf numFmtId="0" fontId="21" fillId="2" borderId="37" xfId="1" applyFont="1" applyFill="1" applyBorder="1" applyAlignment="1">
      <alignment horizontal="right" vertical="center"/>
    </xf>
    <xf numFmtId="0" fontId="21" fillId="2" borderId="57" xfId="1" applyFont="1" applyFill="1" applyBorder="1" applyAlignment="1">
      <alignment horizontal="right" vertical="center"/>
    </xf>
    <xf numFmtId="2" fontId="21" fillId="6" borderId="42" xfId="1" applyNumberFormat="1" applyFont="1" applyFill="1" applyBorder="1" applyAlignment="1">
      <alignment horizontal="center" vertical="center"/>
    </xf>
    <xf numFmtId="0" fontId="21" fillId="2" borderId="28" xfId="1" applyFont="1" applyFill="1" applyBorder="1" applyAlignment="1">
      <alignment horizontal="right" vertical="center"/>
    </xf>
    <xf numFmtId="171" fontId="18" fillId="7" borderId="28" xfId="1" applyNumberFormat="1" applyFont="1" applyFill="1" applyBorder="1" applyAlignment="1">
      <alignment horizontal="center" vertical="center"/>
    </xf>
    <xf numFmtId="0" fontId="21" fillId="2" borderId="17" xfId="1" applyFont="1" applyFill="1" applyBorder="1" applyAlignment="1">
      <alignment horizontal="right" vertical="center"/>
    </xf>
    <xf numFmtId="10" fontId="21" fillId="6" borderId="17" xfId="1" applyNumberFormat="1" applyFont="1" applyFill="1" applyBorder="1" applyAlignment="1">
      <alignment horizontal="center" vertical="center"/>
    </xf>
    <xf numFmtId="0" fontId="21" fillId="2" borderId="18" xfId="1" applyFont="1" applyFill="1" applyBorder="1" applyAlignment="1">
      <alignment horizontal="right" vertical="center"/>
    </xf>
    <xf numFmtId="0" fontId="21" fillId="7" borderId="18" xfId="1" applyFont="1" applyFill="1" applyBorder="1" applyAlignment="1">
      <alignment horizontal="center" vertical="center"/>
    </xf>
    <xf numFmtId="0" fontId="22" fillId="2" borderId="0" xfId="1" applyFont="1" applyFill="1" applyAlignment="1">
      <alignment vertical="center"/>
    </xf>
    <xf numFmtId="0" fontId="18" fillId="2" borderId="0" xfId="1" applyFont="1" applyFill="1" applyAlignment="1">
      <alignment horizontal="left" vertical="center"/>
    </xf>
    <xf numFmtId="0" fontId="21" fillId="2" borderId="0" xfId="1" applyFont="1" applyFill="1" applyAlignment="1">
      <alignment horizontal="left" vertical="center"/>
    </xf>
    <xf numFmtId="166" fontId="18" fillId="2" borderId="0" xfId="1" applyNumberFormat="1" applyFont="1" applyFill="1" applyAlignment="1" applyProtection="1">
      <alignment horizontal="center" vertical="center"/>
      <protection locked="0"/>
    </xf>
    <xf numFmtId="2" fontId="18" fillId="2" borderId="31" xfId="1" applyNumberFormat="1" applyFont="1" applyFill="1" applyBorder="1" applyAlignment="1">
      <alignment horizontal="center" vertical="center"/>
    </xf>
    <xf numFmtId="0" fontId="18" fillId="2" borderId="31" xfId="1" applyFont="1" applyFill="1" applyBorder="1" applyAlignment="1">
      <alignment horizontal="center" vertical="center"/>
    </xf>
    <xf numFmtId="0" fontId="18" fillId="2" borderId="34" xfId="1" applyFont="1" applyFill="1" applyBorder="1" applyAlignment="1">
      <alignment horizontal="center" vertical="center"/>
    </xf>
    <xf numFmtId="0" fontId="21" fillId="2" borderId="31" xfId="1" applyFont="1" applyFill="1" applyBorder="1" applyAlignment="1">
      <alignment horizontal="center" vertical="center"/>
    </xf>
    <xf numFmtId="0" fontId="19" fillId="3" borderId="33" xfId="1" applyFont="1" applyFill="1" applyBorder="1" applyAlignment="1" applyProtection="1">
      <alignment horizontal="center" vertical="center"/>
      <protection locked="0"/>
    </xf>
    <xf numFmtId="2" fontId="21" fillId="2" borderId="33" xfId="1" applyNumberFormat="1" applyFont="1" applyFill="1" applyBorder="1" applyAlignment="1">
      <alignment horizontal="center" vertical="center"/>
    </xf>
    <xf numFmtId="10" fontId="21" fillId="2" borderId="31" xfId="1" applyNumberFormat="1" applyFont="1" applyFill="1" applyBorder="1" applyAlignment="1">
      <alignment horizontal="center" vertical="center"/>
    </xf>
    <xf numFmtId="0" fontId="21" fillId="2" borderId="52" xfId="1" applyFont="1" applyFill="1" applyBorder="1" applyAlignment="1">
      <alignment horizontal="center" vertical="center"/>
    </xf>
    <xf numFmtId="0" fontId="19" fillId="3" borderId="35" xfId="1" applyFont="1" applyFill="1" applyBorder="1" applyAlignment="1" applyProtection="1">
      <alignment horizontal="center" vertical="center"/>
      <protection locked="0"/>
    </xf>
    <xf numFmtId="2" fontId="21" fillId="2" borderId="35" xfId="1" applyNumberFormat="1" applyFont="1" applyFill="1" applyBorder="1" applyAlignment="1">
      <alignment horizontal="center" vertical="center"/>
    </xf>
    <xf numFmtId="10" fontId="21" fillId="2" borderId="52" xfId="1" applyNumberFormat="1" applyFont="1" applyFill="1" applyBorder="1" applyAlignment="1">
      <alignment horizontal="center" vertical="center"/>
    </xf>
    <xf numFmtId="0" fontId="21" fillId="2" borderId="32" xfId="1" applyFont="1" applyFill="1" applyBorder="1" applyAlignment="1">
      <alignment horizontal="center" vertical="center"/>
    </xf>
    <xf numFmtId="0" fontId="19" fillId="3" borderId="51" xfId="1" applyFont="1" applyFill="1" applyBorder="1" applyAlignment="1" applyProtection="1">
      <alignment horizontal="center" vertical="center"/>
      <protection locked="0"/>
    </xf>
    <xf numFmtId="2" fontId="21" fillId="2" borderId="31" xfId="1" applyNumberFormat="1" applyFont="1" applyFill="1" applyBorder="1" applyAlignment="1">
      <alignment horizontal="center" vertical="center"/>
    </xf>
    <xf numFmtId="10" fontId="21" fillId="2" borderId="34" xfId="1" applyNumberFormat="1" applyFont="1" applyFill="1" applyBorder="1" applyAlignment="1">
      <alignment horizontal="center" vertical="center"/>
    </xf>
    <xf numFmtId="2" fontId="21" fillId="2" borderId="52" xfId="1" applyNumberFormat="1" applyFont="1" applyFill="1" applyBorder="1" applyAlignment="1">
      <alignment horizontal="center" vertical="center"/>
    </xf>
    <xf numFmtId="10" fontId="21" fillId="2" borderId="36" xfId="1" applyNumberFormat="1" applyFont="1" applyFill="1" applyBorder="1" applyAlignment="1">
      <alignment horizontal="center" vertical="center"/>
    </xf>
    <xf numFmtId="2" fontId="21" fillId="2" borderId="32" xfId="1" applyNumberFormat="1" applyFont="1" applyFill="1" applyBorder="1" applyAlignment="1">
      <alignment horizontal="center" vertical="center"/>
    </xf>
    <xf numFmtId="10" fontId="21" fillId="2" borderId="53" xfId="1" applyNumberFormat="1" applyFont="1" applyFill="1" applyBorder="1" applyAlignment="1">
      <alignment horizontal="center" vertical="center"/>
    </xf>
    <xf numFmtId="0" fontId="21" fillId="2" borderId="51" xfId="1" applyFont="1" applyFill="1" applyBorder="1" applyAlignment="1">
      <alignment horizontal="right" vertical="center"/>
    </xf>
    <xf numFmtId="2" fontId="18" fillId="2" borderId="53" xfId="1" applyNumberFormat="1" applyFont="1" applyFill="1" applyBorder="1" applyAlignment="1">
      <alignment horizontal="center" vertical="center"/>
    </xf>
    <xf numFmtId="10" fontId="21" fillId="2" borderId="32" xfId="1" applyNumberFormat="1" applyFont="1" applyFill="1" applyBorder="1" applyAlignment="1">
      <alignment horizontal="center" vertical="center"/>
    </xf>
    <xf numFmtId="0" fontId="21" fillId="2" borderId="14" xfId="1" applyFont="1" applyFill="1" applyBorder="1" applyAlignment="1">
      <alignment horizontal="right" vertical="center"/>
    </xf>
    <xf numFmtId="10" fontId="19" fillId="7" borderId="15" xfId="1" applyNumberFormat="1" applyFont="1" applyFill="1" applyBorder="1" applyAlignment="1">
      <alignment horizontal="center" vertical="center"/>
    </xf>
    <xf numFmtId="10" fontId="19" fillId="6" borderId="16" xfId="1" applyNumberFormat="1" applyFont="1" applyFill="1" applyBorder="1" applyAlignment="1">
      <alignment horizontal="center" vertical="center"/>
    </xf>
    <xf numFmtId="0" fontId="19" fillId="7" borderId="19" xfId="1" applyFont="1" applyFill="1" applyBorder="1" applyAlignment="1">
      <alignment horizontal="center" vertical="center"/>
    </xf>
    <xf numFmtId="165" fontId="19" fillId="2" borderId="0" xfId="1" applyNumberFormat="1" applyFont="1" applyFill="1" applyAlignment="1">
      <alignment horizontal="center" vertical="center"/>
    </xf>
    <xf numFmtId="0" fontId="18" fillId="2" borderId="20" xfId="1" applyFont="1" applyFill="1" applyBorder="1" applyAlignment="1">
      <alignment horizontal="center" vertical="center"/>
    </xf>
    <xf numFmtId="0" fontId="18" fillId="2" borderId="50" xfId="1" applyFont="1" applyFill="1" applyBorder="1" applyAlignment="1">
      <alignment horizontal="center" vertical="center"/>
    </xf>
    <xf numFmtId="0" fontId="18" fillId="2" borderId="37" xfId="1" applyFont="1" applyFill="1" applyBorder="1" applyAlignment="1">
      <alignment horizontal="center" vertical="center"/>
    </xf>
    <xf numFmtId="0" fontId="19" fillId="3" borderId="41" xfId="1" applyFont="1" applyFill="1" applyBorder="1" applyAlignment="1" applyProtection="1">
      <alignment horizontal="center" vertical="center"/>
      <protection locked="0"/>
    </xf>
    <xf numFmtId="171" fontId="21" fillId="2" borderId="38" xfId="1" applyNumberFormat="1" applyFont="1" applyFill="1" applyBorder="1" applyAlignment="1">
      <alignment horizontal="center" vertical="center"/>
    </xf>
    <xf numFmtId="1" fontId="19" fillId="3" borderId="41" xfId="1" applyNumberFormat="1" applyFont="1" applyFill="1" applyBorder="1" applyAlignment="1" applyProtection="1">
      <alignment horizontal="center" vertical="center"/>
      <protection locked="0"/>
    </xf>
    <xf numFmtId="171" fontId="21" fillId="2" borderId="42" xfId="1" applyNumberFormat="1" applyFont="1" applyFill="1" applyBorder="1" applyAlignment="1">
      <alignment horizontal="center" vertical="center"/>
    </xf>
    <xf numFmtId="171" fontId="21" fillId="2" borderId="43" xfId="1" applyNumberFormat="1" applyFont="1" applyFill="1" applyBorder="1" applyAlignment="1">
      <alignment horizontal="center" vertical="center"/>
    </xf>
    <xf numFmtId="1" fontId="19" fillId="3" borderId="35" xfId="1" applyNumberFormat="1" applyFont="1" applyFill="1" applyBorder="1" applyAlignment="1" applyProtection="1">
      <alignment horizontal="center" vertical="center"/>
      <protection locked="0"/>
    </xf>
    <xf numFmtId="171" fontId="21" fillId="2" borderId="44" xfId="1" applyNumberFormat="1" applyFont="1" applyFill="1" applyBorder="1" applyAlignment="1">
      <alignment horizontal="center" vertical="center"/>
    </xf>
    <xf numFmtId="0" fontId="19" fillId="3" borderId="45" xfId="1" applyFont="1" applyFill="1" applyBorder="1" applyAlignment="1" applyProtection="1">
      <alignment horizontal="center" vertical="center"/>
      <protection locked="0"/>
    </xf>
    <xf numFmtId="171" fontId="21" fillId="2" borderId="46" xfId="1" applyNumberFormat="1" applyFont="1" applyFill="1" applyBorder="1" applyAlignment="1">
      <alignment horizontal="center" vertical="center"/>
    </xf>
    <xf numFmtId="1" fontId="19" fillId="3" borderId="45" xfId="1" applyNumberFormat="1" applyFont="1" applyFill="1" applyBorder="1" applyAlignment="1" applyProtection="1">
      <alignment horizontal="center" vertical="center"/>
      <protection locked="0"/>
    </xf>
    <xf numFmtId="171" fontId="21" fillId="2" borderId="47" xfId="1" applyNumberFormat="1" applyFont="1" applyFill="1" applyBorder="1" applyAlignment="1">
      <alignment horizontal="center" vertical="center"/>
    </xf>
    <xf numFmtId="171" fontId="18" fillId="6" borderId="56" xfId="1" applyNumberFormat="1" applyFont="1" applyFill="1" applyBorder="1" applyAlignment="1">
      <alignment horizontal="center" vertical="center"/>
    </xf>
    <xf numFmtId="171" fontId="18" fillId="6" borderId="32" xfId="1" applyNumberFormat="1" applyFont="1" applyFill="1" applyBorder="1" applyAlignment="1">
      <alignment horizontal="center" vertical="center"/>
    </xf>
    <xf numFmtId="0" fontId="21" fillId="2" borderId="53" xfId="1" applyFont="1" applyFill="1" applyBorder="1" applyAlignment="1">
      <alignment horizontal="center" vertical="center"/>
    </xf>
    <xf numFmtId="164" fontId="21" fillId="6" borderId="39" xfId="1" applyNumberFormat="1" applyFont="1" applyFill="1" applyBorder="1" applyAlignment="1">
      <alignment horizontal="center" vertical="center"/>
    </xf>
    <xf numFmtId="164" fontId="21" fillId="2" borderId="0" xfId="1" applyNumberFormat="1" applyFont="1" applyFill="1" applyAlignment="1">
      <alignment horizontal="center" vertical="center"/>
    </xf>
    <xf numFmtId="164" fontId="21" fillId="6" borderId="18" xfId="1" applyNumberFormat="1" applyFont="1" applyFill="1" applyBorder="1" applyAlignment="1">
      <alignment horizontal="center" vertical="center"/>
    </xf>
    <xf numFmtId="0" fontId="25" fillId="2" borderId="0" xfId="1" applyFont="1" applyFill="1" applyAlignment="1">
      <alignment vertical="center"/>
    </xf>
    <xf numFmtId="166" fontId="21" fillId="7" borderId="39" xfId="1" applyNumberFormat="1" applyFont="1" applyFill="1" applyBorder="1" applyAlignment="1">
      <alignment horizontal="center" vertical="center"/>
    </xf>
    <xf numFmtId="2" fontId="25" fillId="2" borderId="0" xfId="1" applyNumberFormat="1" applyFont="1" applyFill="1" applyAlignment="1">
      <alignment horizontal="center" vertical="center"/>
    </xf>
    <xf numFmtId="2" fontId="21" fillId="7" borderId="42" xfId="1" applyNumberFormat="1" applyFont="1" applyFill="1" applyBorder="1" applyAlignment="1">
      <alignment horizontal="center" vertical="center"/>
    </xf>
    <xf numFmtId="0" fontId="18" fillId="2" borderId="0" xfId="1" applyFont="1" applyFill="1" applyAlignment="1">
      <alignment horizontal="center" wrapText="1"/>
    </xf>
    <xf numFmtId="10" fontId="21" fillId="2" borderId="0" xfId="1" applyNumberFormat="1" applyFont="1" applyFill="1" applyAlignment="1">
      <alignment horizontal="center"/>
    </xf>
    <xf numFmtId="10" fontId="18" fillId="6" borderId="17" xfId="1" applyNumberFormat="1" applyFont="1" applyFill="1" applyBorder="1" applyAlignment="1">
      <alignment horizontal="center" vertical="center"/>
    </xf>
    <xf numFmtId="0" fontId="18" fillId="7" borderId="18" xfId="1" applyFont="1" applyFill="1" applyBorder="1" applyAlignment="1">
      <alignment horizontal="center" vertical="center"/>
    </xf>
    <xf numFmtId="0" fontId="18" fillId="2" borderId="22" xfId="1" applyFont="1" applyFill="1" applyBorder="1" applyAlignment="1">
      <alignment horizontal="center" vertical="center"/>
    </xf>
    <xf numFmtId="0" fontId="18" fillId="2" borderId="58" xfId="1" applyFont="1" applyFill="1" applyBorder="1" applyAlignment="1">
      <alignment vertical="center"/>
    </xf>
    <xf numFmtId="0" fontId="18" fillId="2" borderId="34" xfId="1" applyFont="1" applyFill="1" applyBorder="1" applyAlignment="1">
      <alignment horizontal="center" vertical="center" wrapText="1"/>
    </xf>
    <xf numFmtId="0" fontId="21" fillId="2" borderId="35" xfId="1" applyFont="1" applyFill="1" applyBorder="1" applyAlignment="1">
      <alignment horizontal="center" vertical="center"/>
    </xf>
    <xf numFmtId="1" fontId="19" fillId="3" borderId="43" xfId="1" applyNumberFormat="1" applyFont="1" applyFill="1" applyBorder="1" applyAlignment="1" applyProtection="1">
      <alignment horizontal="center" vertical="center"/>
      <protection locked="0"/>
    </xf>
    <xf numFmtId="2" fontId="21" fillId="2" borderId="38" xfId="1" applyNumberFormat="1" applyFont="1" applyFill="1" applyBorder="1" applyAlignment="1">
      <alignment horizontal="center" vertical="center"/>
    </xf>
    <xf numFmtId="10" fontId="21" fillId="2" borderId="42" xfId="1" applyNumberFormat="1" applyFont="1" applyFill="1" applyBorder="1" applyAlignment="1">
      <alignment horizontal="center" vertical="center"/>
    </xf>
    <xf numFmtId="2" fontId="21" fillId="2" borderId="43" xfId="1" applyNumberFormat="1" applyFont="1" applyFill="1" applyBorder="1" applyAlignment="1">
      <alignment horizontal="center" vertical="center"/>
    </xf>
    <xf numFmtId="10" fontId="21" fillId="2" borderId="44" xfId="1" applyNumberFormat="1" applyFont="1" applyFill="1" applyBorder="1" applyAlignment="1">
      <alignment horizontal="center" vertical="center"/>
    </xf>
    <xf numFmtId="0" fontId="21" fillId="2" borderId="45" xfId="1" applyFont="1" applyFill="1" applyBorder="1" applyAlignment="1">
      <alignment horizontal="center" vertical="center"/>
    </xf>
    <xf numFmtId="1" fontId="19" fillId="3" borderId="46" xfId="1" applyNumberFormat="1" applyFont="1" applyFill="1" applyBorder="1" applyAlignment="1" applyProtection="1">
      <alignment horizontal="center" vertical="center"/>
      <protection locked="0"/>
    </xf>
    <xf numFmtId="2" fontId="21" fillId="2" borderId="46" xfId="1" applyNumberFormat="1" applyFont="1" applyFill="1" applyBorder="1" applyAlignment="1">
      <alignment horizontal="center" vertical="center"/>
    </xf>
    <xf numFmtId="10" fontId="21" fillId="2" borderId="47" xfId="1" applyNumberFormat="1" applyFont="1" applyFill="1" applyBorder="1" applyAlignment="1">
      <alignment horizontal="center" vertical="center"/>
    </xf>
    <xf numFmtId="2" fontId="21" fillId="2" borderId="36" xfId="1" applyNumberFormat="1" applyFont="1" applyFill="1" applyBorder="1" applyAlignment="1">
      <alignment horizontal="center" vertical="center"/>
    </xf>
    <xf numFmtId="171" fontId="18" fillId="2" borderId="0" xfId="1" applyNumberFormat="1" applyFont="1" applyFill="1" applyAlignment="1">
      <alignment horizontal="center" vertical="center"/>
    </xf>
    <xf numFmtId="171" fontId="21" fillId="2" borderId="2" xfId="1" applyNumberFormat="1" applyFont="1" applyFill="1" applyBorder="1" applyAlignment="1">
      <alignment horizontal="right" vertical="center"/>
    </xf>
    <xf numFmtId="10" fontId="19" fillId="7" borderId="39" xfId="1" applyNumberFormat="1" applyFont="1" applyFill="1" applyBorder="1" applyAlignment="1">
      <alignment horizontal="center" vertical="center"/>
    </xf>
    <xf numFmtId="0" fontId="21" fillId="2" borderId="35" xfId="1" applyFont="1" applyFill="1" applyBorder="1" applyAlignment="1">
      <alignment vertical="center"/>
    </xf>
    <xf numFmtId="0" fontId="21" fillId="2" borderId="6" xfId="1" applyFont="1" applyFill="1" applyBorder="1" applyAlignment="1">
      <alignment vertical="center"/>
    </xf>
    <xf numFmtId="10" fontId="19" fillId="6" borderId="39" xfId="1" applyNumberFormat="1" applyFont="1" applyFill="1" applyBorder="1" applyAlignment="1">
      <alignment horizontal="center" vertical="center"/>
    </xf>
    <xf numFmtId="0" fontId="21" fillId="2" borderId="51" xfId="1" applyFont="1" applyFill="1" applyBorder="1" applyAlignment="1">
      <alignment vertical="center"/>
    </xf>
    <xf numFmtId="0" fontId="21" fillId="2" borderId="63" xfId="1" applyFont="1" applyFill="1" applyBorder="1" applyAlignment="1">
      <alignment horizontal="center" vertical="center"/>
    </xf>
    <xf numFmtId="0" fontId="21" fillId="2" borderId="59" xfId="1" applyFont="1" applyFill="1" applyBorder="1" applyAlignment="1">
      <alignment horizontal="right" vertical="center"/>
    </xf>
    <xf numFmtId="0" fontId="19" fillId="7" borderId="18" xfId="1" applyFont="1" applyFill="1" applyBorder="1" applyAlignment="1">
      <alignment horizontal="center" vertical="center"/>
    </xf>
    <xf numFmtId="0" fontId="22" fillId="2" borderId="0" xfId="1" applyFont="1" applyFill="1" applyAlignment="1">
      <alignment horizontal="left"/>
    </xf>
    <xf numFmtId="0" fontId="18" fillId="2" borderId="0" xfId="1" applyFont="1" applyFill="1" applyAlignment="1">
      <alignment horizontal="right"/>
    </xf>
    <xf numFmtId="0" fontId="18" fillId="3" borderId="0" xfId="1" applyFont="1" applyFill="1" applyAlignment="1" applyProtection="1">
      <alignment horizontal="center"/>
      <protection locked="0"/>
    </xf>
    <xf numFmtId="0" fontId="21" fillId="2" borderId="0" xfId="1" applyFont="1" applyFill="1" applyAlignment="1">
      <alignment horizontal="right"/>
    </xf>
    <xf numFmtId="0" fontId="18" fillId="2" borderId="0" xfId="1" applyFont="1" applyFill="1" applyAlignment="1">
      <alignment horizontal="center"/>
    </xf>
    <xf numFmtId="0" fontId="26" fillId="2" borderId="0" xfId="1" applyFont="1" applyFill="1"/>
    <xf numFmtId="0" fontId="27" fillId="2" borderId="0" xfId="1" applyFont="1" applyFill="1"/>
    <xf numFmtId="0" fontId="21" fillId="2" borderId="33" xfId="1" applyFont="1" applyFill="1" applyBorder="1" applyAlignment="1">
      <alignment horizontal="right"/>
    </xf>
    <xf numFmtId="0" fontId="19" fillId="3" borderId="64" xfId="1" applyFont="1" applyFill="1" applyBorder="1" applyAlignment="1" applyProtection="1">
      <alignment horizontal="center" vertical="center"/>
      <protection locked="0"/>
    </xf>
    <xf numFmtId="0" fontId="21" fillId="2" borderId="35" xfId="1" applyFont="1" applyFill="1" applyBorder="1" applyAlignment="1">
      <alignment horizontal="right"/>
    </xf>
    <xf numFmtId="0" fontId="19" fillId="3" borderId="44" xfId="1" applyFont="1" applyFill="1" applyBorder="1" applyAlignment="1" applyProtection="1">
      <alignment horizontal="center" vertical="center"/>
      <protection locked="0"/>
    </xf>
    <xf numFmtId="0" fontId="18" fillId="2" borderId="10" xfId="1" applyFont="1" applyFill="1" applyBorder="1" applyAlignment="1">
      <alignment horizontal="center"/>
    </xf>
    <xf numFmtId="0" fontId="18" fillId="2" borderId="57" xfId="1" applyFont="1" applyFill="1" applyBorder="1" applyAlignment="1">
      <alignment horizontal="center"/>
    </xf>
    <xf numFmtId="0" fontId="18" fillId="2" borderId="42" xfId="1" applyFont="1" applyFill="1" applyBorder="1" applyAlignment="1">
      <alignment horizontal="center"/>
    </xf>
    <xf numFmtId="0" fontId="21" fillId="2" borderId="54" xfId="1" applyFont="1" applyFill="1" applyBorder="1" applyAlignment="1">
      <alignment horizontal="center"/>
    </xf>
    <xf numFmtId="171" fontId="21" fillId="2" borderId="42" xfId="1" applyNumberFormat="1" applyFont="1" applyFill="1" applyBorder="1" applyAlignment="1">
      <alignment horizontal="center"/>
    </xf>
    <xf numFmtId="0" fontId="21" fillId="2" borderId="0" xfId="1" applyFont="1" applyFill="1" applyAlignment="1">
      <alignment horizontal="center"/>
    </xf>
    <xf numFmtId="171" fontId="21" fillId="2" borderId="44" xfId="1" applyNumberFormat="1" applyFont="1" applyFill="1" applyBorder="1" applyAlignment="1">
      <alignment horizontal="center"/>
    </xf>
    <xf numFmtId="0" fontId="21" fillId="2" borderId="7" xfId="1" applyFont="1" applyFill="1" applyBorder="1" applyAlignment="1">
      <alignment horizontal="center"/>
    </xf>
    <xf numFmtId="171" fontId="21" fillId="2" borderId="47" xfId="1" applyNumberFormat="1" applyFont="1" applyFill="1" applyBorder="1" applyAlignment="1">
      <alignment horizontal="center"/>
    </xf>
    <xf numFmtId="1" fontId="18" fillId="6" borderId="56" xfId="1" applyNumberFormat="1" applyFont="1" applyFill="1" applyBorder="1" applyAlignment="1">
      <alignment horizontal="center"/>
    </xf>
    <xf numFmtId="171" fontId="18" fillId="6" borderId="49" xfId="1" applyNumberFormat="1" applyFont="1" applyFill="1" applyBorder="1" applyAlignment="1">
      <alignment horizontal="center"/>
    </xf>
    <xf numFmtId="1" fontId="18" fillId="6" borderId="53" xfId="1" applyNumberFormat="1" applyFont="1" applyFill="1" applyBorder="1" applyAlignment="1">
      <alignment horizontal="center"/>
    </xf>
    <xf numFmtId="0" fontId="21" fillId="2" borderId="21" xfId="1" applyFont="1" applyFill="1" applyBorder="1" applyAlignment="1">
      <alignment horizontal="right"/>
    </xf>
    <xf numFmtId="0" fontId="19" fillId="3" borderId="31" xfId="1" applyFont="1" applyFill="1" applyBorder="1" applyAlignment="1" applyProtection="1">
      <alignment horizontal="center" vertical="center"/>
      <protection locked="0"/>
    </xf>
    <xf numFmtId="0" fontId="21" fillId="2" borderId="37" xfId="1" applyFont="1" applyFill="1" applyBorder="1" applyAlignment="1">
      <alignment horizontal="right"/>
    </xf>
    <xf numFmtId="2" fontId="21" fillId="6" borderId="39" xfId="1" applyNumberFormat="1" applyFont="1" applyFill="1" applyBorder="1" applyAlignment="1">
      <alignment horizontal="center"/>
    </xf>
    <xf numFmtId="2" fontId="21" fillId="6" borderId="17" xfId="1" applyNumberFormat="1" applyFont="1" applyFill="1" applyBorder="1" applyAlignment="1">
      <alignment horizontal="center"/>
    </xf>
    <xf numFmtId="171" fontId="21" fillId="2" borderId="49" xfId="1" applyNumberFormat="1" applyFont="1" applyFill="1" applyBorder="1" applyAlignment="1">
      <alignment horizontal="center"/>
    </xf>
    <xf numFmtId="2" fontId="21" fillId="7" borderId="39" xfId="1" applyNumberFormat="1" applyFont="1" applyFill="1" applyBorder="1" applyAlignment="1">
      <alignment horizontal="center"/>
    </xf>
    <xf numFmtId="2" fontId="21" fillId="2" borderId="0" xfId="1" applyNumberFormat="1" applyFont="1" applyFill="1" applyAlignment="1">
      <alignment horizontal="center"/>
    </xf>
    <xf numFmtId="2" fontId="21" fillId="7" borderId="17" xfId="1" applyNumberFormat="1" applyFont="1" applyFill="1" applyBorder="1" applyAlignment="1">
      <alignment horizontal="center"/>
    </xf>
    <xf numFmtId="2" fontId="21" fillId="6" borderId="18" xfId="1" applyNumberFormat="1" applyFont="1" applyFill="1" applyBorder="1" applyAlignment="1">
      <alignment horizontal="center"/>
    </xf>
    <xf numFmtId="0" fontId="25" fillId="2" borderId="0" xfId="1" applyFont="1" applyFill="1" applyAlignment="1">
      <alignment horizontal="center"/>
    </xf>
    <xf numFmtId="1" fontId="21" fillId="2" borderId="0" xfId="1" applyNumberFormat="1" applyFont="1" applyFill="1" applyAlignment="1">
      <alignment horizontal="center"/>
    </xf>
    <xf numFmtId="2" fontId="25" fillId="2" borderId="0" xfId="1" applyNumberFormat="1" applyFont="1" applyFill="1" applyAlignment="1">
      <alignment horizontal="center"/>
    </xf>
    <xf numFmtId="0" fontId="21" fillId="2" borderId="25" xfId="1" applyFont="1" applyFill="1" applyBorder="1" applyAlignment="1">
      <alignment horizontal="right"/>
    </xf>
    <xf numFmtId="2" fontId="21" fillId="7" borderId="27" xfId="1" applyNumberFormat="1" applyFont="1" applyFill="1" applyBorder="1" applyAlignment="1">
      <alignment horizontal="center"/>
    </xf>
    <xf numFmtId="171" fontId="21" fillId="2" borderId="0" xfId="1" applyNumberFormat="1" applyFont="1" applyFill="1" applyAlignment="1">
      <alignment horizontal="center"/>
    </xf>
    <xf numFmtId="0" fontId="21" fillId="2" borderId="14" xfId="1" applyFont="1" applyFill="1" applyBorder="1" applyAlignment="1">
      <alignment horizontal="right"/>
    </xf>
    <xf numFmtId="171" fontId="18" fillId="7" borderId="14" xfId="1" applyNumberFormat="1" applyFont="1" applyFill="1" applyBorder="1" applyAlignment="1">
      <alignment horizontal="center"/>
    </xf>
    <xf numFmtId="0" fontId="21" fillId="2" borderId="17" xfId="1" applyFont="1" applyFill="1" applyBorder="1" applyAlignment="1">
      <alignment horizontal="right"/>
    </xf>
    <xf numFmtId="10" fontId="18" fillId="6" borderId="17" xfId="1" applyNumberFormat="1" applyFont="1" applyFill="1" applyBorder="1" applyAlignment="1">
      <alignment horizontal="center"/>
    </xf>
    <xf numFmtId="0" fontId="21" fillId="2" borderId="18" xfId="1" applyFont="1" applyFill="1" applyBorder="1" applyAlignment="1">
      <alignment horizontal="right"/>
    </xf>
    <xf numFmtId="0" fontId="18" fillId="7" borderId="18" xfId="1" applyFont="1" applyFill="1" applyBorder="1" applyAlignment="1">
      <alignment horizontal="center"/>
    </xf>
    <xf numFmtId="0" fontId="22" fillId="2" borderId="0" xfId="1" applyFont="1" applyFill="1"/>
    <xf numFmtId="0" fontId="18" fillId="2" borderId="20" xfId="1" applyFont="1" applyFill="1" applyBorder="1" applyAlignment="1">
      <alignment horizontal="center"/>
    </xf>
    <xf numFmtId="0" fontId="18" fillId="2" borderId="58" xfId="1" applyFont="1" applyFill="1" applyBorder="1" applyAlignment="1">
      <alignment horizontal="center"/>
    </xf>
    <xf numFmtId="0" fontId="18" fillId="2" borderId="58" xfId="1" applyFont="1" applyFill="1" applyBorder="1"/>
    <xf numFmtId="0" fontId="18" fillId="2" borderId="34" xfId="1" applyFont="1" applyFill="1" applyBorder="1" applyAlignment="1">
      <alignment horizontal="center" wrapText="1"/>
    </xf>
    <xf numFmtId="0" fontId="21" fillId="2" borderId="35" xfId="1" applyFont="1" applyFill="1" applyBorder="1" applyAlignment="1">
      <alignment horizontal="center"/>
    </xf>
    <xf numFmtId="0" fontId="19" fillId="3" borderId="38" xfId="1" applyFont="1" applyFill="1" applyBorder="1" applyAlignment="1" applyProtection="1">
      <alignment horizontal="center" vertical="center"/>
      <protection locked="0"/>
    </xf>
    <xf numFmtId="2" fontId="21" fillId="2" borderId="4" xfId="1" applyNumberFormat="1" applyFont="1" applyFill="1" applyBorder="1" applyAlignment="1">
      <alignment horizontal="center"/>
    </xf>
    <xf numFmtId="10" fontId="21" fillId="2" borderId="40" xfId="1" applyNumberFormat="1" applyFont="1" applyFill="1" applyBorder="1" applyAlignment="1">
      <alignment horizontal="center"/>
    </xf>
    <xf numFmtId="0" fontId="19" fillId="3" borderId="43" xfId="1" applyFont="1" applyFill="1" applyBorder="1" applyAlignment="1" applyProtection="1">
      <alignment horizontal="center" vertical="center"/>
      <protection locked="0"/>
    </xf>
    <xf numFmtId="2" fontId="21" fillId="2" borderId="3" xfId="1" applyNumberFormat="1" applyFont="1" applyFill="1" applyBorder="1" applyAlignment="1">
      <alignment horizontal="center"/>
    </xf>
    <xf numFmtId="10" fontId="21" fillId="2" borderId="36" xfId="1" applyNumberFormat="1" applyFont="1" applyFill="1" applyBorder="1" applyAlignment="1">
      <alignment horizontal="center"/>
    </xf>
    <xf numFmtId="0" fontId="21" fillId="2" borderId="45" xfId="1" applyFont="1" applyFill="1" applyBorder="1" applyAlignment="1">
      <alignment horizontal="center"/>
    </xf>
    <xf numFmtId="0" fontId="19" fillId="3" borderId="46" xfId="1" applyFont="1" applyFill="1" applyBorder="1" applyAlignment="1" applyProtection="1">
      <alignment horizontal="center" vertical="center"/>
      <protection locked="0"/>
    </xf>
    <xf numFmtId="2" fontId="21" fillId="2" borderId="5" xfId="1" applyNumberFormat="1" applyFont="1" applyFill="1" applyBorder="1" applyAlignment="1">
      <alignment horizontal="center"/>
    </xf>
    <xf numFmtId="10" fontId="21" fillId="2" borderId="15" xfId="1" applyNumberFormat="1" applyFont="1" applyFill="1" applyBorder="1" applyAlignment="1">
      <alignment horizontal="center"/>
    </xf>
    <xf numFmtId="2" fontId="21" fillId="2" borderId="36" xfId="1" applyNumberFormat="1" applyFont="1" applyFill="1" applyBorder="1" applyAlignment="1">
      <alignment horizontal="center"/>
    </xf>
    <xf numFmtId="171" fontId="18" fillId="2" borderId="0" xfId="1" applyNumberFormat="1" applyFont="1" applyFill="1" applyAlignment="1">
      <alignment horizontal="center"/>
    </xf>
    <xf numFmtId="171" fontId="21" fillId="2" borderId="1" xfId="1" applyNumberFormat="1" applyFont="1" applyFill="1" applyBorder="1" applyAlignment="1">
      <alignment horizontal="right"/>
    </xf>
    <xf numFmtId="10" fontId="19" fillId="7" borderId="16" xfId="1" applyNumberFormat="1" applyFont="1" applyFill="1" applyBorder="1" applyAlignment="1">
      <alignment horizontal="center"/>
    </xf>
    <xf numFmtId="0" fontId="21" fillId="2" borderId="35" xfId="1" applyFont="1" applyFill="1" applyBorder="1"/>
    <xf numFmtId="0" fontId="21" fillId="2" borderId="1" xfId="1" applyFont="1" applyFill="1" applyBorder="1" applyAlignment="1">
      <alignment horizontal="right"/>
    </xf>
    <xf numFmtId="10" fontId="19" fillId="6" borderId="16" xfId="1" applyNumberFormat="1" applyFont="1" applyFill="1" applyBorder="1" applyAlignment="1">
      <alignment horizontal="center"/>
    </xf>
    <xf numFmtId="0" fontId="21" fillId="2" borderId="51" xfId="1" applyFont="1" applyFill="1" applyBorder="1"/>
    <xf numFmtId="0" fontId="21" fillId="2" borderId="9" xfId="1" applyFont="1" applyFill="1" applyBorder="1" applyAlignment="1">
      <alignment horizontal="center"/>
    </xf>
    <xf numFmtId="0" fontId="21" fillId="2" borderId="26" xfId="1" applyFont="1" applyFill="1" applyBorder="1" applyAlignment="1">
      <alignment horizontal="right"/>
    </xf>
    <xf numFmtId="0" fontId="19" fillId="7" borderId="19" xfId="1" applyFont="1" applyFill="1" applyBorder="1" applyAlignment="1">
      <alignment horizontal="center"/>
    </xf>
    <xf numFmtId="171" fontId="21" fillId="2" borderId="20" xfId="1" applyNumberFormat="1" applyFont="1" applyFill="1" applyBorder="1" applyAlignment="1">
      <alignment horizontal="right"/>
    </xf>
    <xf numFmtId="165" fontId="19" fillId="7" borderId="23" xfId="1" applyNumberFormat="1" applyFont="1" applyFill="1" applyBorder="1" applyAlignment="1">
      <alignment horizontal="center"/>
    </xf>
    <xf numFmtId="165" fontId="19" fillId="6" borderId="39" xfId="1" applyNumberFormat="1" applyFont="1" applyFill="1" applyBorder="1" applyAlignment="1">
      <alignment horizontal="center"/>
    </xf>
    <xf numFmtId="0" fontId="21" fillId="2" borderId="24" xfId="1" applyFont="1" applyFill="1" applyBorder="1" applyAlignment="1">
      <alignment horizontal="right"/>
    </xf>
    <xf numFmtId="0" fontId="19" fillId="7" borderId="27" xfId="1" applyFont="1" applyFill="1" applyBorder="1" applyAlignment="1">
      <alignment horizontal="center"/>
    </xf>
    <xf numFmtId="0" fontId="16" fillId="2" borderId="9" xfId="1" applyFont="1" applyFill="1" applyBorder="1" applyAlignment="1">
      <alignment horizontal="left" vertical="center" wrapText="1"/>
    </xf>
    <xf numFmtId="0" fontId="21" fillId="2" borderId="9" xfId="1" applyFont="1" applyFill="1" applyBorder="1" applyAlignment="1">
      <alignment vertical="center"/>
    </xf>
    <xf numFmtId="0" fontId="21" fillId="2" borderId="10" xfId="1" applyFont="1" applyFill="1" applyBorder="1" applyAlignment="1">
      <alignment horizontal="center" vertical="center"/>
    </xf>
    <xf numFmtId="0" fontId="21" fillId="2" borderId="7" xfId="1" applyFont="1" applyFill="1" applyBorder="1" applyAlignment="1" applyProtection="1">
      <alignment vertical="center"/>
      <protection locked="0"/>
    </xf>
    <xf numFmtId="0" fontId="21" fillId="2" borderId="7" xfId="1" applyFont="1" applyFill="1" applyBorder="1" applyAlignment="1">
      <alignment vertical="center"/>
    </xf>
    <xf numFmtId="0" fontId="18" fillId="2" borderId="11" xfId="1" applyFont="1" applyFill="1" applyBorder="1" applyAlignment="1" applyProtection="1">
      <alignment vertical="center"/>
      <protection locked="0"/>
    </xf>
    <xf numFmtId="0" fontId="18" fillId="2" borderId="11" xfId="1" applyFont="1" applyFill="1" applyBorder="1" applyAlignment="1">
      <alignment vertical="center"/>
    </xf>
    <xf numFmtId="0" fontId="21" fillId="2" borderId="11" xfId="1" applyFont="1" applyFill="1" applyBorder="1" applyAlignment="1">
      <alignment vertic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9" fillId="3" borderId="0" xfId="1" applyFont="1" applyFill="1" applyAlignment="1" applyProtection="1">
      <alignment horizontal="left" vertical="center"/>
      <protection locked="0"/>
    </xf>
    <xf numFmtId="0" fontId="12" fillId="2" borderId="0" xfId="1" applyFont="1" applyFill="1" applyAlignment="1">
      <alignment horizontal="center" vertical="center"/>
    </xf>
    <xf numFmtId="0" fontId="14" fillId="2" borderId="0" xfId="1" applyFont="1" applyFill="1" applyAlignment="1">
      <alignment horizontal="center" vertical="center"/>
    </xf>
    <xf numFmtId="0" fontId="16" fillId="2" borderId="60" xfId="1" applyFont="1" applyFill="1" applyBorder="1" applyAlignment="1">
      <alignment horizontal="center" vertical="center"/>
    </xf>
    <xf numFmtId="0" fontId="16" fillId="2" borderId="30" xfId="1" applyFont="1" applyFill="1" applyBorder="1" applyAlignment="1">
      <alignment horizontal="center" vertical="center"/>
    </xf>
    <xf numFmtId="0" fontId="16" fillId="2" borderId="13" xfId="1" applyFont="1" applyFill="1" applyBorder="1" applyAlignment="1">
      <alignment horizontal="center" vertical="center"/>
    </xf>
    <xf numFmtId="0" fontId="17" fillId="2" borderId="10" xfId="1" applyFont="1" applyFill="1" applyBorder="1" applyAlignment="1">
      <alignment horizontal="center" vertical="center"/>
    </xf>
    <xf numFmtId="0" fontId="20" fillId="3" borderId="0" xfId="1" applyFont="1" applyFill="1" applyAlignment="1" applyProtection="1">
      <alignment horizontal="left" vertical="center"/>
      <protection locked="0"/>
    </xf>
    <xf numFmtId="0" fontId="16" fillId="2" borderId="60" xfId="1" applyFont="1" applyFill="1" applyBorder="1" applyAlignment="1">
      <alignment horizontal="justify" vertical="center" wrapText="1"/>
    </xf>
    <xf numFmtId="0" fontId="16" fillId="2" borderId="30" xfId="1" applyFont="1" applyFill="1" applyBorder="1" applyAlignment="1">
      <alignment horizontal="justify" vertical="center" wrapText="1"/>
    </xf>
    <xf numFmtId="0" fontId="16" fillId="2" borderId="13" xfId="1" applyFont="1" applyFill="1" applyBorder="1" applyAlignment="1">
      <alignment horizontal="justify" vertical="center" wrapText="1"/>
    </xf>
    <xf numFmtId="0" fontId="16" fillId="2" borderId="60" xfId="1" applyFont="1" applyFill="1" applyBorder="1" applyAlignment="1">
      <alignment horizontal="left" vertical="center" wrapText="1"/>
    </xf>
    <xf numFmtId="0" fontId="16" fillId="2" borderId="30" xfId="1" applyFont="1" applyFill="1" applyBorder="1" applyAlignment="1">
      <alignment horizontal="left" vertical="center" wrapText="1"/>
    </xf>
    <xf numFmtId="0" fontId="16" fillId="2" borderId="13" xfId="1" applyFont="1" applyFill="1" applyBorder="1" applyAlignment="1">
      <alignment horizontal="left" vertical="center" wrapText="1"/>
    </xf>
    <xf numFmtId="0" fontId="18" fillId="2" borderId="20" xfId="1" applyFont="1" applyFill="1" applyBorder="1" applyAlignment="1">
      <alignment horizontal="center" vertical="center"/>
    </xf>
    <xf numFmtId="0" fontId="18" fillId="2" borderId="50" xfId="1" applyFont="1" applyFill="1" applyBorder="1" applyAlignment="1">
      <alignment horizontal="center" vertical="center"/>
    </xf>
    <xf numFmtId="0" fontId="18" fillId="2" borderId="29" xfId="1" applyFont="1" applyFill="1" applyBorder="1" applyAlignment="1">
      <alignment horizontal="center" vertical="center"/>
    </xf>
    <xf numFmtId="0" fontId="16" fillId="2" borderId="33" xfId="1" applyFont="1" applyFill="1" applyBorder="1" applyAlignment="1">
      <alignment horizontal="left" vertical="center" wrapText="1"/>
    </xf>
    <xf numFmtId="0" fontId="16" fillId="2" borderId="34" xfId="1" applyFont="1" applyFill="1" applyBorder="1" applyAlignment="1">
      <alignment horizontal="left" vertical="center" wrapText="1"/>
    </xf>
    <xf numFmtId="0" fontId="16" fillId="2" borderId="51" xfId="1" applyFont="1" applyFill="1" applyBorder="1" applyAlignment="1">
      <alignment horizontal="left" vertical="center" wrapText="1"/>
    </xf>
    <xf numFmtId="0" fontId="16" fillId="2" borderId="53" xfId="1" applyFont="1" applyFill="1" applyBorder="1" applyAlignment="1">
      <alignment horizontal="left" vertical="center" wrapText="1"/>
    </xf>
    <xf numFmtId="0" fontId="18" fillId="2" borderId="10" xfId="1" applyFont="1" applyFill="1" applyBorder="1" applyAlignment="1">
      <alignment horizontal="center" vertical="center"/>
    </xf>
    <xf numFmtId="0" fontId="18" fillId="2" borderId="0" xfId="1" applyFont="1" applyFill="1" applyAlignment="1">
      <alignment horizontal="center" vertical="center"/>
    </xf>
    <xf numFmtId="0" fontId="18" fillId="2" borderId="9" xfId="1" applyFont="1" applyFill="1" applyBorder="1" applyAlignment="1">
      <alignment horizontal="center" vertical="center"/>
    </xf>
    <xf numFmtId="2" fontId="19" fillId="3" borderId="31" xfId="1" applyNumberFormat="1" applyFont="1" applyFill="1" applyBorder="1" applyAlignment="1" applyProtection="1">
      <alignment horizontal="center" vertical="center"/>
      <protection locked="0"/>
    </xf>
    <xf numFmtId="2" fontId="19" fillId="3" borderId="52" xfId="1" applyNumberFormat="1" applyFont="1" applyFill="1" applyBorder="1" applyAlignment="1" applyProtection="1">
      <alignment horizontal="center" vertical="center"/>
      <protection locked="0"/>
    </xf>
    <xf numFmtId="2" fontId="19" fillId="3" borderId="32" xfId="1" applyNumberFormat="1" applyFont="1" applyFill="1" applyBorder="1" applyAlignment="1" applyProtection="1">
      <alignment horizontal="center" vertical="center"/>
      <protection locked="0"/>
    </xf>
    <xf numFmtId="0" fontId="18" fillId="2" borderId="51" xfId="1" applyFont="1" applyFill="1" applyBorder="1" applyAlignment="1">
      <alignment horizontal="center" vertical="center"/>
    </xf>
    <xf numFmtId="0" fontId="18" fillId="2" borderId="20" xfId="1" applyFont="1" applyFill="1" applyBorder="1" applyAlignment="1">
      <alignment horizontal="center"/>
    </xf>
    <xf numFmtId="0" fontId="18" fillId="2" borderId="29" xfId="1" applyFont="1" applyFill="1" applyBorder="1" applyAlignment="1">
      <alignment horizontal="center"/>
    </xf>
    <xf numFmtId="0" fontId="16" fillId="2" borderId="10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26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3"/>
  <sheetViews>
    <sheetView topLeftCell="A22" workbookViewId="0">
      <selection activeCell="B19" sqref="B1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67" t="s">
        <v>0</v>
      </c>
      <c r="B15" s="367"/>
      <c r="C15" s="367"/>
      <c r="D15" s="367"/>
      <c r="E15" s="367"/>
    </row>
    <row r="16" spans="1:6" ht="16.5" customHeight="1" x14ac:dyDescent="0.3">
      <c r="A16" s="5" t="s">
        <v>1</v>
      </c>
      <c r="B16" s="6" t="s">
        <v>101</v>
      </c>
    </row>
    <row r="17" spans="1:6" ht="16.5" customHeight="1" x14ac:dyDescent="0.3">
      <c r="A17" s="7" t="s">
        <v>2</v>
      </c>
      <c r="B17" s="8" t="s">
        <v>108</v>
      </c>
      <c r="D17" s="9"/>
      <c r="E17" s="10"/>
    </row>
    <row r="18" spans="1:6" ht="16.5" customHeight="1" x14ac:dyDescent="0.3">
      <c r="A18" s="11" t="s">
        <v>3</v>
      </c>
      <c r="B18" s="8" t="s">
        <v>96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7</v>
      </c>
      <c r="B20" s="13">
        <v>20.95</v>
      </c>
      <c r="C20" s="10"/>
      <c r="D20" s="10"/>
      <c r="E20" s="10"/>
    </row>
    <row r="21" spans="1:6" ht="16.5" customHeight="1" x14ac:dyDescent="0.3">
      <c r="A21" s="7" t="s">
        <v>9</v>
      </c>
      <c r="B21" s="9">
        <v>2.0949999999999996E-2</v>
      </c>
      <c r="C21" s="10"/>
      <c r="D21" s="10"/>
      <c r="E21" s="10"/>
    </row>
    <row r="22" spans="1:6" ht="15.75" customHeight="1" x14ac:dyDescent="0.25">
      <c r="A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7988169</v>
      </c>
      <c r="C24" s="18">
        <v>6671</v>
      </c>
      <c r="D24" s="19">
        <v>1.06</v>
      </c>
      <c r="E24" s="20">
        <v>7</v>
      </c>
    </row>
    <row r="25" spans="1:6" ht="16.5" customHeight="1" x14ac:dyDescent="0.3">
      <c r="A25" s="17">
        <v>2</v>
      </c>
      <c r="B25" s="18">
        <v>8016589</v>
      </c>
      <c r="C25" s="18">
        <v>6695</v>
      </c>
      <c r="D25" s="19">
        <v>1.06</v>
      </c>
      <c r="E25" s="19">
        <v>7</v>
      </c>
    </row>
    <row r="26" spans="1:6" ht="16.5" customHeight="1" x14ac:dyDescent="0.3">
      <c r="A26" s="17">
        <v>3</v>
      </c>
      <c r="B26" s="18">
        <v>8008111</v>
      </c>
      <c r="C26" s="18">
        <v>6687</v>
      </c>
      <c r="D26" s="19">
        <v>1.05</v>
      </c>
      <c r="E26" s="19">
        <v>7.02</v>
      </c>
    </row>
    <row r="27" spans="1:6" ht="16.5" customHeight="1" x14ac:dyDescent="0.3">
      <c r="A27" s="17">
        <v>4</v>
      </c>
      <c r="B27" s="18">
        <v>7989116</v>
      </c>
      <c r="C27" s="18">
        <v>6734</v>
      </c>
      <c r="D27" s="19">
        <v>1.06</v>
      </c>
      <c r="E27" s="19">
        <v>7.02</v>
      </c>
    </row>
    <row r="28" spans="1:6" ht="16.5" customHeight="1" x14ac:dyDescent="0.3">
      <c r="A28" s="17">
        <v>5</v>
      </c>
      <c r="B28" s="18">
        <v>7970973</v>
      </c>
      <c r="C28" s="18">
        <v>6763</v>
      </c>
      <c r="D28" s="19">
        <v>1.06</v>
      </c>
      <c r="E28" s="19">
        <v>7.05</v>
      </c>
    </row>
    <row r="29" spans="1:6" ht="16.5" customHeight="1" x14ac:dyDescent="0.3">
      <c r="A29" s="17">
        <v>6</v>
      </c>
      <c r="B29" s="21">
        <v>7934778</v>
      </c>
      <c r="C29" s="21">
        <v>6676</v>
      </c>
      <c r="D29" s="22">
        <v>1.04</v>
      </c>
      <c r="E29" s="22">
        <v>7.02</v>
      </c>
    </row>
    <row r="30" spans="1:6" ht="16.5" customHeight="1" x14ac:dyDescent="0.3">
      <c r="A30" s="23" t="s">
        <v>17</v>
      </c>
      <c r="B30" s="24">
        <f>AVERAGE(B24:B29)</f>
        <v>7984622.666666667</v>
      </c>
      <c r="C30" s="25">
        <f>AVERAGE(C24:C29)</f>
        <v>6704.333333333333</v>
      </c>
      <c r="D30" s="26">
        <f>AVERAGE(D24:D29)</f>
        <v>1.0550000000000002</v>
      </c>
      <c r="E30" s="26">
        <f>AVERAGE(E24:E29)</f>
        <v>7.0183333333333335</v>
      </c>
    </row>
    <row r="31" spans="1:6" ht="16.5" customHeight="1" x14ac:dyDescent="0.3">
      <c r="A31" s="27" t="s">
        <v>18</v>
      </c>
      <c r="B31" s="28">
        <f>(STDEV(B24:B29)/B30)</f>
        <v>3.6629945018390557E-3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9" s="2" customFormat="1" ht="15.75" customHeight="1" x14ac:dyDescent="0.25">
      <c r="A33" s="10"/>
      <c r="B33" s="10"/>
      <c r="C33" s="10"/>
      <c r="D33" s="10"/>
      <c r="E33" s="36"/>
    </row>
    <row r="34" spans="1:9" s="2" customFormat="1" ht="16.5" customHeight="1" x14ac:dyDescent="0.3">
      <c r="A34" s="11" t="s">
        <v>20</v>
      </c>
      <c r="B34" s="37" t="s">
        <v>106</v>
      </c>
      <c r="C34" s="38"/>
      <c r="D34" s="38"/>
      <c r="E34" s="39"/>
    </row>
    <row r="35" spans="1:9" ht="16.5" customHeight="1" x14ac:dyDescent="0.3">
      <c r="A35" s="11"/>
      <c r="B35" s="37" t="s">
        <v>105</v>
      </c>
      <c r="C35" s="38"/>
      <c r="D35" s="38"/>
      <c r="E35" s="39"/>
      <c r="F35" s="2"/>
    </row>
    <row r="36" spans="1:9" ht="16.5" customHeight="1" x14ac:dyDescent="0.3">
      <c r="A36" s="11"/>
      <c r="B36" s="40" t="s">
        <v>107</v>
      </c>
      <c r="C36" s="38"/>
      <c r="D36" s="38"/>
      <c r="E36" s="38"/>
    </row>
    <row r="37" spans="1:9" s="44" customFormat="1" ht="16.5" customHeight="1" x14ac:dyDescent="0.3">
      <c r="A37" s="11"/>
      <c r="B37" s="40" t="s">
        <v>103</v>
      </c>
      <c r="C37" s="39"/>
      <c r="D37" s="39"/>
      <c r="E37" s="39"/>
      <c r="F37" s="119"/>
      <c r="G37" s="119"/>
      <c r="H37" s="119"/>
      <c r="I37" s="119"/>
    </row>
    <row r="38" spans="1:9" ht="15.75" customHeight="1" x14ac:dyDescent="0.25">
      <c r="A38" s="10"/>
      <c r="B38" s="10"/>
      <c r="C38" s="10"/>
      <c r="D38" s="10"/>
      <c r="E38" s="10"/>
    </row>
    <row r="39" spans="1:9" ht="16.5" customHeight="1" x14ac:dyDescent="0.3">
      <c r="A39" s="5" t="s">
        <v>1</v>
      </c>
      <c r="B39" s="6" t="s">
        <v>102</v>
      </c>
    </row>
    <row r="40" spans="1:9" ht="16.5" customHeight="1" x14ac:dyDescent="0.3">
      <c r="A40" s="11" t="s">
        <v>3</v>
      </c>
      <c r="B40" s="8" t="s">
        <v>98</v>
      </c>
      <c r="C40" s="10"/>
      <c r="D40" s="10"/>
      <c r="E40" s="10"/>
    </row>
    <row r="41" spans="1:9" ht="16.5" customHeight="1" x14ac:dyDescent="0.3">
      <c r="A41" s="11" t="s">
        <v>5</v>
      </c>
      <c r="B41" s="12">
        <v>98.9</v>
      </c>
      <c r="C41" s="10"/>
      <c r="D41" s="10"/>
      <c r="E41" s="10"/>
    </row>
    <row r="42" spans="1:9" ht="16.5" customHeight="1" x14ac:dyDescent="0.3">
      <c r="A42" s="7" t="s">
        <v>7</v>
      </c>
      <c r="B42" s="12">
        <v>83.85</v>
      </c>
      <c r="C42" s="10"/>
      <c r="D42" s="10"/>
      <c r="E42" s="10"/>
    </row>
    <row r="43" spans="1:9" ht="16.5" customHeight="1" x14ac:dyDescent="0.3">
      <c r="A43" s="7" t="s">
        <v>9</v>
      </c>
      <c r="B43" s="13">
        <v>8.3849999999999994E-2</v>
      </c>
      <c r="C43" s="10"/>
      <c r="D43" s="10"/>
      <c r="E43" s="10"/>
    </row>
    <row r="44" spans="1:9" ht="15.75" customHeight="1" x14ac:dyDescent="0.25">
      <c r="A44" s="10"/>
      <c r="B44" s="10"/>
      <c r="C44" s="10"/>
      <c r="D44" s="10"/>
      <c r="E44" s="10"/>
    </row>
    <row r="45" spans="1:9" ht="16.5" customHeight="1" x14ac:dyDescent="0.3">
      <c r="A45" s="14" t="s">
        <v>12</v>
      </c>
      <c r="B45" s="15" t="s">
        <v>13</v>
      </c>
      <c r="C45" s="14" t="s">
        <v>14</v>
      </c>
      <c r="D45" s="14" t="s">
        <v>15</v>
      </c>
      <c r="E45" s="16" t="s">
        <v>16</v>
      </c>
    </row>
    <row r="46" spans="1:9" ht="16.5" customHeight="1" x14ac:dyDescent="0.3">
      <c r="A46" s="17">
        <v>1</v>
      </c>
      <c r="B46" s="18">
        <v>42649135</v>
      </c>
      <c r="C46" s="18">
        <v>7340</v>
      </c>
      <c r="D46" s="19">
        <v>1.06</v>
      </c>
      <c r="E46" s="20">
        <v>8.25</v>
      </c>
    </row>
    <row r="47" spans="1:9" ht="16.5" customHeight="1" x14ac:dyDescent="0.3">
      <c r="A47" s="17">
        <v>2</v>
      </c>
      <c r="B47" s="18">
        <v>42757443</v>
      </c>
      <c r="C47" s="18">
        <v>7337</v>
      </c>
      <c r="D47" s="19">
        <v>1.07</v>
      </c>
      <c r="E47" s="19">
        <v>8.25</v>
      </c>
    </row>
    <row r="48" spans="1:9" ht="16.5" customHeight="1" x14ac:dyDescent="0.3">
      <c r="A48" s="17">
        <v>3</v>
      </c>
      <c r="B48" s="18">
        <v>42664537</v>
      </c>
      <c r="C48" s="18">
        <v>7368</v>
      </c>
      <c r="D48" s="19">
        <v>1.07</v>
      </c>
      <c r="E48" s="19">
        <v>8.26</v>
      </c>
    </row>
    <row r="49" spans="1:9" ht="16.5" customHeight="1" x14ac:dyDescent="0.3">
      <c r="A49" s="17">
        <v>4</v>
      </c>
      <c r="B49" s="18">
        <v>42597829</v>
      </c>
      <c r="C49" s="18">
        <v>7401</v>
      </c>
      <c r="D49" s="19">
        <v>1.05</v>
      </c>
      <c r="E49" s="19">
        <v>8.27</v>
      </c>
    </row>
    <row r="50" spans="1:9" ht="16.5" customHeight="1" x14ac:dyDescent="0.3">
      <c r="A50" s="17">
        <v>5</v>
      </c>
      <c r="B50" s="18">
        <v>42630856</v>
      </c>
      <c r="C50" s="18">
        <v>7382</v>
      </c>
      <c r="D50" s="19">
        <v>1.06</v>
      </c>
      <c r="E50" s="19">
        <v>8.3000000000000007</v>
      </c>
    </row>
    <row r="51" spans="1:9" ht="16.5" customHeight="1" x14ac:dyDescent="0.3">
      <c r="A51" s="17">
        <v>6</v>
      </c>
      <c r="B51" s="21">
        <v>42356694</v>
      </c>
      <c r="C51" s="21">
        <v>7337</v>
      </c>
      <c r="D51" s="22">
        <v>1.06</v>
      </c>
      <c r="E51" s="22">
        <v>8.27</v>
      </c>
    </row>
    <row r="52" spans="1:9" ht="16.5" customHeight="1" x14ac:dyDescent="0.3">
      <c r="A52" s="23" t="s">
        <v>17</v>
      </c>
      <c r="B52" s="24">
        <f>AVERAGE(B46:B51)</f>
        <v>42609415.666666664</v>
      </c>
      <c r="C52" s="25">
        <f>AVERAGE(C46:C51)</f>
        <v>7360.833333333333</v>
      </c>
      <c r="D52" s="26">
        <f>AVERAGE(D46:D51)</f>
        <v>1.0616666666666668</v>
      </c>
      <c r="E52" s="26">
        <f>AVERAGE(E46:E51)</f>
        <v>8.2666666666666657</v>
      </c>
    </row>
    <row r="53" spans="1:9" ht="16.5" customHeight="1" x14ac:dyDescent="0.3">
      <c r="A53" s="27" t="s">
        <v>18</v>
      </c>
      <c r="B53" s="28">
        <f>(STDEV(B46:B51)/B52)</f>
        <v>3.1659705235788822E-3</v>
      </c>
      <c r="C53" s="29"/>
      <c r="D53" s="29"/>
      <c r="E53" s="30"/>
      <c r="F53" s="2"/>
    </row>
    <row r="54" spans="1:9" s="2" customFormat="1" ht="16.5" customHeight="1" x14ac:dyDescent="0.3">
      <c r="A54" s="31" t="s">
        <v>19</v>
      </c>
      <c r="B54" s="32">
        <f>COUNT(B46:B51)</f>
        <v>6</v>
      </c>
      <c r="C54" s="33"/>
      <c r="D54" s="34"/>
      <c r="E54" s="35"/>
    </row>
    <row r="55" spans="1:9" s="2" customFormat="1" ht="15.75" customHeight="1" x14ac:dyDescent="0.25">
      <c r="A55" s="10"/>
      <c r="B55" s="10"/>
      <c r="C55" s="10"/>
      <c r="D55" s="10"/>
      <c r="E55" s="36"/>
    </row>
    <row r="56" spans="1:9" s="2" customFormat="1" ht="16.5" customHeight="1" x14ac:dyDescent="0.3">
      <c r="A56" s="11" t="s">
        <v>20</v>
      </c>
      <c r="B56" s="37" t="s">
        <v>106</v>
      </c>
      <c r="C56" s="38"/>
      <c r="D56" s="38"/>
      <c r="E56" s="39"/>
    </row>
    <row r="57" spans="1:9" ht="16.5" customHeight="1" x14ac:dyDescent="0.3">
      <c r="A57" s="11"/>
      <c r="B57" s="37" t="s">
        <v>105</v>
      </c>
      <c r="C57" s="38"/>
      <c r="D57" s="38"/>
      <c r="E57" s="39"/>
      <c r="F57" s="2"/>
    </row>
    <row r="58" spans="1:9" s="44" customFormat="1" ht="16.5" customHeight="1" x14ac:dyDescent="0.3">
      <c r="A58" s="11"/>
      <c r="B58" s="40" t="s">
        <v>104</v>
      </c>
      <c r="C58" s="39"/>
      <c r="D58" s="39"/>
      <c r="E58" s="39"/>
      <c r="F58" s="119"/>
      <c r="G58" s="119"/>
      <c r="H58" s="119"/>
      <c r="I58" s="119"/>
    </row>
    <row r="59" spans="1:9" ht="16.5" customHeight="1" x14ac:dyDescent="0.3">
      <c r="A59" s="11"/>
      <c r="B59" s="40" t="s">
        <v>103</v>
      </c>
      <c r="C59" s="38"/>
      <c r="D59" s="39"/>
      <c r="E59" s="38"/>
    </row>
    <row r="60" spans="1:9" ht="14.25" customHeight="1" x14ac:dyDescent="0.25">
      <c r="A60" s="41"/>
      <c r="B60" s="42"/>
      <c r="D60" s="43"/>
      <c r="F60" s="44"/>
      <c r="G60" s="44"/>
    </row>
    <row r="61" spans="1:9" ht="15" customHeight="1" x14ac:dyDescent="0.3">
      <c r="B61" s="368" t="s">
        <v>21</v>
      </c>
      <c r="C61" s="368"/>
      <c r="E61" s="45" t="s">
        <v>22</v>
      </c>
      <c r="F61" s="46"/>
      <c r="G61" s="45" t="s">
        <v>23</v>
      </c>
    </row>
    <row r="62" spans="1:9" ht="15" customHeight="1" x14ac:dyDescent="0.3">
      <c r="A62" s="47" t="s">
        <v>24</v>
      </c>
      <c r="B62" s="48"/>
      <c r="C62" s="48"/>
      <c r="E62" s="48"/>
      <c r="F62" s="2"/>
      <c r="G62" s="49"/>
    </row>
    <row r="63" spans="1:9" ht="15" customHeight="1" x14ac:dyDescent="0.3">
      <c r="A63" s="47" t="s">
        <v>25</v>
      </c>
      <c r="B63" s="50"/>
      <c r="C63" s="50"/>
      <c r="E63" s="50"/>
      <c r="F63" s="2"/>
      <c r="G63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1:C6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view="pageBreakPreview" zoomScale="60" zoomScaleNormal="100" workbookViewId="0">
      <selection activeCell="B51" sqref="B51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74" t="s">
        <v>26</v>
      </c>
      <c r="B8" s="374"/>
      <c r="C8" s="374"/>
      <c r="D8" s="374"/>
      <c r="E8" s="374"/>
      <c r="F8" s="374"/>
      <c r="G8" s="374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75" t="s">
        <v>27</v>
      </c>
      <c r="B10" s="375"/>
      <c r="C10" s="375"/>
      <c r="D10" s="375"/>
      <c r="E10" s="375"/>
      <c r="F10" s="375"/>
      <c r="G10" s="375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369" t="s">
        <v>28</v>
      </c>
      <c r="B11" s="369"/>
      <c r="C11" s="73" t="s">
        <v>4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369" t="s">
        <v>29</v>
      </c>
      <c r="B12" s="369"/>
      <c r="C12" s="73" t="s">
        <v>6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369" t="s">
        <v>30</v>
      </c>
      <c r="B13" s="369"/>
      <c r="C13" s="73" t="s">
        <v>8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369" t="s">
        <v>31</v>
      </c>
      <c r="B14" s="369"/>
      <c r="C14" s="373" t="s">
        <v>10</v>
      </c>
      <c r="D14" s="373"/>
      <c r="E14" s="373"/>
      <c r="F14" s="373"/>
      <c r="G14" s="373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369" t="s">
        <v>32</v>
      </c>
      <c r="B15" s="369"/>
      <c r="C15" s="74" t="s">
        <v>11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369" t="s">
        <v>33</v>
      </c>
      <c r="B16" s="369"/>
      <c r="C16" s="74" t="s">
        <v>34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70" t="s">
        <v>1</v>
      </c>
      <c r="B18" s="370"/>
      <c r="C18" s="75" t="s">
        <v>35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36</v>
      </c>
      <c r="B20" s="78" t="s">
        <v>37</v>
      </c>
      <c r="C20" s="79" t="s">
        <v>38</v>
      </c>
      <c r="D20" s="77" t="s">
        <v>39</v>
      </c>
      <c r="E20" s="80" t="s">
        <v>40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295.3</v>
      </c>
      <c r="C21" s="83">
        <v>73.3</v>
      </c>
      <c r="D21" s="84">
        <f t="shared" ref="D21:D40" si="0">B21-C21</f>
        <v>222</v>
      </c>
      <c r="E21" s="85">
        <f t="shared" ref="E21:E40" si="1">(D21-$D$43)/$D$43</f>
        <v>1.4532492459555698E-2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295.8</v>
      </c>
      <c r="C22" s="88">
        <v>75.400000000000006</v>
      </c>
      <c r="D22" s="89">
        <f t="shared" si="0"/>
        <v>220.4</v>
      </c>
      <c r="E22" s="85">
        <f t="shared" si="1"/>
        <v>7.2205465679553238E-3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295.60000000000002</v>
      </c>
      <c r="C23" s="88">
        <v>75.5</v>
      </c>
      <c r="D23" s="89">
        <f t="shared" si="0"/>
        <v>220.10000000000002</v>
      </c>
      <c r="E23" s="85">
        <f t="shared" si="1"/>
        <v>5.849556713280326E-3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291</v>
      </c>
      <c r="C24" s="88">
        <v>73.2</v>
      </c>
      <c r="D24" s="89">
        <f t="shared" si="0"/>
        <v>217.8</v>
      </c>
      <c r="E24" s="85">
        <f t="shared" si="1"/>
        <v>-4.6613655058953029E-3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283.89999999999998</v>
      </c>
      <c r="C25" s="88">
        <v>74.8</v>
      </c>
      <c r="D25" s="89">
        <f t="shared" si="0"/>
        <v>209.09999999999997</v>
      </c>
      <c r="E25" s="85">
        <f t="shared" si="1"/>
        <v>-4.4420071291472692E-2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294.39999999999998</v>
      </c>
      <c r="C26" s="88">
        <v>72.400000000000006</v>
      </c>
      <c r="D26" s="89">
        <f t="shared" si="0"/>
        <v>221.99999999999997</v>
      </c>
      <c r="E26" s="85">
        <f t="shared" si="1"/>
        <v>1.453249245955557E-2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291.10000000000002</v>
      </c>
      <c r="C27" s="88">
        <v>71.3</v>
      </c>
      <c r="D27" s="89">
        <f t="shared" si="0"/>
        <v>219.8</v>
      </c>
      <c r="E27" s="85">
        <f t="shared" si="1"/>
        <v>4.4785668586051989E-3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296.10000000000002</v>
      </c>
      <c r="C28" s="88">
        <v>76.900000000000006</v>
      </c>
      <c r="D28" s="89">
        <f t="shared" si="0"/>
        <v>219.20000000000002</v>
      </c>
      <c r="E28" s="85">
        <f t="shared" si="1"/>
        <v>1.7365871492550746E-3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293.60000000000002</v>
      </c>
      <c r="C29" s="88">
        <v>72.900000000000006</v>
      </c>
      <c r="D29" s="89">
        <f t="shared" si="0"/>
        <v>220.70000000000002</v>
      </c>
      <c r="E29" s="85">
        <f t="shared" si="1"/>
        <v>8.59153642263045E-3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293.3</v>
      </c>
      <c r="C30" s="88">
        <v>74.3</v>
      </c>
      <c r="D30" s="89">
        <f t="shared" si="0"/>
        <v>219</v>
      </c>
      <c r="E30" s="85">
        <f t="shared" si="1"/>
        <v>8.2259391280494647E-4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291.39999999999998</v>
      </c>
      <c r="C31" s="88">
        <v>74.099999999999994</v>
      </c>
      <c r="D31" s="89">
        <f t="shared" si="0"/>
        <v>217.29999999999998</v>
      </c>
      <c r="E31" s="85">
        <f t="shared" si="1"/>
        <v>-6.9463485970205577E-3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293.89999999999998</v>
      </c>
      <c r="C32" s="88">
        <v>73.099999999999994</v>
      </c>
      <c r="D32" s="89">
        <f t="shared" si="0"/>
        <v>220.79999999999998</v>
      </c>
      <c r="E32" s="85">
        <f t="shared" si="1"/>
        <v>9.0485330408553201E-3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295.7</v>
      </c>
      <c r="C33" s="88">
        <v>74.8</v>
      </c>
      <c r="D33" s="89">
        <f t="shared" si="0"/>
        <v>220.89999999999998</v>
      </c>
      <c r="E33" s="85">
        <f t="shared" si="1"/>
        <v>9.5055296590803185E-3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294.5</v>
      </c>
      <c r="C34" s="88">
        <v>74.8</v>
      </c>
      <c r="D34" s="89">
        <f t="shared" si="0"/>
        <v>219.7</v>
      </c>
      <c r="E34" s="85">
        <f t="shared" si="1"/>
        <v>4.0215702403800704E-3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278.8</v>
      </c>
      <c r="C35" s="88">
        <v>71</v>
      </c>
      <c r="D35" s="89">
        <f t="shared" si="0"/>
        <v>207.8</v>
      </c>
      <c r="E35" s="85">
        <f t="shared" si="1"/>
        <v>-5.0361027328397812E-2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290</v>
      </c>
      <c r="C36" s="88">
        <v>72.7</v>
      </c>
      <c r="D36" s="89">
        <f t="shared" si="0"/>
        <v>217.3</v>
      </c>
      <c r="E36" s="85">
        <f t="shared" si="1"/>
        <v>-6.9463485970204285E-3</v>
      </c>
      <c r="G36" s="66"/>
      <c r="H36" s="66"/>
    </row>
    <row r="37" spans="1:15" ht="15" x14ac:dyDescent="0.3">
      <c r="A37" s="86">
        <v>17</v>
      </c>
      <c r="B37" s="90">
        <v>293.5</v>
      </c>
      <c r="C37" s="88">
        <v>74.5</v>
      </c>
      <c r="D37" s="89">
        <f t="shared" si="0"/>
        <v>219</v>
      </c>
      <c r="E37" s="85">
        <f t="shared" si="1"/>
        <v>8.2259391280494647E-4</v>
      </c>
    </row>
    <row r="38" spans="1:15" ht="15" x14ac:dyDescent="0.3">
      <c r="A38" s="86">
        <v>18</v>
      </c>
      <c r="B38" s="90">
        <v>296.2</v>
      </c>
      <c r="C38" s="88">
        <v>75</v>
      </c>
      <c r="D38" s="89">
        <f t="shared" si="0"/>
        <v>221.2</v>
      </c>
      <c r="E38" s="85">
        <f t="shared" si="1"/>
        <v>1.0876519513755447E-2</v>
      </c>
    </row>
    <row r="39" spans="1:15" ht="15" x14ac:dyDescent="0.3">
      <c r="A39" s="86">
        <v>19</v>
      </c>
      <c r="B39" s="90">
        <v>294</v>
      </c>
      <c r="C39" s="88">
        <v>72.900000000000006</v>
      </c>
      <c r="D39" s="89">
        <f t="shared" si="0"/>
        <v>221.1</v>
      </c>
      <c r="E39" s="85">
        <f t="shared" si="1"/>
        <v>1.0419522895530447E-2</v>
      </c>
    </row>
    <row r="40" spans="1:15" ht="14.25" customHeight="1" x14ac:dyDescent="0.3">
      <c r="A40" s="91">
        <v>20</v>
      </c>
      <c r="B40" s="92">
        <v>295.2</v>
      </c>
      <c r="C40" s="93">
        <v>74</v>
      </c>
      <c r="D40" s="94">
        <f t="shared" si="0"/>
        <v>221.2</v>
      </c>
      <c r="E40" s="95">
        <f t="shared" si="1"/>
        <v>1.0876519513755447E-2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41</v>
      </c>
      <c r="B42" s="97">
        <f>SUM(B21:B40)</f>
        <v>5853.3</v>
      </c>
      <c r="C42" s="98">
        <f>SUM(C21:C40)</f>
        <v>1476.9</v>
      </c>
      <c r="D42" s="99">
        <f>SUM(D21:D40)</f>
        <v>4376.4000000000005</v>
      </c>
    </row>
    <row r="43" spans="1:15" ht="15.75" customHeight="1" x14ac:dyDescent="0.3">
      <c r="A43" s="100" t="s">
        <v>42</v>
      </c>
      <c r="B43" s="101">
        <f>AVERAGE(B21:B40)</f>
        <v>292.66500000000002</v>
      </c>
      <c r="C43" s="102">
        <f>AVERAGE(C21:C40)</f>
        <v>73.844999999999999</v>
      </c>
      <c r="D43" s="103">
        <f>AVERAGE(D21:D40)</f>
        <v>218.82000000000002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42</v>
      </c>
      <c r="C46" s="106" t="s">
        <v>43</v>
      </c>
    </row>
    <row r="47" spans="1:15" ht="15.75" customHeight="1" x14ac:dyDescent="0.3">
      <c r="B47" s="371">
        <f>D43</f>
        <v>218.82000000000002</v>
      </c>
      <c r="C47" s="107">
        <f>-(IF(D43&gt;300, 7.5%, 10%))</f>
        <v>-0.1</v>
      </c>
      <c r="D47" s="108">
        <f>IF(D43&lt;300, D43*0.9, D43*0.925)</f>
        <v>196.93800000000002</v>
      </c>
    </row>
    <row r="48" spans="1:15" ht="15.75" customHeight="1" x14ac:dyDescent="0.3">
      <c r="B48" s="372"/>
      <c r="C48" s="109">
        <f>+(IF(D43&gt;300, 7.5%, 10%))</f>
        <v>0.1</v>
      </c>
      <c r="D48" s="108">
        <f>IF(D43&lt;300, D43*1.1, D43*1.075)</f>
        <v>240.70200000000006</v>
      </c>
    </row>
    <row r="49" spans="1:7" ht="14.25" customHeight="1" x14ac:dyDescent="0.3">
      <c r="A49" s="110"/>
      <c r="D49" s="111"/>
    </row>
    <row r="50" spans="1:7" ht="15" customHeight="1" x14ac:dyDescent="0.3">
      <c r="B50" s="368" t="s">
        <v>21</v>
      </c>
      <c r="C50" s="368"/>
      <c r="D50" s="73"/>
      <c r="E50" s="112" t="s">
        <v>22</v>
      </c>
      <c r="F50" s="113"/>
      <c r="G50" s="112" t="s">
        <v>23</v>
      </c>
    </row>
    <row r="51" spans="1:7" ht="15" customHeight="1" x14ac:dyDescent="0.3">
      <c r="A51" s="114" t="s">
        <v>24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25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5" priority="1" operator="notBetween">
      <formula>IF(+$D$43&lt;300, -10.5%, -7.5%)</formula>
      <formula>IF(+$D$43&lt;300, 10.5%, 7.5%)</formula>
    </cfRule>
  </conditionalFormatting>
  <conditionalFormatting sqref="E22">
    <cfRule type="cellIs" dxfId="24" priority="2" operator="notBetween">
      <formula>IF(+$D$43&lt;300, -10.5%, -7.5%)</formula>
      <formula>IF(+$D$43&lt;300, 10.5%, 7.5%)</formula>
    </cfRule>
  </conditionalFormatting>
  <conditionalFormatting sqref="E23">
    <cfRule type="cellIs" dxfId="23" priority="3" operator="notBetween">
      <formula>IF(+$D$43&lt;300, -10.5%, -7.5%)</formula>
      <formula>IF(+$D$43&lt;300, 10.5%, 7.5%)</formula>
    </cfRule>
  </conditionalFormatting>
  <conditionalFormatting sqref="E24">
    <cfRule type="cellIs" dxfId="22" priority="4" operator="notBetween">
      <formula>IF(+$D$43&lt;300, -10.5%, -7.5%)</formula>
      <formula>IF(+$D$43&lt;300, 10.5%, 7.5%)</formula>
    </cfRule>
  </conditionalFormatting>
  <conditionalFormatting sqref="E25">
    <cfRule type="cellIs" dxfId="21" priority="5" operator="notBetween">
      <formula>IF(+$D$43&lt;300, -10.5%, -7.5%)</formula>
      <formula>IF(+$D$43&lt;300, 10.5%, 7.5%)</formula>
    </cfRule>
  </conditionalFormatting>
  <conditionalFormatting sqref="E26">
    <cfRule type="cellIs" dxfId="20" priority="6" operator="notBetween">
      <formula>IF(+$D$43&lt;300, -10.5%, -7.5%)</formula>
      <formula>IF(+$D$43&lt;300, 10.5%, 7.5%)</formula>
    </cfRule>
  </conditionalFormatting>
  <conditionalFormatting sqref="E27">
    <cfRule type="cellIs" dxfId="19" priority="7" operator="notBetween">
      <formula>IF(+$D$43&lt;300, -10.5%, -7.5%)</formula>
      <formula>IF(+$D$43&lt;300, 10.5%, 7.5%)</formula>
    </cfRule>
  </conditionalFormatting>
  <conditionalFormatting sqref="E28">
    <cfRule type="cellIs" dxfId="18" priority="8" operator="notBetween">
      <formula>IF(+$D$43&lt;300, -10.5%, -7.5%)</formula>
      <formula>IF(+$D$43&lt;300, 10.5%, 7.5%)</formula>
    </cfRule>
  </conditionalFormatting>
  <conditionalFormatting sqref="E29">
    <cfRule type="cellIs" dxfId="17" priority="9" operator="notBetween">
      <formula>IF(+$D$43&lt;300, -10.5%, -7.5%)</formula>
      <formula>IF(+$D$43&lt;300, 10.5%, 7.5%)</formula>
    </cfRule>
  </conditionalFormatting>
  <conditionalFormatting sqref="E30">
    <cfRule type="cellIs" dxfId="16" priority="10" operator="notBetween">
      <formula>IF(+$D$43&lt;300, -10.5%, -7.5%)</formula>
      <formula>IF(+$D$43&lt;300, 10.5%, 7.5%)</formula>
    </cfRule>
  </conditionalFormatting>
  <conditionalFormatting sqref="E31">
    <cfRule type="cellIs" dxfId="15" priority="11" operator="notBetween">
      <formula>IF(+$D$43&lt;300, -10.5%, -7.5%)</formula>
      <formula>IF(+$D$43&lt;300, 10.5%, 7.5%)</formula>
    </cfRule>
  </conditionalFormatting>
  <conditionalFormatting sqref="E32">
    <cfRule type="cellIs" dxfId="14" priority="12" operator="notBetween">
      <formula>IF(+$D$43&lt;300, -10.5%, -7.5%)</formula>
      <formula>IF(+$D$43&lt;300, 10.5%, 7.5%)</formula>
    </cfRule>
  </conditionalFormatting>
  <conditionalFormatting sqref="E33">
    <cfRule type="cellIs" dxfId="13" priority="13" operator="notBetween">
      <formula>IF(+$D$43&lt;300, -10.5%, -7.5%)</formula>
      <formula>IF(+$D$43&lt;300, 10.5%, 7.5%)</formula>
    </cfRule>
  </conditionalFormatting>
  <conditionalFormatting sqref="E34">
    <cfRule type="cellIs" dxfId="12" priority="14" operator="notBetween">
      <formula>IF(+$D$43&lt;300, -10.5%, -7.5%)</formula>
      <formula>IF(+$D$43&lt;300, 10.5%, 7.5%)</formula>
    </cfRule>
  </conditionalFormatting>
  <conditionalFormatting sqref="E35">
    <cfRule type="cellIs" dxfId="11" priority="15" operator="notBetween">
      <formula>IF(+$D$43&lt;300, -10.5%, -7.5%)</formula>
      <formula>IF(+$D$43&lt;300, 10.5%, 7.5%)</formula>
    </cfRule>
  </conditionalFormatting>
  <conditionalFormatting sqref="E36">
    <cfRule type="cellIs" dxfId="10" priority="16" operator="notBetween">
      <formula>IF(+$D$43&lt;300, -10.5%, -7.5%)</formula>
      <formula>IF(+$D$43&lt;300, 10.5%, 7.5%)</formula>
    </cfRule>
  </conditionalFormatting>
  <conditionalFormatting sqref="E37">
    <cfRule type="cellIs" dxfId="9" priority="17" operator="notBetween">
      <formula>IF(+$D$43&lt;300, -10.5%, -7.5%)</formula>
      <formula>IF(+$D$43&lt;300, 10.5%, 7.5%)</formula>
    </cfRule>
  </conditionalFormatting>
  <conditionalFormatting sqref="E38">
    <cfRule type="cellIs" dxfId="8" priority="18" operator="notBetween">
      <formula>IF(+$D$43&lt;300, -10.5%, -7.5%)</formula>
      <formula>IF(+$D$43&lt;300, 10.5%, 7.5%)</formula>
    </cfRule>
  </conditionalFormatting>
  <conditionalFormatting sqref="E39">
    <cfRule type="cellIs" dxfId="7" priority="19" operator="notBetween">
      <formula>IF(+$D$43&lt;300, -10.5%, -7.5%)</formula>
      <formula>IF(+$D$43&lt;300, 10.5%, 7.5%)</formula>
    </cfRule>
  </conditionalFormatting>
  <conditionalFormatting sqref="E40">
    <cfRule type="cellIs" dxfId="6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view="pageBreakPreview" zoomScale="55" zoomScaleNormal="75" workbookViewId="0">
      <selection sqref="A1:H172"/>
    </sheetView>
  </sheetViews>
  <sheetFormatPr defaultRowHeight="16.5" x14ac:dyDescent="0.3"/>
  <cols>
    <col min="1" max="1" width="55.42578125" style="121" customWidth="1"/>
    <col min="2" max="2" width="33.7109375" style="121" customWidth="1"/>
    <col min="3" max="3" width="42.28515625" style="121" customWidth="1"/>
    <col min="4" max="4" width="30.5703125" style="121" customWidth="1"/>
    <col min="5" max="5" width="39.85546875" style="121" customWidth="1"/>
    <col min="6" max="6" width="30.7109375" style="121" customWidth="1"/>
    <col min="7" max="7" width="36.42578125" style="121" customWidth="1"/>
    <col min="8" max="8" width="41.140625" style="121" customWidth="1"/>
    <col min="9" max="9" width="30.42578125" style="120" customWidth="1"/>
    <col min="10" max="10" width="21.28515625" style="120" customWidth="1"/>
    <col min="11" max="11" width="9.140625" style="120" customWidth="1"/>
    <col min="12" max="16384" width="9.140625" style="122"/>
  </cols>
  <sheetData>
    <row r="1" spans="1:8" ht="15" x14ac:dyDescent="0.3">
      <c r="A1" s="377" t="s">
        <v>44</v>
      </c>
      <c r="B1" s="377"/>
      <c r="C1" s="377"/>
      <c r="D1" s="377"/>
      <c r="E1" s="377"/>
      <c r="F1" s="377"/>
      <c r="G1" s="377"/>
      <c r="H1" s="377"/>
    </row>
    <row r="2" spans="1:8" ht="15" x14ac:dyDescent="0.3">
      <c r="A2" s="377"/>
      <c r="B2" s="377"/>
      <c r="C2" s="377"/>
      <c r="D2" s="377"/>
      <c r="E2" s="377"/>
      <c r="F2" s="377"/>
      <c r="G2" s="377"/>
      <c r="H2" s="377"/>
    </row>
    <row r="3" spans="1:8" ht="15" x14ac:dyDescent="0.3">
      <c r="A3" s="377"/>
      <c r="B3" s="377"/>
      <c r="C3" s="377"/>
      <c r="D3" s="377"/>
      <c r="E3" s="377"/>
      <c r="F3" s="377"/>
      <c r="G3" s="377"/>
      <c r="H3" s="377"/>
    </row>
    <row r="4" spans="1:8" ht="15" x14ac:dyDescent="0.3">
      <c r="A4" s="377"/>
      <c r="B4" s="377"/>
      <c r="C4" s="377"/>
      <c r="D4" s="377"/>
      <c r="E4" s="377"/>
      <c r="F4" s="377"/>
      <c r="G4" s="377"/>
      <c r="H4" s="377"/>
    </row>
    <row r="5" spans="1:8" ht="15" x14ac:dyDescent="0.3">
      <c r="A5" s="377"/>
      <c r="B5" s="377"/>
      <c r="C5" s="377"/>
      <c r="D5" s="377"/>
      <c r="E5" s="377"/>
      <c r="F5" s="377"/>
      <c r="G5" s="377"/>
      <c r="H5" s="377"/>
    </row>
    <row r="6" spans="1:8" ht="15" x14ac:dyDescent="0.3">
      <c r="A6" s="377"/>
      <c r="B6" s="377"/>
      <c r="C6" s="377"/>
      <c r="D6" s="377"/>
      <c r="E6" s="377"/>
      <c r="F6" s="377"/>
      <c r="G6" s="377"/>
      <c r="H6" s="377"/>
    </row>
    <row r="7" spans="1:8" ht="15" x14ac:dyDescent="0.3">
      <c r="A7" s="377"/>
      <c r="B7" s="377"/>
      <c r="C7" s="377"/>
      <c r="D7" s="377"/>
      <c r="E7" s="377"/>
      <c r="F7" s="377"/>
      <c r="G7" s="377"/>
      <c r="H7" s="377"/>
    </row>
    <row r="8" spans="1:8" ht="15" x14ac:dyDescent="0.3">
      <c r="A8" s="378" t="s">
        <v>45</v>
      </c>
      <c r="B8" s="378"/>
      <c r="C8" s="378"/>
      <c r="D8" s="378"/>
      <c r="E8" s="378"/>
      <c r="F8" s="378"/>
      <c r="G8" s="378"/>
      <c r="H8" s="378"/>
    </row>
    <row r="9" spans="1:8" ht="15" x14ac:dyDescent="0.3">
      <c r="A9" s="378"/>
      <c r="B9" s="378"/>
      <c r="C9" s="378"/>
      <c r="D9" s="378"/>
      <c r="E9" s="378"/>
      <c r="F9" s="378"/>
      <c r="G9" s="378"/>
      <c r="H9" s="378"/>
    </row>
    <row r="10" spans="1:8" ht="15" x14ac:dyDescent="0.3">
      <c r="A10" s="378"/>
      <c r="B10" s="378"/>
      <c r="C10" s="378"/>
      <c r="D10" s="378"/>
      <c r="E10" s="378"/>
      <c r="F10" s="378"/>
      <c r="G10" s="378"/>
      <c r="H10" s="378"/>
    </row>
    <row r="11" spans="1:8" ht="15" x14ac:dyDescent="0.3">
      <c r="A11" s="378"/>
      <c r="B11" s="378"/>
      <c r="C11" s="378"/>
      <c r="D11" s="378"/>
      <c r="E11" s="378"/>
      <c r="F11" s="378"/>
      <c r="G11" s="378"/>
      <c r="H11" s="378"/>
    </row>
    <row r="12" spans="1:8" ht="15" x14ac:dyDescent="0.3">
      <c r="A12" s="378"/>
      <c r="B12" s="378"/>
      <c r="C12" s="378"/>
      <c r="D12" s="378"/>
      <c r="E12" s="378"/>
      <c r="F12" s="378"/>
      <c r="G12" s="378"/>
      <c r="H12" s="378"/>
    </row>
    <row r="13" spans="1:8" ht="15" x14ac:dyDescent="0.3">
      <c r="A13" s="378"/>
      <c r="B13" s="378"/>
      <c r="C13" s="378"/>
      <c r="D13" s="378"/>
      <c r="E13" s="378"/>
      <c r="F13" s="378"/>
      <c r="G13" s="378"/>
      <c r="H13" s="378"/>
    </row>
    <row r="14" spans="1:8" ht="15" x14ac:dyDescent="0.3">
      <c r="A14" s="378"/>
      <c r="B14" s="378"/>
      <c r="C14" s="378"/>
      <c r="D14" s="378"/>
      <c r="E14" s="378"/>
      <c r="F14" s="378"/>
      <c r="G14" s="378"/>
      <c r="H14" s="378"/>
    </row>
    <row r="15" spans="1:8" ht="19.5" customHeight="1" thickBot="1" x14ac:dyDescent="0.35"/>
    <row r="16" spans="1:8" ht="19.5" customHeight="1" thickBot="1" x14ac:dyDescent="0.35">
      <c r="A16" s="379" t="s">
        <v>26</v>
      </c>
      <c r="B16" s="380"/>
      <c r="C16" s="380"/>
      <c r="D16" s="380"/>
      <c r="E16" s="380"/>
      <c r="F16" s="380"/>
      <c r="G16" s="380"/>
      <c r="H16" s="381"/>
    </row>
    <row r="17" spans="1:13" ht="20.25" customHeight="1" x14ac:dyDescent="0.3">
      <c r="A17" s="382" t="s">
        <v>46</v>
      </c>
      <c r="B17" s="382"/>
      <c r="C17" s="382"/>
      <c r="D17" s="382"/>
      <c r="E17" s="382"/>
      <c r="F17" s="382"/>
      <c r="G17" s="382"/>
      <c r="H17" s="382"/>
    </row>
    <row r="18" spans="1:13" ht="26.25" customHeight="1" x14ac:dyDescent="0.3">
      <c r="A18" s="123" t="s">
        <v>28</v>
      </c>
      <c r="B18" s="376" t="s">
        <v>4</v>
      </c>
      <c r="C18" s="376"/>
      <c r="D18" s="124"/>
      <c r="E18" s="124"/>
    </row>
    <row r="19" spans="1:13" ht="26.25" customHeight="1" x14ac:dyDescent="0.3">
      <c r="A19" s="123" t="s">
        <v>29</v>
      </c>
      <c r="B19" s="125" t="s">
        <v>6</v>
      </c>
      <c r="C19" s="126">
        <v>11</v>
      </c>
    </row>
    <row r="20" spans="1:13" ht="26.25" customHeight="1" x14ac:dyDescent="0.3">
      <c r="A20" s="123" t="s">
        <v>30</v>
      </c>
      <c r="B20" s="125" t="s">
        <v>98</v>
      </c>
    </row>
    <row r="21" spans="1:13" ht="26.25" customHeight="1" x14ac:dyDescent="0.3">
      <c r="A21" s="123" t="s">
        <v>31</v>
      </c>
      <c r="B21" s="127" t="s">
        <v>100</v>
      </c>
      <c r="C21" s="128"/>
      <c r="D21" s="128"/>
      <c r="E21" s="128"/>
      <c r="F21" s="128"/>
      <c r="G21" s="128"/>
      <c r="H21" s="128"/>
    </row>
    <row r="22" spans="1:13" ht="26.25" customHeight="1" x14ac:dyDescent="0.3">
      <c r="A22" s="123" t="s">
        <v>32</v>
      </c>
      <c r="B22" s="129"/>
    </row>
    <row r="23" spans="1:13" ht="26.25" customHeight="1" x14ac:dyDescent="0.3">
      <c r="A23" s="123" t="s">
        <v>33</v>
      </c>
      <c r="B23" s="129"/>
    </row>
    <row r="24" spans="1:13" ht="18.75" x14ac:dyDescent="0.3">
      <c r="A24" s="123"/>
      <c r="B24" s="130"/>
    </row>
    <row r="25" spans="1:13" ht="18.75" x14ac:dyDescent="0.3">
      <c r="A25" s="131" t="s">
        <v>1</v>
      </c>
      <c r="B25" s="130"/>
    </row>
    <row r="26" spans="1:13" ht="26.25" customHeight="1" x14ac:dyDescent="0.3">
      <c r="A26" s="132" t="s">
        <v>3</v>
      </c>
      <c r="B26" s="376" t="s">
        <v>98</v>
      </c>
      <c r="C26" s="376"/>
    </row>
    <row r="27" spans="1:13" ht="26.25" customHeight="1" x14ac:dyDescent="0.3">
      <c r="A27" s="133" t="s">
        <v>47</v>
      </c>
      <c r="B27" s="383" t="s">
        <v>99</v>
      </c>
      <c r="C27" s="383"/>
    </row>
    <row r="28" spans="1:13" ht="27" customHeight="1" thickBot="1" x14ac:dyDescent="0.35">
      <c r="A28" s="133" t="s">
        <v>5</v>
      </c>
      <c r="B28" s="134">
        <v>98.9</v>
      </c>
    </row>
    <row r="29" spans="1:13" s="138" customFormat="1" ht="15.75" customHeight="1" thickBot="1" x14ac:dyDescent="0.3">
      <c r="A29" s="133" t="s">
        <v>48</v>
      </c>
      <c r="B29" s="135">
        <v>0</v>
      </c>
      <c r="C29" s="384" t="s">
        <v>109</v>
      </c>
      <c r="D29" s="385"/>
      <c r="E29" s="385"/>
      <c r="F29" s="385"/>
      <c r="G29" s="386"/>
      <c r="H29" s="136"/>
      <c r="I29" s="137"/>
      <c r="J29" s="137"/>
      <c r="K29" s="137"/>
    </row>
    <row r="30" spans="1:13" s="138" customFormat="1" ht="19.5" customHeight="1" thickBot="1" x14ac:dyDescent="0.3">
      <c r="A30" s="133" t="s">
        <v>50</v>
      </c>
      <c r="B30" s="139">
        <f>B28-B29</f>
        <v>98.9</v>
      </c>
      <c r="C30" s="140"/>
      <c r="D30" s="140"/>
      <c r="E30" s="140"/>
      <c r="F30" s="140"/>
      <c r="G30" s="141"/>
      <c r="H30" s="136"/>
      <c r="I30" s="137"/>
      <c r="J30" s="137"/>
      <c r="K30" s="137"/>
    </row>
    <row r="31" spans="1:13" s="138" customFormat="1" ht="27" customHeight="1" thickBot="1" x14ac:dyDescent="0.3">
      <c r="A31" s="133" t="s">
        <v>51</v>
      </c>
      <c r="B31" s="142">
        <v>1</v>
      </c>
      <c r="C31" s="387" t="s">
        <v>52</v>
      </c>
      <c r="D31" s="388"/>
      <c r="E31" s="388"/>
      <c r="F31" s="388"/>
      <c r="G31" s="388"/>
      <c r="H31" s="389"/>
      <c r="I31" s="137"/>
      <c r="J31" s="137"/>
      <c r="K31" s="137"/>
    </row>
    <row r="32" spans="1:13" s="138" customFormat="1" ht="27" customHeight="1" thickBot="1" x14ac:dyDescent="0.3">
      <c r="A32" s="133" t="s">
        <v>53</v>
      </c>
      <c r="B32" s="142">
        <v>1</v>
      </c>
      <c r="C32" s="387" t="s">
        <v>54</v>
      </c>
      <c r="D32" s="388"/>
      <c r="E32" s="388"/>
      <c r="F32" s="388"/>
      <c r="G32" s="388"/>
      <c r="H32" s="389"/>
      <c r="I32" s="137"/>
      <c r="J32" s="137"/>
      <c r="K32" s="143"/>
      <c r="L32" s="143"/>
      <c r="M32" s="144"/>
    </row>
    <row r="33" spans="1:13" s="138" customFormat="1" ht="17.25" customHeight="1" x14ac:dyDescent="0.25">
      <c r="A33" s="133"/>
      <c r="B33" s="145"/>
      <c r="C33" s="146"/>
      <c r="D33" s="146"/>
      <c r="E33" s="146"/>
      <c r="F33" s="146"/>
      <c r="G33" s="146"/>
      <c r="H33" s="146"/>
      <c r="I33" s="137"/>
      <c r="J33" s="137"/>
      <c r="K33" s="143"/>
      <c r="L33" s="143"/>
      <c r="M33" s="144"/>
    </row>
    <row r="34" spans="1:13" s="138" customFormat="1" ht="18.75" x14ac:dyDescent="0.25">
      <c r="A34" s="133" t="s">
        <v>55</v>
      </c>
      <c r="B34" s="147">
        <f>B31/B32</f>
        <v>1</v>
      </c>
      <c r="C34" s="126" t="s">
        <v>56</v>
      </c>
      <c r="D34" s="126"/>
      <c r="E34" s="126"/>
      <c r="F34" s="126"/>
      <c r="G34" s="126"/>
      <c r="H34" s="136"/>
      <c r="I34" s="137"/>
      <c r="J34" s="137"/>
      <c r="K34" s="143"/>
      <c r="L34" s="143"/>
      <c r="M34" s="144"/>
    </row>
    <row r="35" spans="1:13" s="138" customFormat="1" ht="19.5" customHeight="1" thickBot="1" x14ac:dyDescent="0.3">
      <c r="A35" s="133"/>
      <c r="B35" s="139"/>
      <c r="C35" s="136"/>
      <c r="D35" s="136"/>
      <c r="E35" s="136"/>
      <c r="F35" s="136"/>
      <c r="G35" s="126"/>
      <c r="H35" s="136"/>
      <c r="I35" s="137"/>
      <c r="J35" s="137"/>
      <c r="K35" s="143"/>
      <c r="L35" s="143"/>
      <c r="M35" s="144"/>
    </row>
    <row r="36" spans="1:13" s="138" customFormat="1" ht="27" customHeight="1" thickBot="1" x14ac:dyDescent="0.3">
      <c r="A36" s="148" t="s">
        <v>110</v>
      </c>
      <c r="B36" s="149">
        <v>50</v>
      </c>
      <c r="C36" s="126"/>
      <c r="D36" s="390" t="s">
        <v>57</v>
      </c>
      <c r="E36" s="391"/>
      <c r="F36" s="390" t="s">
        <v>58</v>
      </c>
      <c r="G36" s="392"/>
      <c r="H36" s="136"/>
      <c r="I36" s="137"/>
      <c r="J36" s="137"/>
      <c r="K36" s="143"/>
      <c r="L36" s="143"/>
      <c r="M36" s="144"/>
    </row>
    <row r="37" spans="1:13" s="138" customFormat="1" ht="26.25" customHeight="1" x14ac:dyDescent="0.25">
      <c r="A37" s="150" t="s">
        <v>111</v>
      </c>
      <c r="B37" s="151">
        <v>5</v>
      </c>
      <c r="C37" s="152" t="s">
        <v>59</v>
      </c>
      <c r="D37" s="153" t="s">
        <v>60</v>
      </c>
      <c r="E37" s="154" t="s">
        <v>61</v>
      </c>
      <c r="F37" s="153" t="s">
        <v>60</v>
      </c>
      <c r="G37" s="155" t="s">
        <v>61</v>
      </c>
      <c r="H37" s="136"/>
      <c r="I37" s="137"/>
      <c r="J37" s="137"/>
      <c r="K37" s="143"/>
      <c r="L37" s="143"/>
      <c r="M37" s="144"/>
    </row>
    <row r="38" spans="1:13" s="138" customFormat="1" ht="26.25" customHeight="1" x14ac:dyDescent="0.25">
      <c r="A38" s="150" t="s">
        <v>112</v>
      </c>
      <c r="B38" s="151">
        <v>100</v>
      </c>
      <c r="C38" s="156">
        <v>1</v>
      </c>
      <c r="D38" s="157">
        <v>42685284</v>
      </c>
      <c r="E38" s="158">
        <f>IF(ISBLANK(D38),"-",$D$48/$D$45*D38)</f>
        <v>41178337.020282134</v>
      </c>
      <c r="F38" s="157">
        <v>42333710</v>
      </c>
      <c r="G38" s="159">
        <f>IF(ISBLANK(F38),"-",$D$48/$F$45*F38)</f>
        <v>40741996.58468014</v>
      </c>
      <c r="H38" s="136"/>
      <c r="I38" s="137"/>
      <c r="J38" s="137"/>
      <c r="K38" s="143"/>
      <c r="L38" s="143"/>
      <c r="M38" s="144"/>
    </row>
    <row r="39" spans="1:13" s="138" customFormat="1" ht="26.25" customHeight="1" x14ac:dyDescent="0.25">
      <c r="A39" s="150" t="s">
        <v>113</v>
      </c>
      <c r="B39" s="151">
        <v>1</v>
      </c>
      <c r="C39" s="160">
        <v>2</v>
      </c>
      <c r="D39" s="161">
        <v>42555454</v>
      </c>
      <c r="E39" s="162">
        <f>IF(ISBLANK(D39),"-",$D$48/$D$45*D39)</f>
        <v>41053090.49514848</v>
      </c>
      <c r="F39" s="161">
        <v>42341071</v>
      </c>
      <c r="G39" s="163">
        <f>IF(ISBLANK(F39),"-",$D$48/$F$45*F39)</f>
        <v>40749080.817006104</v>
      </c>
      <c r="H39" s="136"/>
      <c r="I39" s="137"/>
      <c r="J39" s="137"/>
      <c r="K39" s="143"/>
      <c r="L39" s="143"/>
      <c r="M39" s="144"/>
    </row>
    <row r="40" spans="1:13" ht="26.25" customHeight="1" x14ac:dyDescent="0.3">
      <c r="A40" s="150" t="s">
        <v>114</v>
      </c>
      <c r="B40" s="151">
        <v>1</v>
      </c>
      <c r="C40" s="160">
        <v>3</v>
      </c>
      <c r="D40" s="161">
        <v>42560679</v>
      </c>
      <c r="E40" s="162">
        <f>IF(ISBLANK(D40),"-",$D$48/$D$45*D40)</f>
        <v>41058131.033497266</v>
      </c>
      <c r="F40" s="161">
        <v>42404259</v>
      </c>
      <c r="G40" s="163">
        <f>IF(ISBLANK(F40),"-",$D$48/$F$45*F40)</f>
        <v>40809892.999075495</v>
      </c>
      <c r="K40" s="143"/>
      <c r="L40" s="143"/>
      <c r="M40" s="164"/>
    </row>
    <row r="41" spans="1:13" ht="26.25" customHeight="1" x14ac:dyDescent="0.3">
      <c r="A41" s="150" t="s">
        <v>115</v>
      </c>
      <c r="B41" s="151">
        <v>1</v>
      </c>
      <c r="C41" s="165">
        <v>4</v>
      </c>
      <c r="D41" s="166"/>
      <c r="E41" s="167" t="str">
        <f>IF(ISBLANK(D41),"-",$D$48/$D$45*D41)</f>
        <v>-</v>
      </c>
      <c r="F41" s="166"/>
      <c r="G41" s="168" t="str">
        <f>IF(ISBLANK(F41),"-",$D$48/$F$45*F41)</f>
        <v>-</v>
      </c>
      <c r="K41" s="143"/>
      <c r="L41" s="143"/>
      <c r="M41" s="164"/>
    </row>
    <row r="42" spans="1:13" ht="27" customHeight="1" thickBot="1" x14ac:dyDescent="0.35">
      <c r="A42" s="150" t="s">
        <v>116</v>
      </c>
      <c r="B42" s="151">
        <v>1</v>
      </c>
      <c r="C42" s="133" t="s">
        <v>62</v>
      </c>
      <c r="D42" s="169">
        <f>AVERAGE(D38:D41)</f>
        <v>42600472.333333336</v>
      </c>
      <c r="E42" s="170">
        <f>AVERAGE(E38:E41)</f>
        <v>41096519.516309291</v>
      </c>
      <c r="F42" s="171">
        <f>AVERAGE(F38:F41)</f>
        <v>42359680</v>
      </c>
      <c r="G42" s="172">
        <f>AVERAGE(G38:G41)</f>
        <v>40766990.133587249</v>
      </c>
      <c r="H42" s="173"/>
    </row>
    <row r="43" spans="1:13" ht="26.25" customHeight="1" x14ac:dyDescent="0.3">
      <c r="A43" s="150" t="s">
        <v>117</v>
      </c>
      <c r="B43" s="151">
        <v>1</v>
      </c>
      <c r="C43" s="174" t="s">
        <v>63</v>
      </c>
      <c r="D43" s="175">
        <v>83.85</v>
      </c>
      <c r="E43" s="126"/>
      <c r="F43" s="176">
        <v>84.05</v>
      </c>
      <c r="H43" s="173"/>
    </row>
    <row r="44" spans="1:13" ht="26.25" customHeight="1" x14ac:dyDescent="0.3">
      <c r="A44" s="150" t="s">
        <v>118</v>
      </c>
      <c r="B44" s="151">
        <v>1</v>
      </c>
      <c r="C44" s="177" t="s">
        <v>64</v>
      </c>
      <c r="D44" s="178">
        <f>D43*$B$34</f>
        <v>83.85</v>
      </c>
      <c r="E44" s="160"/>
      <c r="F44" s="179">
        <f>F43*$B$34</f>
        <v>84.05</v>
      </c>
      <c r="H44" s="173"/>
    </row>
    <row r="45" spans="1:13" ht="19.5" customHeight="1" thickBot="1" x14ac:dyDescent="0.35">
      <c r="A45" s="150" t="s">
        <v>65</v>
      </c>
      <c r="B45" s="180">
        <f>(B44/B43)*(B42/B41)*(B40/B39)*(B38/B37)*B36</f>
        <v>1000</v>
      </c>
      <c r="C45" s="177" t="s">
        <v>66</v>
      </c>
      <c r="D45" s="181">
        <f>D44*$B$30/100</f>
        <v>82.92765</v>
      </c>
      <c r="E45" s="182"/>
      <c r="F45" s="183">
        <f>F44*$B$30/100</f>
        <v>83.125450000000001</v>
      </c>
      <c r="H45" s="173"/>
    </row>
    <row r="46" spans="1:13" ht="19.5" customHeight="1" thickBot="1" x14ac:dyDescent="0.35">
      <c r="A46" s="393" t="s">
        <v>67</v>
      </c>
      <c r="B46" s="394"/>
      <c r="C46" s="177" t="s">
        <v>68</v>
      </c>
      <c r="D46" s="178">
        <f>D45/$B$45</f>
        <v>8.2927650000000006E-2</v>
      </c>
      <c r="E46" s="182"/>
      <c r="F46" s="184">
        <f>F45/$B$45</f>
        <v>8.3125450000000004E-2</v>
      </c>
      <c r="H46" s="173"/>
    </row>
    <row r="47" spans="1:13" ht="27" customHeight="1" thickBot="1" x14ac:dyDescent="0.35">
      <c r="A47" s="395"/>
      <c r="B47" s="396"/>
      <c r="C47" s="185" t="s">
        <v>119</v>
      </c>
      <c r="D47" s="186">
        <v>0.08</v>
      </c>
      <c r="F47" s="187"/>
      <c r="H47" s="173"/>
    </row>
    <row r="48" spans="1:13" ht="18.75" x14ac:dyDescent="0.3">
      <c r="C48" s="188" t="s">
        <v>69</v>
      </c>
      <c r="D48" s="181">
        <f>D47*$B$45</f>
        <v>80</v>
      </c>
      <c r="F48" s="187"/>
      <c r="H48" s="173"/>
    </row>
    <row r="49" spans="1:11" ht="19.5" customHeight="1" thickBot="1" x14ac:dyDescent="0.35">
      <c r="C49" s="189" t="s">
        <v>70</v>
      </c>
      <c r="D49" s="190">
        <f>D48/B34</f>
        <v>80</v>
      </c>
      <c r="F49" s="162"/>
      <c r="H49" s="173"/>
    </row>
    <row r="50" spans="1:11" ht="18.75" x14ac:dyDescent="0.3">
      <c r="C50" s="191" t="s">
        <v>71</v>
      </c>
      <c r="D50" s="192">
        <f>AVERAGE(E38:E41,G38:G41)</f>
        <v>40931754.824948274</v>
      </c>
      <c r="F50" s="162"/>
      <c r="H50" s="173"/>
    </row>
    <row r="51" spans="1:11" ht="18.75" x14ac:dyDescent="0.3">
      <c r="C51" s="193" t="s">
        <v>72</v>
      </c>
      <c r="D51" s="194">
        <f>STDEV(E38:E41,G38:G41)/D50</f>
        <v>4.5800541828687437E-3</v>
      </c>
      <c r="F51" s="162"/>
    </row>
    <row r="52" spans="1:11" ht="19.5" customHeight="1" thickBot="1" x14ac:dyDescent="0.35">
      <c r="C52" s="195" t="s">
        <v>19</v>
      </c>
      <c r="D52" s="196">
        <f>COUNT(E38:E41,G38:G41)</f>
        <v>6</v>
      </c>
      <c r="F52" s="162"/>
    </row>
    <row r="54" spans="1:11" ht="18.75" x14ac:dyDescent="0.3">
      <c r="A54" s="197" t="s">
        <v>1</v>
      </c>
      <c r="B54" s="198" t="s">
        <v>73</v>
      </c>
    </row>
    <row r="55" spans="1:11" ht="18.75" x14ac:dyDescent="0.3">
      <c r="A55" s="126" t="s">
        <v>74</v>
      </c>
      <c r="B55" s="199" t="str">
        <f>B21</f>
        <v>Each capsule contains Lopinavir 40 mg, Ritonavir 10 mg</v>
      </c>
    </row>
    <row r="56" spans="1:11" ht="26.25" customHeight="1" x14ac:dyDescent="0.3">
      <c r="A56" s="199" t="s">
        <v>120</v>
      </c>
      <c r="B56" s="134">
        <v>40</v>
      </c>
      <c r="C56" s="126" t="str">
        <f>B20</f>
        <v>Lopinavir</v>
      </c>
      <c r="H56" s="160"/>
    </row>
    <row r="57" spans="1:11" ht="18.75" x14ac:dyDescent="0.3">
      <c r="A57" s="199" t="s">
        <v>121</v>
      </c>
      <c r="B57" s="200">
        <f>Uniformity!D43</f>
        <v>218.82000000000002</v>
      </c>
      <c r="H57" s="160"/>
    </row>
    <row r="58" spans="1:11" ht="19.5" customHeight="1" thickBot="1" x14ac:dyDescent="0.35">
      <c r="H58" s="160"/>
    </row>
    <row r="59" spans="1:11" s="138" customFormat="1" ht="27" customHeight="1" thickBot="1" x14ac:dyDescent="0.3">
      <c r="A59" s="148" t="s">
        <v>122</v>
      </c>
      <c r="B59" s="149">
        <v>50</v>
      </c>
      <c r="C59" s="126"/>
      <c r="D59" s="201" t="s">
        <v>75</v>
      </c>
      <c r="E59" s="202" t="s">
        <v>59</v>
      </c>
      <c r="F59" s="202" t="s">
        <v>60</v>
      </c>
      <c r="G59" s="202" t="s">
        <v>76</v>
      </c>
      <c r="H59" s="203" t="s">
        <v>77</v>
      </c>
      <c r="K59" s="137"/>
    </row>
    <row r="60" spans="1:11" s="138" customFormat="1" ht="26.25" customHeight="1" x14ac:dyDescent="0.25">
      <c r="A60" s="150" t="s">
        <v>123</v>
      </c>
      <c r="B60" s="151">
        <v>5</v>
      </c>
      <c r="C60" s="397" t="s">
        <v>78</v>
      </c>
      <c r="D60" s="400">
        <v>213.4</v>
      </c>
      <c r="E60" s="204">
        <v>1</v>
      </c>
      <c r="F60" s="205">
        <v>40982035</v>
      </c>
      <c r="G60" s="206">
        <f>IF(ISBLANK(F60),"-",(F60/$D$50*$D$47*$B$68)*($B$57/$D$60))</f>
        <v>41.066316099213481</v>
      </c>
      <c r="H60" s="207">
        <f t="shared" ref="H60:H71" si="0">IF(ISBLANK(F60),"-",G60/$B$56)</f>
        <v>1.0266579024803371</v>
      </c>
      <c r="K60" s="137"/>
    </row>
    <row r="61" spans="1:11" s="138" customFormat="1" ht="26.25" customHeight="1" x14ac:dyDescent="0.25">
      <c r="A61" s="150" t="s">
        <v>124</v>
      </c>
      <c r="B61" s="151">
        <v>50</v>
      </c>
      <c r="C61" s="398"/>
      <c r="D61" s="401"/>
      <c r="E61" s="208">
        <v>2</v>
      </c>
      <c r="F61" s="209">
        <v>41087267</v>
      </c>
      <c r="G61" s="210">
        <f>IF(ISBLANK(F61),"-",(F61/$D$50*$D$47*$B$68)*($B$57/$D$60))</f>
        <v>41.171764512786716</v>
      </c>
      <c r="H61" s="211">
        <f t="shared" si="0"/>
        <v>1.029294112819668</v>
      </c>
      <c r="K61" s="137"/>
    </row>
    <row r="62" spans="1:11" s="138" customFormat="1" ht="26.25" customHeight="1" x14ac:dyDescent="0.25">
      <c r="A62" s="150" t="s">
        <v>125</v>
      </c>
      <c r="B62" s="151">
        <v>1</v>
      </c>
      <c r="C62" s="398"/>
      <c r="D62" s="401"/>
      <c r="E62" s="208">
        <v>3</v>
      </c>
      <c r="F62" s="209">
        <v>41023158</v>
      </c>
      <c r="G62" s="210">
        <f>IF(ISBLANK(F62),"-",(F62/$D$50*$D$47*$B$68)*($B$57/$D$60))</f>
        <v>41.107523670212537</v>
      </c>
      <c r="H62" s="211">
        <f t="shared" si="0"/>
        <v>1.0276880917553135</v>
      </c>
      <c r="K62" s="137"/>
    </row>
    <row r="63" spans="1:11" ht="27" customHeight="1" thickBot="1" x14ac:dyDescent="0.35">
      <c r="A63" s="150" t="s">
        <v>126</v>
      </c>
      <c r="B63" s="151">
        <v>1</v>
      </c>
      <c r="C63" s="399"/>
      <c r="D63" s="402"/>
      <c r="E63" s="212">
        <v>4</v>
      </c>
      <c r="F63" s="213"/>
      <c r="G63" s="210" t="str">
        <f>IF(ISBLANK(F63),"-",(F63/$D$50*$D$47*$B$68)*($B$57/$D$60))</f>
        <v>-</v>
      </c>
      <c r="H63" s="211" t="str">
        <f t="shared" si="0"/>
        <v>-</v>
      </c>
    </row>
    <row r="64" spans="1:11" ht="26.25" customHeight="1" x14ac:dyDescent="0.3">
      <c r="A64" s="150" t="s">
        <v>127</v>
      </c>
      <c r="B64" s="151">
        <v>1</v>
      </c>
      <c r="C64" s="397" t="s">
        <v>79</v>
      </c>
      <c r="D64" s="400">
        <v>210.59</v>
      </c>
      <c r="E64" s="204">
        <v>1</v>
      </c>
      <c r="F64" s="205">
        <v>40409494</v>
      </c>
      <c r="G64" s="214">
        <f>IF(ISBLANK(F64),"-",(F64/$D$50*$D$47*$B$68)*($B$57/$D$64))</f>
        <v>41.032909149937872</v>
      </c>
      <c r="H64" s="215">
        <f t="shared" si="0"/>
        <v>1.0258227287484467</v>
      </c>
    </row>
    <row r="65" spans="1:8" ht="26.25" customHeight="1" x14ac:dyDescent="0.3">
      <c r="A65" s="150" t="s">
        <v>128</v>
      </c>
      <c r="B65" s="151">
        <v>1</v>
      </c>
      <c r="C65" s="398"/>
      <c r="D65" s="401"/>
      <c r="E65" s="208">
        <v>2</v>
      </c>
      <c r="F65" s="209">
        <v>40525273</v>
      </c>
      <c r="G65" s="216">
        <f>IF(ISBLANK(F65),"-",(F65/$D$50*$D$47*$B$68)*($B$57/$D$64))</f>
        <v>41.15047432381683</v>
      </c>
      <c r="H65" s="217">
        <f t="shared" si="0"/>
        <v>1.0287618580954208</v>
      </c>
    </row>
    <row r="66" spans="1:8" ht="26.25" customHeight="1" x14ac:dyDescent="0.3">
      <c r="A66" s="150" t="s">
        <v>129</v>
      </c>
      <c r="B66" s="151">
        <v>1</v>
      </c>
      <c r="C66" s="398"/>
      <c r="D66" s="401"/>
      <c r="E66" s="208">
        <v>3</v>
      </c>
      <c r="F66" s="209">
        <v>40513047</v>
      </c>
      <c r="G66" s="216">
        <f>IF(ISBLANK(F66),"-",(F66/$D$50*$D$47*$B$68)*($B$57/$D$64))</f>
        <v>41.138059707903381</v>
      </c>
      <c r="H66" s="217">
        <f t="shared" si="0"/>
        <v>1.0284514926975845</v>
      </c>
    </row>
    <row r="67" spans="1:8" ht="27" customHeight="1" thickBot="1" x14ac:dyDescent="0.35">
      <c r="A67" s="150" t="s">
        <v>130</v>
      </c>
      <c r="B67" s="151">
        <v>1</v>
      </c>
      <c r="C67" s="399"/>
      <c r="D67" s="402"/>
      <c r="E67" s="212">
        <v>4</v>
      </c>
      <c r="F67" s="213"/>
      <c r="G67" s="218" t="str">
        <f>IF(ISBLANK(F67),"-",(F67/$D$50*$D$47*$B$68)*($B$57/$D$64))</f>
        <v>-</v>
      </c>
      <c r="H67" s="219" t="str">
        <f t="shared" si="0"/>
        <v>-</v>
      </c>
    </row>
    <row r="68" spans="1:8" ht="21.75" customHeight="1" x14ac:dyDescent="0.3">
      <c r="A68" s="150" t="s">
        <v>80</v>
      </c>
      <c r="B68" s="180">
        <f>(B67/B66)*(B65/B64)*(B63/B62)*(B61/B60)*B59</f>
        <v>500</v>
      </c>
      <c r="C68" s="397" t="s">
        <v>81</v>
      </c>
      <c r="D68" s="400">
        <v>204.5</v>
      </c>
      <c r="E68" s="204">
        <v>1</v>
      </c>
      <c r="F68" s="205">
        <v>39491162</v>
      </c>
      <c r="G68" s="214">
        <f>IF(ISBLANK(F68),"-",(F68/$D$50*$D$47*$B$68)*($B$57/$D$68))</f>
        <v>41.294597873753908</v>
      </c>
      <c r="H68" s="211">
        <f t="shared" si="0"/>
        <v>1.0323649468438476</v>
      </c>
    </row>
    <row r="69" spans="1:8" ht="21.75" customHeight="1" thickBot="1" x14ac:dyDescent="0.35">
      <c r="A69" s="220" t="s">
        <v>131</v>
      </c>
      <c r="B69" s="221">
        <f>D47*B68/B56*B57</f>
        <v>218.82000000000002</v>
      </c>
      <c r="C69" s="398"/>
      <c r="D69" s="401"/>
      <c r="E69" s="208">
        <v>2</v>
      </c>
      <c r="F69" s="209">
        <v>39427075</v>
      </c>
      <c r="G69" s="216">
        <f>IF(ISBLANK(F69),"-",(F69/$D$50*$D$47*$B$68)*($B$57/$D$68))</f>
        <v>41.227584224119212</v>
      </c>
      <c r="H69" s="211">
        <f t="shared" si="0"/>
        <v>1.0306896056029804</v>
      </c>
    </row>
    <row r="70" spans="1:8" ht="22.5" customHeight="1" x14ac:dyDescent="0.3">
      <c r="A70" s="393" t="s">
        <v>67</v>
      </c>
      <c r="B70" s="394"/>
      <c r="C70" s="398"/>
      <c r="D70" s="401"/>
      <c r="E70" s="208">
        <v>3</v>
      </c>
      <c r="F70" s="209">
        <v>39400860</v>
      </c>
      <c r="G70" s="216">
        <f>IF(ISBLANK(F70),"-",(F70/$D$50*$D$47*$B$68)*($B$57/$D$68))</f>
        <v>41.200172068375075</v>
      </c>
      <c r="H70" s="211">
        <f t="shared" si="0"/>
        <v>1.030004301709377</v>
      </c>
    </row>
    <row r="71" spans="1:8" ht="21.75" customHeight="1" thickBot="1" x14ac:dyDescent="0.35">
      <c r="A71" s="395"/>
      <c r="B71" s="396"/>
      <c r="C71" s="403"/>
      <c r="D71" s="402"/>
      <c r="E71" s="212">
        <v>4</v>
      </c>
      <c r="F71" s="213"/>
      <c r="G71" s="218" t="str">
        <f>IF(ISBLANK(F71),"-",(F71/$D$50*$D$47*$B$68)*($B$57/$D$68))</f>
        <v>-</v>
      </c>
      <c r="H71" s="222" t="str">
        <f t="shared" si="0"/>
        <v>-</v>
      </c>
    </row>
    <row r="72" spans="1:8" ht="26.25" customHeight="1" x14ac:dyDescent="0.3">
      <c r="A72" s="160"/>
      <c r="B72" s="160"/>
      <c r="C72" s="160"/>
      <c r="D72" s="160"/>
      <c r="E72" s="160"/>
      <c r="F72" s="160"/>
      <c r="G72" s="223" t="s">
        <v>62</v>
      </c>
      <c r="H72" s="224">
        <f>AVERAGE(H60:H71)</f>
        <v>1.0288594489725529</v>
      </c>
    </row>
    <row r="73" spans="1:8" ht="26.25" customHeight="1" x14ac:dyDescent="0.3">
      <c r="C73" s="160"/>
      <c r="D73" s="160"/>
      <c r="E73" s="160"/>
      <c r="F73" s="160"/>
      <c r="G73" s="193" t="s">
        <v>72</v>
      </c>
      <c r="H73" s="225">
        <f>STDEV(H60:H71)/H72</f>
        <v>1.9666718245947151E-3</v>
      </c>
    </row>
    <row r="74" spans="1:8" ht="27" customHeight="1" thickBot="1" x14ac:dyDescent="0.35">
      <c r="A74" s="160"/>
      <c r="B74" s="160"/>
      <c r="C74" s="160"/>
      <c r="D74" s="160"/>
      <c r="E74" s="182"/>
      <c r="F74" s="160"/>
      <c r="G74" s="195" t="s">
        <v>19</v>
      </c>
      <c r="H74" s="226">
        <f>COUNT(H60:H71)</f>
        <v>9</v>
      </c>
    </row>
    <row r="75" spans="1:8" ht="18.75" x14ac:dyDescent="0.3">
      <c r="A75" s="160"/>
      <c r="B75" s="160"/>
      <c r="C75" s="160"/>
      <c r="D75" s="160"/>
      <c r="E75" s="182"/>
      <c r="F75" s="160"/>
      <c r="G75" s="133"/>
      <c r="H75" s="139"/>
    </row>
    <row r="76" spans="1:8" ht="26.25" customHeight="1" x14ac:dyDescent="0.3">
      <c r="A76" s="132" t="s">
        <v>132</v>
      </c>
      <c r="B76" s="133" t="s">
        <v>82</v>
      </c>
      <c r="C76" s="398" t="str">
        <f>B20</f>
        <v>Lopinavir</v>
      </c>
      <c r="D76" s="398"/>
      <c r="E76" s="126" t="s">
        <v>83</v>
      </c>
      <c r="F76" s="126"/>
      <c r="G76" s="227">
        <f>H72</f>
        <v>1.0288594489725529</v>
      </c>
      <c r="H76" s="139"/>
    </row>
    <row r="77" spans="1:8" ht="18.75" x14ac:dyDescent="0.3">
      <c r="A77" s="131" t="s">
        <v>84</v>
      </c>
      <c r="B77" s="131" t="s">
        <v>85</v>
      </c>
    </row>
    <row r="78" spans="1:8" ht="18.75" x14ac:dyDescent="0.3">
      <c r="A78" s="131"/>
      <c r="B78" s="131"/>
    </row>
    <row r="79" spans="1:8" ht="26.25" customHeight="1" x14ac:dyDescent="0.3">
      <c r="A79" s="132" t="s">
        <v>3</v>
      </c>
      <c r="B79" s="376" t="str">
        <f>B26</f>
        <v>Lopinavir</v>
      </c>
      <c r="C79" s="376"/>
    </row>
    <row r="80" spans="1:8" ht="26.25" customHeight="1" x14ac:dyDescent="0.3">
      <c r="A80" s="133" t="s">
        <v>47</v>
      </c>
      <c r="B80" s="383" t="str">
        <f>B27</f>
        <v>L20-3</v>
      </c>
      <c r="C80" s="383"/>
    </row>
    <row r="81" spans="1:11" ht="27" customHeight="1" thickBot="1" x14ac:dyDescent="0.35">
      <c r="A81" s="133" t="s">
        <v>5</v>
      </c>
      <c r="B81" s="134">
        <f>B28</f>
        <v>98.9</v>
      </c>
    </row>
    <row r="82" spans="1:11" s="138" customFormat="1" ht="27" customHeight="1" thickBot="1" x14ac:dyDescent="0.3">
      <c r="A82" s="133" t="s">
        <v>48</v>
      </c>
      <c r="B82" s="134">
        <f>B29</f>
        <v>0</v>
      </c>
      <c r="C82" s="384" t="s">
        <v>109</v>
      </c>
      <c r="D82" s="385"/>
      <c r="E82" s="385"/>
      <c r="F82" s="385"/>
      <c r="G82" s="386"/>
      <c r="H82" s="136"/>
      <c r="I82" s="137"/>
      <c r="J82" s="137"/>
      <c r="K82" s="137"/>
    </row>
    <row r="83" spans="1:11" s="138" customFormat="1" ht="19.5" customHeight="1" thickBot="1" x14ac:dyDescent="0.3">
      <c r="A83" s="133" t="s">
        <v>50</v>
      </c>
      <c r="B83" s="139">
        <f>B81-B82</f>
        <v>98.9</v>
      </c>
      <c r="C83" s="140"/>
      <c r="D83" s="140"/>
      <c r="E83" s="140"/>
      <c r="F83" s="140"/>
      <c r="G83" s="141"/>
      <c r="H83" s="136"/>
      <c r="I83" s="137"/>
      <c r="J83" s="137"/>
      <c r="K83" s="137"/>
    </row>
    <row r="84" spans="1:11" s="138" customFormat="1" ht="27" customHeight="1" thickBot="1" x14ac:dyDescent="0.3">
      <c r="A84" s="133" t="s">
        <v>51</v>
      </c>
      <c r="B84" s="142">
        <v>1</v>
      </c>
      <c r="C84" s="387" t="s">
        <v>52</v>
      </c>
      <c r="D84" s="388"/>
      <c r="E84" s="388"/>
      <c r="F84" s="388"/>
      <c r="G84" s="388"/>
      <c r="H84" s="389"/>
      <c r="I84" s="137"/>
      <c r="J84" s="137"/>
      <c r="K84" s="137"/>
    </row>
    <row r="85" spans="1:11" s="138" customFormat="1" ht="27" customHeight="1" thickBot="1" x14ac:dyDescent="0.3">
      <c r="A85" s="133" t="s">
        <v>53</v>
      </c>
      <c r="B85" s="142">
        <v>1</v>
      </c>
      <c r="C85" s="387" t="s">
        <v>54</v>
      </c>
      <c r="D85" s="388"/>
      <c r="E85" s="388"/>
      <c r="F85" s="388"/>
      <c r="G85" s="388"/>
      <c r="H85" s="389"/>
      <c r="I85" s="137"/>
      <c r="J85" s="137"/>
      <c r="K85" s="137"/>
    </row>
    <row r="86" spans="1:11" s="138" customFormat="1" ht="18.75" x14ac:dyDescent="0.25">
      <c r="A86" s="133"/>
      <c r="B86" s="145"/>
      <c r="C86" s="146"/>
      <c r="D86" s="146"/>
      <c r="E86" s="146"/>
      <c r="F86" s="146"/>
      <c r="G86" s="146"/>
      <c r="H86" s="146"/>
      <c r="I86" s="137"/>
      <c r="J86" s="137"/>
      <c r="K86" s="137"/>
    </row>
    <row r="87" spans="1:11" ht="18.75" x14ac:dyDescent="0.3">
      <c r="A87" s="133" t="s">
        <v>55</v>
      </c>
      <c r="B87" s="147">
        <f>B84/B85</f>
        <v>1</v>
      </c>
      <c r="C87" s="126" t="s">
        <v>56</v>
      </c>
      <c r="H87" s="136"/>
    </row>
    <row r="88" spans="1:11" ht="19.5" customHeight="1" thickBot="1" x14ac:dyDescent="0.35">
      <c r="A88" s="133"/>
      <c r="B88" s="147"/>
      <c r="H88" s="136"/>
    </row>
    <row r="89" spans="1:11" ht="27" customHeight="1" thickBot="1" x14ac:dyDescent="0.35">
      <c r="A89" s="148" t="s">
        <v>110</v>
      </c>
      <c r="B89" s="149">
        <v>50</v>
      </c>
      <c r="D89" s="228" t="s">
        <v>57</v>
      </c>
      <c r="E89" s="229"/>
      <c r="F89" s="390" t="s">
        <v>58</v>
      </c>
      <c r="G89" s="392"/>
    </row>
    <row r="90" spans="1:11" ht="26.25" customHeight="1" x14ac:dyDescent="0.3">
      <c r="A90" s="150" t="s">
        <v>111</v>
      </c>
      <c r="B90" s="151">
        <v>5</v>
      </c>
      <c r="C90" s="152" t="s">
        <v>59</v>
      </c>
      <c r="D90" s="230" t="s">
        <v>60</v>
      </c>
      <c r="E90" s="154" t="s">
        <v>61</v>
      </c>
      <c r="F90" s="230" t="s">
        <v>60</v>
      </c>
      <c r="G90" s="155" t="s">
        <v>61</v>
      </c>
    </row>
    <row r="91" spans="1:11" ht="26.25" customHeight="1" x14ac:dyDescent="0.3">
      <c r="A91" s="150" t="s">
        <v>112</v>
      </c>
      <c r="B91" s="151">
        <v>100</v>
      </c>
      <c r="C91" s="156">
        <v>1</v>
      </c>
      <c r="D91" s="231">
        <v>42685284</v>
      </c>
      <c r="E91" s="232">
        <f>IF(ISBLANK(D91),"-",$D$101/$D$98*D91)</f>
        <v>41178337.020282134</v>
      </c>
      <c r="F91" s="233">
        <v>42333710</v>
      </c>
      <c r="G91" s="234">
        <f>IF(ISBLANK(F91),"-",$D$101/$F$98*F91)</f>
        <v>40741996.58468014</v>
      </c>
    </row>
    <row r="92" spans="1:11" ht="26.25" customHeight="1" x14ac:dyDescent="0.3">
      <c r="A92" s="150" t="s">
        <v>113</v>
      </c>
      <c r="B92" s="151">
        <v>1</v>
      </c>
      <c r="C92" s="160">
        <v>2</v>
      </c>
      <c r="D92" s="209">
        <v>42555454</v>
      </c>
      <c r="E92" s="235">
        <f>IF(ISBLANK(D92),"-",$D$101/$D$98*D92)</f>
        <v>41053090.49514848</v>
      </c>
      <c r="F92" s="236">
        <v>42341071</v>
      </c>
      <c r="G92" s="237">
        <f>IF(ISBLANK(F92),"-",$D$101/$F$98*F92)</f>
        <v>40749080.817006104</v>
      </c>
    </row>
    <row r="93" spans="1:11" ht="26.25" customHeight="1" x14ac:dyDescent="0.3">
      <c r="A93" s="150" t="s">
        <v>114</v>
      </c>
      <c r="B93" s="151">
        <v>1</v>
      </c>
      <c r="C93" s="160">
        <v>3</v>
      </c>
      <c r="D93" s="209">
        <v>42560679</v>
      </c>
      <c r="E93" s="235">
        <f>IF(ISBLANK(D93),"-",$D$101/$D$98*D93)</f>
        <v>41058131.033497266</v>
      </c>
      <c r="F93" s="236">
        <v>42404259</v>
      </c>
      <c r="G93" s="237">
        <f>IF(ISBLANK(F93),"-",$D$101/$F$98*F93)</f>
        <v>40809892.999075495</v>
      </c>
    </row>
    <row r="94" spans="1:11" ht="26.25" customHeight="1" x14ac:dyDescent="0.3">
      <c r="A94" s="150" t="s">
        <v>115</v>
      </c>
      <c r="B94" s="151">
        <v>1</v>
      </c>
      <c r="C94" s="165">
        <v>4</v>
      </c>
      <c r="D94" s="238"/>
      <c r="E94" s="239" t="str">
        <f>IF(ISBLANK(D94),"-",$D$101/$D$98*D94)</f>
        <v>-</v>
      </c>
      <c r="F94" s="240"/>
      <c r="G94" s="241" t="str">
        <f>IF(ISBLANK(F94),"-",$D$101/$F$98*F94)</f>
        <v>-</v>
      </c>
    </row>
    <row r="95" spans="1:11" ht="27" customHeight="1" thickBot="1" x14ac:dyDescent="0.35">
      <c r="A95" s="150" t="s">
        <v>116</v>
      </c>
      <c r="B95" s="151">
        <v>1</v>
      </c>
      <c r="C95" s="133" t="s">
        <v>62</v>
      </c>
      <c r="D95" s="169">
        <f>AVERAGE(D91:D94)</f>
        <v>42600472.333333336</v>
      </c>
      <c r="E95" s="170">
        <f>AVERAGE(E91:E94)</f>
        <v>41096519.516309291</v>
      </c>
      <c r="F95" s="242">
        <f>AVERAGE(F91:F94)</f>
        <v>42359680</v>
      </c>
      <c r="G95" s="243">
        <f>AVERAGE(G91:G94)</f>
        <v>40766990.133587249</v>
      </c>
    </row>
    <row r="96" spans="1:11" ht="26.25" customHeight="1" x14ac:dyDescent="0.3">
      <c r="A96" s="150" t="s">
        <v>117</v>
      </c>
      <c r="B96" s="151">
        <v>1</v>
      </c>
      <c r="C96" s="174" t="s">
        <v>63</v>
      </c>
      <c r="D96" s="175">
        <v>83.85</v>
      </c>
      <c r="E96" s="126"/>
      <c r="F96" s="176">
        <v>84.05</v>
      </c>
    </row>
    <row r="97" spans="1:9" ht="26.25" customHeight="1" x14ac:dyDescent="0.3">
      <c r="A97" s="150" t="s">
        <v>118</v>
      </c>
      <c r="B97" s="151">
        <v>1</v>
      </c>
      <c r="C97" s="177" t="s">
        <v>64</v>
      </c>
      <c r="D97" s="178">
        <f>D96*$B$87</f>
        <v>83.85</v>
      </c>
      <c r="E97" s="160"/>
      <c r="F97" s="179">
        <f>F96*$B$87</f>
        <v>84.05</v>
      </c>
    </row>
    <row r="98" spans="1:9" ht="19.5" customHeight="1" thickBot="1" x14ac:dyDescent="0.35">
      <c r="A98" s="220" t="s">
        <v>65</v>
      </c>
      <c r="B98" s="244">
        <f>(B97/B96)*(B95/B94)*(B93/B92)*(B91/B90)*B89</f>
        <v>1000</v>
      </c>
      <c r="C98" s="177" t="s">
        <v>66</v>
      </c>
      <c r="D98" s="181">
        <f>D97*$B$83/100</f>
        <v>82.92765</v>
      </c>
      <c r="E98" s="182"/>
      <c r="F98" s="183">
        <f>F97*$B$83/100</f>
        <v>83.125450000000001</v>
      </c>
    </row>
    <row r="99" spans="1:9" ht="19.5" customHeight="1" thickBot="1" x14ac:dyDescent="0.35">
      <c r="A99" s="393" t="s">
        <v>67</v>
      </c>
      <c r="B99" s="394"/>
      <c r="C99" s="177" t="s">
        <v>68</v>
      </c>
      <c r="D99" s="245">
        <f>D98/$B$98</f>
        <v>8.2927650000000006E-2</v>
      </c>
      <c r="E99" s="246"/>
      <c r="F99" s="247">
        <f>F98/$B$98</f>
        <v>8.3125450000000004E-2</v>
      </c>
      <c r="G99" s="248"/>
      <c r="H99" s="173"/>
    </row>
    <row r="100" spans="1:9" ht="19.5" customHeight="1" thickBot="1" x14ac:dyDescent="0.35">
      <c r="A100" s="395"/>
      <c r="B100" s="396"/>
      <c r="C100" s="188" t="s">
        <v>119</v>
      </c>
      <c r="D100" s="249">
        <f>$B$56/$B$116</f>
        <v>0.08</v>
      </c>
      <c r="F100" s="187"/>
      <c r="G100" s="250"/>
      <c r="H100" s="173"/>
    </row>
    <row r="101" spans="1:9" ht="18.75" x14ac:dyDescent="0.3">
      <c r="C101" s="188" t="s">
        <v>69</v>
      </c>
      <c r="D101" s="178">
        <f>D100*$B$98</f>
        <v>80</v>
      </c>
      <c r="F101" s="187"/>
      <c r="G101" s="248"/>
      <c r="H101" s="173"/>
    </row>
    <row r="102" spans="1:9" ht="19.5" customHeight="1" thickBot="1" x14ac:dyDescent="0.35">
      <c r="C102" s="189" t="s">
        <v>70</v>
      </c>
      <c r="D102" s="251">
        <f>D101/B34</f>
        <v>80</v>
      </c>
      <c r="F102" s="162"/>
      <c r="G102" s="248"/>
      <c r="H102" s="173"/>
      <c r="I102" s="252"/>
    </row>
    <row r="103" spans="1:9" ht="18.75" x14ac:dyDescent="0.3">
      <c r="C103" s="191" t="s">
        <v>90</v>
      </c>
      <c r="D103" s="192">
        <f>AVERAGE(E91:E94,G91:G94)</f>
        <v>40931754.824948274</v>
      </c>
      <c r="F103" s="162"/>
      <c r="G103" s="250"/>
      <c r="H103" s="173"/>
      <c r="I103" s="253"/>
    </row>
    <row r="104" spans="1:9" ht="18.75" x14ac:dyDescent="0.3">
      <c r="C104" s="193" t="s">
        <v>72</v>
      </c>
      <c r="D104" s="254">
        <f>STDEV(E91:E94,G91:G94)/D103</f>
        <v>4.5800541828687437E-3</v>
      </c>
      <c r="F104" s="162"/>
      <c r="G104" s="248"/>
      <c r="H104" s="173"/>
      <c r="I104" s="253"/>
    </row>
    <row r="105" spans="1:9" ht="19.5" customHeight="1" thickBot="1" x14ac:dyDescent="0.35">
      <c r="C105" s="195" t="s">
        <v>19</v>
      </c>
      <c r="D105" s="255">
        <f>COUNT(E91:E94,G91:G94)</f>
        <v>6</v>
      </c>
      <c r="F105" s="162"/>
      <c r="G105" s="248"/>
      <c r="H105" s="173"/>
      <c r="I105" s="253"/>
    </row>
    <row r="106" spans="1:9" ht="19.5" customHeight="1" thickBot="1" x14ac:dyDescent="0.35">
      <c r="A106" s="197"/>
      <c r="B106" s="197"/>
      <c r="C106" s="197"/>
      <c r="D106" s="197"/>
      <c r="E106" s="197"/>
    </row>
    <row r="107" spans="1:9" ht="26.25" customHeight="1" x14ac:dyDescent="0.3">
      <c r="A107" s="148" t="s">
        <v>91</v>
      </c>
      <c r="B107" s="149">
        <v>500</v>
      </c>
      <c r="C107" s="228" t="s">
        <v>133</v>
      </c>
      <c r="D107" s="256" t="s">
        <v>60</v>
      </c>
      <c r="E107" s="257" t="s">
        <v>92</v>
      </c>
      <c r="F107" s="258" t="s">
        <v>93</v>
      </c>
    </row>
    <row r="108" spans="1:9" ht="26.25" customHeight="1" x14ac:dyDescent="0.3">
      <c r="A108" s="150" t="s">
        <v>123</v>
      </c>
      <c r="B108" s="151">
        <v>1</v>
      </c>
      <c r="C108" s="259">
        <v>1</v>
      </c>
      <c r="D108" s="260">
        <v>38228445</v>
      </c>
      <c r="E108" s="261">
        <f t="shared" ref="E108:E113" si="1">IF(ISBLANK(D108),"-",D108/$D$103*$D$100*$B$116)</f>
        <v>37.358227286849107</v>
      </c>
      <c r="F108" s="262">
        <f t="shared" ref="F108:F113" si="2">IF(ISBLANK(D108), "-", E108/$B$56)</f>
        <v>0.93395568217122771</v>
      </c>
    </row>
    <row r="109" spans="1:9" ht="26.25" customHeight="1" x14ac:dyDescent="0.3">
      <c r="A109" s="150" t="s">
        <v>124</v>
      </c>
      <c r="B109" s="151">
        <v>1</v>
      </c>
      <c r="C109" s="259">
        <v>2</v>
      </c>
      <c r="D109" s="260">
        <v>39526263</v>
      </c>
      <c r="E109" s="263">
        <f t="shared" si="1"/>
        <v>38.626502253852436</v>
      </c>
      <c r="F109" s="264">
        <f t="shared" si="2"/>
        <v>0.96566255634631093</v>
      </c>
    </row>
    <row r="110" spans="1:9" ht="26.25" customHeight="1" x14ac:dyDescent="0.3">
      <c r="A110" s="150" t="s">
        <v>125</v>
      </c>
      <c r="B110" s="151">
        <v>1</v>
      </c>
      <c r="C110" s="259">
        <v>3</v>
      </c>
      <c r="D110" s="260">
        <v>34197200</v>
      </c>
      <c r="E110" s="263">
        <f t="shared" si="1"/>
        <v>33.418748007506878</v>
      </c>
      <c r="F110" s="264">
        <f t="shared" si="2"/>
        <v>0.83546870018767194</v>
      </c>
    </row>
    <row r="111" spans="1:9" ht="26.25" customHeight="1" x14ac:dyDescent="0.3">
      <c r="A111" s="150" t="s">
        <v>126</v>
      </c>
      <c r="B111" s="151">
        <v>1</v>
      </c>
      <c r="C111" s="259">
        <v>4</v>
      </c>
      <c r="D111" s="260">
        <v>40745669</v>
      </c>
      <c r="E111" s="263">
        <f t="shared" si="1"/>
        <v>39.818150161658991</v>
      </c>
      <c r="F111" s="264">
        <f t="shared" si="2"/>
        <v>0.99545375404147474</v>
      </c>
    </row>
    <row r="112" spans="1:9" ht="26.25" customHeight="1" x14ac:dyDescent="0.3">
      <c r="A112" s="150" t="s">
        <v>127</v>
      </c>
      <c r="B112" s="151">
        <v>1</v>
      </c>
      <c r="C112" s="259">
        <v>5</v>
      </c>
      <c r="D112" s="260">
        <v>37436461</v>
      </c>
      <c r="E112" s="263">
        <f t="shared" si="1"/>
        <v>36.584271707971965</v>
      </c>
      <c r="F112" s="264">
        <f t="shared" si="2"/>
        <v>0.91460679269929912</v>
      </c>
    </row>
    <row r="113" spans="1:11" ht="26.25" customHeight="1" x14ac:dyDescent="0.3">
      <c r="A113" s="150" t="s">
        <v>128</v>
      </c>
      <c r="B113" s="151">
        <v>1</v>
      </c>
      <c r="C113" s="265">
        <v>6</v>
      </c>
      <c r="D113" s="266">
        <v>36710624</v>
      </c>
      <c r="E113" s="267">
        <f t="shared" si="1"/>
        <v>35.874957384064601</v>
      </c>
      <c r="F113" s="268">
        <f t="shared" si="2"/>
        <v>0.89687393460161502</v>
      </c>
    </row>
    <row r="114" spans="1:11" ht="26.25" customHeight="1" x14ac:dyDescent="0.3">
      <c r="A114" s="150" t="s">
        <v>129</v>
      </c>
      <c r="B114" s="151">
        <v>1</v>
      </c>
      <c r="C114" s="259"/>
      <c r="D114" s="160"/>
      <c r="E114" s="126"/>
      <c r="F114" s="269"/>
    </row>
    <row r="115" spans="1:11" ht="26.25" customHeight="1" x14ac:dyDescent="0.3">
      <c r="A115" s="150" t="s">
        <v>130</v>
      </c>
      <c r="B115" s="151">
        <v>1</v>
      </c>
      <c r="C115" s="259"/>
      <c r="D115" s="270"/>
      <c r="E115" s="271" t="s">
        <v>62</v>
      </c>
      <c r="F115" s="272">
        <f>AVERAGE(F108:F113)</f>
        <v>0.92367023667459991</v>
      </c>
    </row>
    <row r="116" spans="1:11" ht="27" customHeight="1" thickBot="1" x14ac:dyDescent="0.35">
      <c r="A116" s="150" t="s">
        <v>80</v>
      </c>
      <c r="B116" s="180">
        <f>(B115/B114)*(B113/B112)*(B111/B110)*(B109/B108)*B107</f>
        <v>500</v>
      </c>
      <c r="C116" s="273"/>
      <c r="D116" s="274"/>
      <c r="E116" s="133" t="s">
        <v>72</v>
      </c>
      <c r="F116" s="275">
        <f>STDEV(F108:F113)/F115</f>
        <v>6.0476166425636121E-2</v>
      </c>
    </row>
    <row r="117" spans="1:11" ht="19.5" customHeight="1" thickBot="1" x14ac:dyDescent="0.35">
      <c r="A117" s="393" t="s">
        <v>67</v>
      </c>
      <c r="B117" s="394"/>
      <c r="C117" s="276"/>
      <c r="D117" s="277"/>
      <c r="E117" s="278" t="s">
        <v>19</v>
      </c>
      <c r="F117" s="279">
        <f>COUNT(F108:F113)</f>
        <v>6</v>
      </c>
      <c r="I117" s="253"/>
    </row>
    <row r="118" spans="1:11" ht="19.5" customHeight="1" thickBot="1" x14ac:dyDescent="0.35">
      <c r="A118" s="395"/>
      <c r="B118" s="396"/>
      <c r="C118" s="126"/>
      <c r="D118" s="126"/>
      <c r="E118" s="126"/>
      <c r="F118" s="160"/>
      <c r="G118" s="126"/>
      <c r="H118" s="126"/>
    </row>
    <row r="119" spans="1:11" ht="18.75" x14ac:dyDescent="0.3">
      <c r="A119" s="146"/>
      <c r="B119" s="146"/>
      <c r="C119" s="126"/>
      <c r="D119" s="126"/>
      <c r="E119" s="126"/>
      <c r="F119" s="160"/>
      <c r="G119" s="126"/>
      <c r="H119" s="126"/>
    </row>
    <row r="120" spans="1:11" ht="18.75" x14ac:dyDescent="0.3">
      <c r="A120" s="280" t="s">
        <v>134</v>
      </c>
      <c r="B120" s="280" t="s">
        <v>135</v>
      </c>
      <c r="C120" s="164"/>
      <c r="D120" s="164"/>
      <c r="E120" s="164"/>
      <c r="F120" s="164"/>
      <c r="G120" s="164"/>
      <c r="H120" s="164"/>
    </row>
    <row r="121" spans="1:11" ht="18.75" x14ac:dyDescent="0.3">
      <c r="A121" s="280"/>
      <c r="B121" s="280"/>
      <c r="C121" s="164"/>
      <c r="D121" s="164"/>
      <c r="E121" s="164"/>
      <c r="F121" s="164"/>
      <c r="G121" s="164"/>
      <c r="H121" s="164"/>
    </row>
    <row r="122" spans="1:11" ht="18.75" x14ac:dyDescent="0.3">
      <c r="A122" s="281" t="s">
        <v>3</v>
      </c>
      <c r="B122" s="282" t="s">
        <v>98</v>
      </c>
      <c r="C122" s="164"/>
      <c r="D122" s="164"/>
      <c r="E122" s="164"/>
      <c r="F122" s="164"/>
      <c r="G122" s="164"/>
      <c r="H122" s="164"/>
    </row>
    <row r="123" spans="1:11" ht="18.75" x14ac:dyDescent="0.3">
      <c r="A123" s="283" t="s">
        <v>47</v>
      </c>
      <c r="B123" s="282" t="s">
        <v>99</v>
      </c>
      <c r="C123" s="164"/>
      <c r="D123" s="164"/>
      <c r="E123" s="164"/>
      <c r="F123" s="164"/>
      <c r="G123" s="164"/>
      <c r="H123" s="164"/>
    </row>
    <row r="124" spans="1:11" ht="19.5" customHeight="1" thickBot="1" x14ac:dyDescent="0.35">
      <c r="A124" s="283" t="s">
        <v>5</v>
      </c>
      <c r="B124" s="282">
        <v>98.9</v>
      </c>
      <c r="C124" s="164"/>
      <c r="D124" s="164"/>
      <c r="E124" s="164"/>
      <c r="F124" s="164"/>
      <c r="G124" s="164"/>
      <c r="H124" s="164"/>
    </row>
    <row r="125" spans="1:11" s="138" customFormat="1" ht="15.75" customHeight="1" thickBot="1" x14ac:dyDescent="0.35">
      <c r="A125" s="283" t="s">
        <v>48</v>
      </c>
      <c r="B125" s="282">
        <v>0</v>
      </c>
      <c r="C125" s="384" t="s">
        <v>49</v>
      </c>
      <c r="D125" s="385"/>
      <c r="E125" s="385"/>
      <c r="F125" s="385"/>
      <c r="G125" s="386"/>
      <c r="I125" s="137"/>
      <c r="J125" s="137"/>
      <c r="K125" s="137"/>
    </row>
    <row r="126" spans="1:11" s="138" customFormat="1" ht="19.5" customHeight="1" thickBot="1" x14ac:dyDescent="0.35">
      <c r="A126" s="283" t="s">
        <v>50</v>
      </c>
      <c r="B126" s="284">
        <f>B124-B125</f>
        <v>98.9</v>
      </c>
      <c r="C126" s="285"/>
      <c r="D126" s="285"/>
      <c r="E126" s="285"/>
      <c r="F126" s="285"/>
      <c r="G126" s="286"/>
      <c r="I126" s="137"/>
      <c r="J126" s="137"/>
      <c r="K126" s="137"/>
    </row>
    <row r="127" spans="1:11" s="138" customFormat="1" ht="27" customHeight="1" thickBot="1" x14ac:dyDescent="0.3">
      <c r="A127" s="133" t="s">
        <v>51</v>
      </c>
      <c r="B127" s="142">
        <v>1</v>
      </c>
      <c r="C127" s="387" t="s">
        <v>52</v>
      </c>
      <c r="D127" s="388"/>
      <c r="E127" s="388"/>
      <c r="F127" s="388"/>
      <c r="G127" s="388"/>
      <c r="H127" s="389"/>
      <c r="I127" s="137"/>
      <c r="J127" s="137"/>
      <c r="K127" s="137"/>
    </row>
    <row r="128" spans="1:11" s="138" customFormat="1" ht="27" customHeight="1" thickBot="1" x14ac:dyDescent="0.3">
      <c r="A128" s="133" t="s">
        <v>53</v>
      </c>
      <c r="B128" s="142">
        <v>1</v>
      </c>
      <c r="C128" s="387" t="s">
        <v>54</v>
      </c>
      <c r="D128" s="388"/>
      <c r="E128" s="388"/>
      <c r="F128" s="388"/>
      <c r="G128" s="388"/>
      <c r="H128" s="389"/>
      <c r="I128" s="137"/>
      <c r="J128" s="137"/>
      <c r="K128" s="137"/>
    </row>
    <row r="129" spans="1:11" s="138" customFormat="1" ht="18.75" x14ac:dyDescent="0.25">
      <c r="A129" s="133"/>
      <c r="B129" s="145"/>
      <c r="C129" s="146"/>
      <c r="D129" s="146"/>
      <c r="E129" s="146"/>
      <c r="F129" s="146"/>
      <c r="G129" s="146"/>
      <c r="H129" s="146"/>
      <c r="I129" s="137"/>
      <c r="J129" s="137"/>
      <c r="K129" s="137"/>
    </row>
    <row r="130" spans="1:11" ht="18.75" x14ac:dyDescent="0.3">
      <c r="A130" s="133" t="s">
        <v>55</v>
      </c>
      <c r="B130" s="147">
        <f>B127/B128</f>
        <v>1</v>
      </c>
      <c r="C130" s="126" t="s">
        <v>56</v>
      </c>
      <c r="H130" s="136"/>
    </row>
    <row r="131" spans="1:11" ht="19.5" customHeight="1" thickBot="1" x14ac:dyDescent="0.35">
      <c r="A131" s="280"/>
      <c r="B131" s="280"/>
      <c r="C131" s="164"/>
      <c r="D131" s="164"/>
      <c r="E131" s="164"/>
      <c r="F131" s="164"/>
      <c r="G131" s="164"/>
      <c r="H131" s="164"/>
    </row>
    <row r="132" spans="1:11" ht="27" customHeight="1" thickBot="1" x14ac:dyDescent="0.35">
      <c r="A132" s="287" t="s">
        <v>110</v>
      </c>
      <c r="B132" s="288">
        <v>50</v>
      </c>
      <c r="C132" s="164"/>
      <c r="D132" s="404" t="s">
        <v>57</v>
      </c>
      <c r="E132" s="405"/>
      <c r="F132" s="404" t="s">
        <v>58</v>
      </c>
      <c r="G132" s="405"/>
      <c r="H132" s="164"/>
    </row>
    <row r="133" spans="1:11" ht="26.25" customHeight="1" x14ac:dyDescent="0.3">
      <c r="A133" s="289" t="s">
        <v>111</v>
      </c>
      <c r="B133" s="290">
        <v>5</v>
      </c>
      <c r="C133" s="291" t="s">
        <v>136</v>
      </c>
      <c r="D133" s="292" t="s">
        <v>60</v>
      </c>
      <c r="E133" s="293" t="s">
        <v>61</v>
      </c>
      <c r="F133" s="292" t="s">
        <v>60</v>
      </c>
      <c r="G133" s="293" t="s">
        <v>61</v>
      </c>
      <c r="H133" s="164"/>
    </row>
    <row r="134" spans="1:11" ht="26.25" customHeight="1" x14ac:dyDescent="0.3">
      <c r="A134" s="289" t="s">
        <v>112</v>
      </c>
      <c r="B134" s="290">
        <v>25</v>
      </c>
      <c r="C134" s="294">
        <v>1</v>
      </c>
      <c r="D134" s="231">
        <v>43801110</v>
      </c>
      <c r="E134" s="295">
        <f>IF(ISBLANK(D134),"-",$D$144/$D$141*D134)</f>
        <v>41624324.334597863</v>
      </c>
      <c r="F134" s="231">
        <v>41394231</v>
      </c>
      <c r="G134" s="295">
        <f>IF(ISBLANK(F134),"-",$D$144/$F$141*F134)</f>
        <v>41771089.771922275</v>
      </c>
      <c r="H134" s="164"/>
    </row>
    <row r="135" spans="1:11" ht="26.25" customHeight="1" x14ac:dyDescent="0.3">
      <c r="A135" s="289" t="s">
        <v>113</v>
      </c>
      <c r="B135" s="290">
        <v>1</v>
      </c>
      <c r="C135" s="296">
        <v>2</v>
      </c>
      <c r="D135" s="209">
        <v>43676320</v>
      </c>
      <c r="E135" s="297">
        <f>IF(ISBLANK(D135),"-",$D$144/$D$141*D135)</f>
        <v>41505736.028645925</v>
      </c>
      <c r="F135" s="209">
        <v>41773879</v>
      </c>
      <c r="G135" s="297">
        <f>IF(ISBLANK(F135),"-",$D$144/$F$141*F135)</f>
        <v>42154194.139526807</v>
      </c>
      <c r="H135" s="164"/>
    </row>
    <row r="136" spans="1:11" ht="26.25" customHeight="1" x14ac:dyDescent="0.3">
      <c r="A136" s="289" t="s">
        <v>114</v>
      </c>
      <c r="B136" s="290">
        <v>1</v>
      </c>
      <c r="C136" s="296">
        <v>3</v>
      </c>
      <c r="D136" s="209">
        <v>43774296</v>
      </c>
      <c r="E136" s="297">
        <f>IF(ISBLANK(D136),"-",$D$144/$D$141*D136)</f>
        <v>41598842.911120057</v>
      </c>
      <c r="F136" s="209">
        <v>41363160</v>
      </c>
      <c r="G136" s="297">
        <f>IF(ISBLANK(F136),"-",$D$144/$F$141*F136)</f>
        <v>41739735.897265121</v>
      </c>
      <c r="H136" s="164"/>
    </row>
    <row r="137" spans="1:11" ht="26.25" customHeight="1" x14ac:dyDescent="0.3">
      <c r="A137" s="289" t="s">
        <v>115</v>
      </c>
      <c r="B137" s="290">
        <v>1</v>
      </c>
      <c r="C137" s="298">
        <v>4</v>
      </c>
      <c r="D137" s="238"/>
      <c r="E137" s="299" t="str">
        <f>IF(ISBLANK(D137),"-",$D$144/$D$141*D137)</f>
        <v>-</v>
      </c>
      <c r="F137" s="238"/>
      <c r="G137" s="299" t="str">
        <f>IF(ISBLANK(F137),"-",$D$144/$D$141*F137)</f>
        <v>-</v>
      </c>
      <c r="H137" s="164"/>
    </row>
    <row r="138" spans="1:11" ht="27" customHeight="1" thickBot="1" x14ac:dyDescent="0.35">
      <c r="A138" s="289" t="s">
        <v>116</v>
      </c>
      <c r="B138" s="290">
        <v>1</v>
      </c>
      <c r="C138" s="283" t="s">
        <v>62</v>
      </c>
      <c r="D138" s="300">
        <f>AVERAGE(D134:D137)</f>
        <v>43750575.333333336</v>
      </c>
      <c r="E138" s="301">
        <f>AVERAGE(E134:E137)</f>
        <v>41576301.091454618</v>
      </c>
      <c r="F138" s="300">
        <f>AVERAGE(F134:F137)</f>
        <v>41510423.333333336</v>
      </c>
      <c r="G138" s="302">
        <f>AVERAGE(G134:G137)</f>
        <v>41888339.936238065</v>
      </c>
      <c r="H138" s="164"/>
    </row>
    <row r="139" spans="1:11" ht="26.25" customHeight="1" x14ac:dyDescent="0.3">
      <c r="A139" s="289" t="s">
        <v>117</v>
      </c>
      <c r="B139" s="290">
        <v>1</v>
      </c>
      <c r="C139" s="303" t="s">
        <v>86</v>
      </c>
      <c r="D139" s="151">
        <v>21.28</v>
      </c>
      <c r="E139" s="164"/>
      <c r="F139" s="304">
        <v>20.04</v>
      </c>
      <c r="G139" s="164"/>
      <c r="H139" s="164"/>
    </row>
    <row r="140" spans="1:11" ht="26.25" customHeight="1" x14ac:dyDescent="0.3">
      <c r="A140" s="289" t="s">
        <v>118</v>
      </c>
      <c r="B140" s="290">
        <v>1</v>
      </c>
      <c r="C140" s="305" t="s">
        <v>87</v>
      </c>
      <c r="D140" s="306">
        <f>D139*B130</f>
        <v>21.28</v>
      </c>
      <c r="E140" s="296"/>
      <c r="F140" s="307">
        <f>F139*B130</f>
        <v>20.04</v>
      </c>
      <c r="G140" s="164"/>
      <c r="H140" s="164"/>
    </row>
    <row r="141" spans="1:11" ht="19.5" customHeight="1" thickBot="1" x14ac:dyDescent="0.35">
      <c r="A141" s="289" t="s">
        <v>65</v>
      </c>
      <c r="B141" s="308">
        <f>(B140/B139)*(B138/B137)*(B136/B135)*(B134/B133)*B132</f>
        <v>250</v>
      </c>
      <c r="C141" s="305" t="s">
        <v>88</v>
      </c>
      <c r="D141" s="309">
        <f>D140*B126/100</f>
        <v>21.045920000000002</v>
      </c>
      <c r="E141" s="310"/>
      <c r="F141" s="311">
        <f>F140*B126/100</f>
        <v>19.819560000000003</v>
      </c>
      <c r="G141" s="164"/>
      <c r="H141" s="164"/>
    </row>
    <row r="142" spans="1:11" ht="19.5" customHeight="1" thickBot="1" x14ac:dyDescent="0.35">
      <c r="A142" s="393" t="s">
        <v>67</v>
      </c>
      <c r="B142" s="406"/>
      <c r="C142" s="305" t="s">
        <v>89</v>
      </c>
      <c r="D142" s="306">
        <f>D141/$B$141</f>
        <v>8.4183680000000011E-2</v>
      </c>
      <c r="E142" s="310"/>
      <c r="F142" s="312">
        <f>F141/$B$141</f>
        <v>7.9278240000000014E-2</v>
      </c>
      <c r="G142" s="138"/>
      <c r="H142" s="313"/>
    </row>
    <row r="143" spans="1:11" ht="19.5" customHeight="1" thickBot="1" x14ac:dyDescent="0.35">
      <c r="A143" s="395"/>
      <c r="B143" s="407"/>
      <c r="C143" s="305" t="s">
        <v>119</v>
      </c>
      <c r="D143" s="309">
        <f>$B$56/$B$159</f>
        <v>0.08</v>
      </c>
      <c r="E143" s="164"/>
      <c r="F143" s="314"/>
      <c r="G143" s="315"/>
      <c r="H143" s="313"/>
    </row>
    <row r="144" spans="1:11" ht="18.75" x14ac:dyDescent="0.3">
      <c r="A144" s="164"/>
      <c r="B144" s="164"/>
      <c r="C144" s="305" t="s">
        <v>69</v>
      </c>
      <c r="D144" s="306">
        <f>D143*$B$141</f>
        <v>20</v>
      </c>
      <c r="E144" s="164"/>
      <c r="F144" s="314"/>
      <c r="G144" s="138"/>
      <c r="H144" s="313"/>
    </row>
    <row r="145" spans="1:9" ht="19.5" customHeight="1" thickBot="1" x14ac:dyDescent="0.35">
      <c r="A145" s="164"/>
      <c r="B145" s="164"/>
      <c r="C145" s="316" t="s">
        <v>70</v>
      </c>
      <c r="D145" s="317">
        <f>D144/B130</f>
        <v>20</v>
      </c>
      <c r="E145" s="164"/>
      <c r="F145" s="318"/>
      <c r="G145" s="138"/>
      <c r="H145" s="313"/>
      <c r="I145" s="252"/>
    </row>
    <row r="146" spans="1:9" ht="18.75" x14ac:dyDescent="0.3">
      <c r="A146" s="164"/>
      <c r="B146" s="164"/>
      <c r="C146" s="319" t="s">
        <v>90</v>
      </c>
      <c r="D146" s="320">
        <f>AVERAGE(E134:E137,G134:G137)</f>
        <v>41732320.513846338</v>
      </c>
      <c r="E146" s="164"/>
      <c r="F146" s="318"/>
      <c r="G146" s="315"/>
      <c r="H146" s="313"/>
      <c r="I146" s="253"/>
    </row>
    <row r="147" spans="1:9" ht="18.75" x14ac:dyDescent="0.3">
      <c r="A147" s="164"/>
      <c r="B147" s="164"/>
      <c r="C147" s="321" t="s">
        <v>72</v>
      </c>
      <c r="D147" s="322">
        <f>STDEV(E134:E137,G134:G137)/D146</f>
        <v>5.467965129902547E-3</v>
      </c>
      <c r="E147" s="164"/>
      <c r="F147" s="318"/>
      <c r="G147" s="138"/>
      <c r="H147" s="313"/>
      <c r="I147" s="253"/>
    </row>
    <row r="148" spans="1:9" ht="19.5" customHeight="1" thickBot="1" x14ac:dyDescent="0.35">
      <c r="A148" s="164"/>
      <c r="B148" s="164"/>
      <c r="C148" s="323" t="s">
        <v>19</v>
      </c>
      <c r="D148" s="324">
        <f>COUNT(E134:E137,G134:G137)</f>
        <v>6</v>
      </c>
      <c r="E148" s="164"/>
      <c r="F148" s="318"/>
      <c r="G148" s="138"/>
      <c r="H148" s="313"/>
      <c r="I148" s="253"/>
    </row>
    <row r="149" spans="1:9" ht="19.5" customHeight="1" thickBot="1" x14ac:dyDescent="0.35">
      <c r="A149" s="325"/>
      <c r="B149" s="325"/>
      <c r="C149" s="325"/>
      <c r="D149" s="325"/>
      <c r="E149" s="325"/>
      <c r="F149" s="164"/>
      <c r="G149" s="164"/>
      <c r="H149" s="164"/>
    </row>
    <row r="150" spans="1:9" ht="17.25" customHeight="1" x14ac:dyDescent="0.3">
      <c r="A150" s="287" t="s">
        <v>91</v>
      </c>
      <c r="B150" s="288">
        <v>500</v>
      </c>
      <c r="C150" s="326" t="s">
        <v>133</v>
      </c>
      <c r="D150" s="327" t="s">
        <v>60</v>
      </c>
      <c r="E150" s="328" t="s">
        <v>92</v>
      </c>
      <c r="F150" s="329" t="s">
        <v>93</v>
      </c>
      <c r="G150" s="164"/>
      <c r="H150" s="164"/>
    </row>
    <row r="151" spans="1:9" ht="26.25" customHeight="1" x14ac:dyDescent="0.3">
      <c r="A151" s="289" t="s">
        <v>123</v>
      </c>
      <c r="B151" s="290">
        <v>1</v>
      </c>
      <c r="C151" s="330">
        <v>1</v>
      </c>
      <c r="D151" s="331">
        <v>36634513</v>
      </c>
      <c r="E151" s="332">
        <f t="shared" ref="E151:E156" si="3">IF(ISBLANK(D151),"-",D151/$D$146*$D$143*$B$159)</f>
        <v>35.113803928391725</v>
      </c>
      <c r="F151" s="333">
        <f t="shared" ref="F151:F156" si="4">IF(ISBLANK(D151), "-", E151/$B$56)</f>
        <v>0.87784509820979317</v>
      </c>
      <c r="G151" s="164"/>
      <c r="H151" s="164"/>
    </row>
    <row r="152" spans="1:9" ht="26.25" customHeight="1" x14ac:dyDescent="0.3">
      <c r="A152" s="289" t="s">
        <v>124</v>
      </c>
      <c r="B152" s="290">
        <v>1</v>
      </c>
      <c r="C152" s="330">
        <v>2</v>
      </c>
      <c r="D152" s="334">
        <v>34798764</v>
      </c>
      <c r="E152" s="335">
        <f t="shared" si="3"/>
        <v>33.354257392376873</v>
      </c>
      <c r="F152" s="336">
        <f t="shared" si="4"/>
        <v>0.83385643480942184</v>
      </c>
      <c r="G152" s="164"/>
      <c r="H152" s="164"/>
    </row>
    <row r="153" spans="1:9" ht="26.25" customHeight="1" x14ac:dyDescent="0.3">
      <c r="A153" s="289" t="s">
        <v>125</v>
      </c>
      <c r="B153" s="290">
        <v>1</v>
      </c>
      <c r="C153" s="330">
        <v>3</v>
      </c>
      <c r="D153" s="334">
        <v>37346702</v>
      </c>
      <c r="E153" s="335">
        <f t="shared" si="3"/>
        <v>35.79642976010286</v>
      </c>
      <c r="F153" s="336">
        <f t="shared" si="4"/>
        <v>0.89491074400257153</v>
      </c>
      <c r="G153" s="164"/>
      <c r="H153" s="164"/>
    </row>
    <row r="154" spans="1:9" ht="26.25" customHeight="1" x14ac:dyDescent="0.3">
      <c r="A154" s="289" t="s">
        <v>126</v>
      </c>
      <c r="B154" s="290">
        <v>1</v>
      </c>
      <c r="C154" s="330">
        <v>4</v>
      </c>
      <c r="D154" s="334">
        <v>36467893</v>
      </c>
      <c r="E154" s="335">
        <f t="shared" si="3"/>
        <v>34.954100372060878</v>
      </c>
      <c r="F154" s="336">
        <f t="shared" si="4"/>
        <v>0.87385250930152192</v>
      </c>
      <c r="G154" s="164"/>
      <c r="H154" s="164"/>
    </row>
    <row r="155" spans="1:9" ht="26.25" customHeight="1" x14ac:dyDescent="0.3">
      <c r="A155" s="289" t="s">
        <v>127</v>
      </c>
      <c r="B155" s="290">
        <v>1</v>
      </c>
      <c r="C155" s="330">
        <v>5</v>
      </c>
      <c r="D155" s="334">
        <v>37488553</v>
      </c>
      <c r="E155" s="335">
        <f t="shared" si="3"/>
        <v>35.932392484680264</v>
      </c>
      <c r="F155" s="336">
        <f t="shared" si="4"/>
        <v>0.89830981211700656</v>
      </c>
      <c r="G155" s="164"/>
      <c r="H155" s="164"/>
    </row>
    <row r="156" spans="1:9" ht="26.25" customHeight="1" x14ac:dyDescent="0.3">
      <c r="A156" s="289" t="s">
        <v>128</v>
      </c>
      <c r="B156" s="290">
        <v>1</v>
      </c>
      <c r="C156" s="337">
        <v>6</v>
      </c>
      <c r="D156" s="338">
        <v>36389139</v>
      </c>
      <c r="E156" s="339">
        <f t="shared" si="3"/>
        <v>34.87861547303747</v>
      </c>
      <c r="F156" s="340">
        <f t="shared" si="4"/>
        <v>0.87196538682593672</v>
      </c>
      <c r="G156" s="164"/>
      <c r="H156" s="164"/>
    </row>
    <row r="157" spans="1:9" ht="26.25" customHeight="1" x14ac:dyDescent="0.3">
      <c r="A157" s="289" t="s">
        <v>129</v>
      </c>
      <c r="B157" s="290">
        <v>1</v>
      </c>
      <c r="C157" s="330"/>
      <c r="D157" s="296"/>
      <c r="E157" s="164"/>
      <c r="F157" s="341"/>
      <c r="G157" s="164"/>
      <c r="H157" s="164"/>
    </row>
    <row r="158" spans="1:9" ht="26.25" customHeight="1" x14ac:dyDescent="0.4">
      <c r="A158" s="289" t="s">
        <v>130</v>
      </c>
      <c r="B158" s="290">
        <v>1</v>
      </c>
      <c r="C158" s="330"/>
      <c r="D158" s="342"/>
      <c r="E158" s="343" t="s">
        <v>62</v>
      </c>
      <c r="F158" s="344">
        <f>AVERAGE(F151:F156)</f>
        <v>0.87512333087770866</v>
      </c>
      <c r="G158" s="164"/>
      <c r="H158" s="164"/>
    </row>
    <row r="159" spans="1:9" ht="27" customHeight="1" thickBot="1" x14ac:dyDescent="0.45">
      <c r="A159" s="289" t="s">
        <v>80</v>
      </c>
      <c r="B159" s="308">
        <f>(B158/B157)*(B156/B155)*(B154/B153)*(B152/B151)*B150</f>
        <v>500</v>
      </c>
      <c r="C159" s="345"/>
      <c r="D159" s="164"/>
      <c r="E159" s="346" t="s">
        <v>72</v>
      </c>
      <c r="F159" s="347">
        <f>STDEV(F151:F156)/F158</f>
        <v>2.6312333206295176E-2</v>
      </c>
      <c r="G159" s="164"/>
      <c r="H159" s="164"/>
    </row>
    <row r="160" spans="1:9" ht="27" customHeight="1" thickBot="1" x14ac:dyDescent="0.45">
      <c r="A160" s="393" t="s">
        <v>67</v>
      </c>
      <c r="B160" s="394"/>
      <c r="C160" s="348"/>
      <c r="D160" s="349"/>
      <c r="E160" s="350" t="s">
        <v>19</v>
      </c>
      <c r="F160" s="351">
        <f>COUNT(F151:F156)</f>
        <v>6</v>
      </c>
      <c r="G160" s="164"/>
      <c r="H160" s="164"/>
      <c r="I160" s="253"/>
    </row>
    <row r="161" spans="1:8" ht="19.5" customHeight="1" thickBot="1" x14ac:dyDescent="0.35">
      <c r="A161" s="395"/>
      <c r="B161" s="396"/>
      <c r="C161" s="164"/>
      <c r="D161" s="164"/>
      <c r="E161" s="164"/>
      <c r="F161" s="296"/>
      <c r="G161" s="164"/>
      <c r="H161" s="164"/>
    </row>
    <row r="162" spans="1:8" ht="18.75" x14ac:dyDescent="0.3">
      <c r="A162" s="146"/>
      <c r="B162" s="146"/>
      <c r="C162" s="164"/>
      <c r="D162" s="164"/>
      <c r="E162" s="164"/>
      <c r="F162" s="296"/>
      <c r="G162" s="164"/>
      <c r="H162" s="164"/>
    </row>
    <row r="163" spans="1:8" ht="18.75" x14ac:dyDescent="0.3">
      <c r="A163" s="280" t="s">
        <v>134</v>
      </c>
      <c r="B163" s="131" t="s">
        <v>137</v>
      </c>
      <c r="C163" s="164"/>
      <c r="D163" s="164"/>
      <c r="E163" s="164"/>
      <c r="F163" s="296"/>
      <c r="G163" s="164"/>
      <c r="H163" s="164"/>
    </row>
    <row r="164" spans="1:8" ht="19.5" customHeight="1" thickBot="1" x14ac:dyDescent="0.35">
      <c r="A164" s="146"/>
      <c r="B164" s="146"/>
      <c r="C164" s="164"/>
      <c r="D164" s="164"/>
      <c r="E164" s="164"/>
      <c r="F164" s="296"/>
      <c r="G164" s="164"/>
      <c r="H164" s="164"/>
    </row>
    <row r="165" spans="1:8" ht="26.25" customHeight="1" x14ac:dyDescent="0.4">
      <c r="A165" s="352" t="s">
        <v>62</v>
      </c>
      <c r="B165" s="353">
        <f>AVERAGE(F108:F113,F151:F156)</f>
        <v>0.89939678377615406</v>
      </c>
      <c r="C165" s="164"/>
      <c r="D165" s="164"/>
      <c r="E165" s="164"/>
      <c r="F165" s="296"/>
      <c r="G165" s="164"/>
      <c r="H165" s="164"/>
    </row>
    <row r="166" spans="1:8" ht="26.25" customHeight="1" x14ac:dyDescent="0.4">
      <c r="A166" s="289" t="s">
        <v>72</v>
      </c>
      <c r="B166" s="354">
        <f>STDEV(F108:F113,F151:F156)/B165</f>
        <v>5.3347231065111092E-2</v>
      </c>
      <c r="C166" s="164"/>
      <c r="D166" s="164"/>
      <c r="E166" s="164"/>
      <c r="F166" s="296"/>
      <c r="G166" s="164"/>
      <c r="H166" s="164"/>
    </row>
    <row r="167" spans="1:8" ht="27" customHeight="1" thickBot="1" x14ac:dyDescent="0.45">
      <c r="A167" s="355" t="s">
        <v>19</v>
      </c>
      <c r="B167" s="356">
        <f>COUNT(F108:F113,F151:F156)</f>
        <v>12</v>
      </c>
      <c r="C167" s="164"/>
      <c r="D167" s="164"/>
      <c r="E167" s="164"/>
      <c r="F167" s="296"/>
      <c r="G167" s="164"/>
      <c r="H167" s="164"/>
    </row>
    <row r="168" spans="1:8" ht="26.25" customHeight="1" x14ac:dyDescent="0.3">
      <c r="A168" s="132" t="s">
        <v>132</v>
      </c>
      <c r="B168" s="133" t="s">
        <v>94</v>
      </c>
      <c r="C168" s="398" t="str">
        <f>B20</f>
        <v>Lopinavir</v>
      </c>
      <c r="D168" s="398"/>
      <c r="E168" s="126" t="s">
        <v>95</v>
      </c>
      <c r="F168" s="126"/>
      <c r="G168" s="227">
        <f>B165</f>
        <v>0.89939678377615406</v>
      </c>
      <c r="H168" s="126"/>
    </row>
    <row r="169" spans="1:8" ht="19.5" customHeight="1" thickBot="1" x14ac:dyDescent="0.35">
      <c r="A169" s="357"/>
      <c r="B169" s="357"/>
      <c r="C169" s="358"/>
      <c r="D169" s="358"/>
      <c r="E169" s="358"/>
      <c r="F169" s="358"/>
      <c r="G169" s="358"/>
      <c r="H169" s="358"/>
    </row>
    <row r="170" spans="1:8" ht="18.75" x14ac:dyDescent="0.3">
      <c r="B170" s="397" t="s">
        <v>21</v>
      </c>
      <c r="C170" s="397"/>
      <c r="E170" s="152" t="s">
        <v>22</v>
      </c>
      <c r="F170" s="359"/>
      <c r="G170" s="397" t="s">
        <v>23</v>
      </c>
      <c r="H170" s="397"/>
    </row>
    <row r="171" spans="1:8" ht="83.25" customHeight="1" x14ac:dyDescent="0.3">
      <c r="A171" s="132" t="s">
        <v>24</v>
      </c>
      <c r="B171" s="360"/>
      <c r="C171" s="360"/>
      <c r="E171" s="361"/>
      <c r="F171" s="126"/>
      <c r="G171" s="361"/>
      <c r="H171" s="361"/>
    </row>
    <row r="172" spans="1:8" ht="84" customHeight="1" x14ac:dyDescent="0.3">
      <c r="A172" s="132" t="s">
        <v>25</v>
      </c>
      <c r="B172" s="362"/>
      <c r="C172" s="362"/>
      <c r="E172" s="363"/>
      <c r="F172" s="126"/>
      <c r="G172" s="364"/>
      <c r="H172" s="364"/>
    </row>
    <row r="173" spans="1:8" ht="18.75" x14ac:dyDescent="0.3">
      <c r="A173" s="160"/>
      <c r="B173" s="160"/>
      <c r="C173" s="160"/>
      <c r="D173" s="160"/>
      <c r="E173" s="160"/>
      <c r="F173" s="182"/>
      <c r="G173" s="160"/>
      <c r="H173" s="160"/>
    </row>
    <row r="174" spans="1:8" ht="18.75" x14ac:dyDescent="0.3">
      <c r="A174" s="160"/>
      <c r="B174" s="160"/>
      <c r="C174" s="160"/>
      <c r="D174" s="160"/>
      <c r="E174" s="160"/>
      <c r="F174" s="182"/>
      <c r="G174" s="160"/>
      <c r="H174" s="160"/>
    </row>
    <row r="175" spans="1:8" ht="18.75" x14ac:dyDescent="0.3">
      <c r="A175" s="160"/>
      <c r="B175" s="160"/>
      <c r="C175" s="160"/>
      <c r="D175" s="160"/>
      <c r="E175" s="160"/>
      <c r="F175" s="182"/>
      <c r="G175" s="160"/>
      <c r="H175" s="160"/>
    </row>
    <row r="176" spans="1:8" ht="18.75" x14ac:dyDescent="0.3">
      <c r="A176" s="160"/>
      <c r="B176" s="160"/>
      <c r="C176" s="160"/>
      <c r="D176" s="160"/>
      <c r="E176" s="160"/>
      <c r="F176" s="182"/>
      <c r="G176" s="160"/>
      <c r="H176" s="160"/>
    </row>
    <row r="177" spans="1:8" ht="18.75" x14ac:dyDescent="0.3">
      <c r="A177" s="160"/>
      <c r="B177" s="160"/>
      <c r="C177" s="160"/>
      <c r="D177" s="160"/>
      <c r="E177" s="160"/>
      <c r="F177" s="182"/>
      <c r="G177" s="160"/>
      <c r="H177" s="160"/>
    </row>
    <row r="178" spans="1:8" ht="18.75" x14ac:dyDescent="0.3">
      <c r="A178" s="160"/>
      <c r="B178" s="160"/>
      <c r="C178" s="160"/>
      <c r="D178" s="160"/>
      <c r="E178" s="160"/>
      <c r="F178" s="182"/>
      <c r="G178" s="160"/>
      <c r="H178" s="160"/>
    </row>
    <row r="179" spans="1:8" ht="18.75" x14ac:dyDescent="0.3">
      <c r="A179" s="160"/>
      <c r="B179" s="160"/>
      <c r="C179" s="160"/>
      <c r="D179" s="160"/>
      <c r="E179" s="160"/>
      <c r="F179" s="182"/>
      <c r="G179" s="160"/>
      <c r="H179" s="160"/>
    </row>
    <row r="180" spans="1:8" ht="18.75" x14ac:dyDescent="0.3">
      <c r="A180" s="160"/>
      <c r="B180" s="160"/>
      <c r="C180" s="160"/>
      <c r="D180" s="160"/>
      <c r="E180" s="160"/>
      <c r="F180" s="182"/>
      <c r="G180" s="160"/>
      <c r="H180" s="160"/>
    </row>
    <row r="181" spans="1:8" ht="18.75" x14ac:dyDescent="0.3">
      <c r="A181" s="160"/>
      <c r="B181" s="160"/>
      <c r="C181" s="160"/>
      <c r="D181" s="160"/>
      <c r="E181" s="160"/>
      <c r="F181" s="182"/>
      <c r="G181" s="160"/>
      <c r="H181" s="160"/>
    </row>
    <row r="250" spans="1:1" x14ac:dyDescent="0.3">
      <c r="A250" s="121">
        <v>5</v>
      </c>
    </row>
  </sheetData>
  <sheetProtection password="F258" sheet="1" objects="1" scenarios="1" formatColumns="0" formatRows="0" insertColumns="0" insertHyperlinks="0" deleteColumns="0" deleteRows="0" autoFilter="0" pivotTables="0"/>
  <mergeCells count="39">
    <mergeCell ref="B170:C170"/>
    <mergeCell ref="G170:H170"/>
    <mergeCell ref="F89:G89"/>
    <mergeCell ref="A99:B100"/>
    <mergeCell ref="A117:B118"/>
    <mergeCell ref="C125:G125"/>
    <mergeCell ref="C127:H127"/>
    <mergeCell ref="C128:H128"/>
    <mergeCell ref="D132:E132"/>
    <mergeCell ref="F132:G132"/>
    <mergeCell ref="A142:B143"/>
    <mergeCell ref="A160:B161"/>
    <mergeCell ref="C168:D168"/>
    <mergeCell ref="C85:H85"/>
    <mergeCell ref="A46:B47"/>
    <mergeCell ref="C60:C63"/>
    <mergeCell ref="D60:D63"/>
    <mergeCell ref="C64:C67"/>
    <mergeCell ref="D64:D67"/>
    <mergeCell ref="C68:C71"/>
    <mergeCell ref="D68:D71"/>
    <mergeCell ref="A70:B71"/>
    <mergeCell ref="C76:D76"/>
    <mergeCell ref="B79:C79"/>
    <mergeCell ref="B80:C80"/>
    <mergeCell ref="C82:G82"/>
    <mergeCell ref="C84:H84"/>
    <mergeCell ref="B27:C27"/>
    <mergeCell ref="C29:G29"/>
    <mergeCell ref="C31:H31"/>
    <mergeCell ref="C32:H32"/>
    <mergeCell ref="D36:E36"/>
    <mergeCell ref="F36:G36"/>
    <mergeCell ref="B26:C26"/>
    <mergeCell ref="A1:H7"/>
    <mergeCell ref="A8:H14"/>
    <mergeCell ref="A16:H16"/>
    <mergeCell ref="A17:H17"/>
    <mergeCell ref="B18:C18"/>
  </mergeCells>
  <conditionalFormatting sqref="D51">
    <cfRule type="cellIs" dxfId="5" priority="1" operator="greaterThan">
      <formula>0.02</formula>
    </cfRule>
  </conditionalFormatting>
  <conditionalFormatting sqref="H73">
    <cfRule type="cellIs" dxfId="4" priority="2" operator="greaterThan">
      <formula>0.02</formula>
    </cfRule>
  </conditionalFormatting>
  <conditionalFormatting sqref="D104">
    <cfRule type="cellIs" dxfId="3" priority="3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19" orientation="portrait" r:id="rId1"/>
  <headerFooter alignWithMargins="0">
    <oddHeader>&amp;LVer 2</oddHeader>
    <oddFooter>&amp;LNQCL/ADDO/014&amp;CPage &amp;P of &amp;N&amp;R&amp;D &amp;T</oddFooter>
  </headerFooter>
  <rowBreaks count="1" manualBreakCount="1">
    <brk id="76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zoomScale="60" zoomScaleNormal="60" zoomScaleSheetLayoutView="55" workbookViewId="0">
      <selection activeCell="I6" sqref="I6"/>
    </sheetView>
  </sheetViews>
  <sheetFormatPr defaultRowHeight="16.5" x14ac:dyDescent="0.3"/>
  <cols>
    <col min="1" max="1" width="55.42578125" style="121" customWidth="1"/>
    <col min="2" max="2" width="33.7109375" style="121" customWidth="1"/>
    <col min="3" max="3" width="42.28515625" style="121" customWidth="1"/>
    <col min="4" max="4" width="30.5703125" style="121" customWidth="1"/>
    <col min="5" max="5" width="39.85546875" style="121" customWidth="1"/>
    <col min="6" max="6" width="30.7109375" style="121" customWidth="1"/>
    <col min="7" max="7" width="36.42578125" style="121" customWidth="1"/>
    <col min="8" max="8" width="41.140625" style="121" customWidth="1"/>
    <col min="9" max="9" width="30.42578125" style="120" customWidth="1"/>
    <col min="10" max="10" width="21.28515625" style="120" customWidth="1"/>
    <col min="11" max="11" width="9.140625" style="120" customWidth="1"/>
    <col min="12" max="16384" width="9.140625" style="122"/>
  </cols>
  <sheetData>
    <row r="1" spans="1:8" ht="15" x14ac:dyDescent="0.3">
      <c r="A1" s="377" t="s">
        <v>44</v>
      </c>
      <c r="B1" s="377"/>
      <c r="C1" s="377"/>
      <c r="D1" s="377"/>
      <c r="E1" s="377"/>
      <c r="F1" s="377"/>
      <c r="G1" s="377"/>
      <c r="H1" s="377"/>
    </row>
    <row r="2" spans="1:8" ht="15" x14ac:dyDescent="0.3">
      <c r="A2" s="377"/>
      <c r="B2" s="377"/>
      <c r="C2" s="377"/>
      <c r="D2" s="377"/>
      <c r="E2" s="377"/>
      <c r="F2" s="377"/>
      <c r="G2" s="377"/>
      <c r="H2" s="377"/>
    </row>
    <row r="3" spans="1:8" ht="15" x14ac:dyDescent="0.3">
      <c r="A3" s="377"/>
      <c r="B3" s="377"/>
      <c r="C3" s="377"/>
      <c r="D3" s="377"/>
      <c r="E3" s="377"/>
      <c r="F3" s="377"/>
      <c r="G3" s="377"/>
      <c r="H3" s="377"/>
    </row>
    <row r="4" spans="1:8" ht="15" x14ac:dyDescent="0.3">
      <c r="A4" s="377"/>
      <c r="B4" s="377"/>
      <c r="C4" s="377"/>
      <c r="D4" s="377"/>
      <c r="E4" s="377"/>
      <c r="F4" s="377"/>
      <c r="G4" s="377"/>
      <c r="H4" s="377"/>
    </row>
    <row r="5" spans="1:8" ht="15" x14ac:dyDescent="0.3">
      <c r="A5" s="377"/>
      <c r="B5" s="377"/>
      <c r="C5" s="377"/>
      <c r="D5" s="377"/>
      <c r="E5" s="377"/>
      <c r="F5" s="377"/>
      <c r="G5" s="377"/>
      <c r="H5" s="377"/>
    </row>
    <row r="6" spans="1:8" ht="15" x14ac:dyDescent="0.3">
      <c r="A6" s="377"/>
      <c r="B6" s="377"/>
      <c r="C6" s="377"/>
      <c r="D6" s="377"/>
      <c r="E6" s="377"/>
      <c r="F6" s="377"/>
      <c r="G6" s="377"/>
      <c r="H6" s="377"/>
    </row>
    <row r="7" spans="1:8" ht="15" x14ac:dyDescent="0.3">
      <c r="A7" s="377"/>
      <c r="B7" s="377"/>
      <c r="C7" s="377"/>
      <c r="D7" s="377"/>
      <c r="E7" s="377"/>
      <c r="F7" s="377"/>
      <c r="G7" s="377"/>
      <c r="H7" s="377"/>
    </row>
    <row r="8" spans="1:8" ht="15" x14ac:dyDescent="0.3">
      <c r="A8" s="378" t="s">
        <v>45</v>
      </c>
      <c r="B8" s="378"/>
      <c r="C8" s="378"/>
      <c r="D8" s="378"/>
      <c r="E8" s="378"/>
      <c r="F8" s="378"/>
      <c r="G8" s="378"/>
      <c r="H8" s="378"/>
    </row>
    <row r="9" spans="1:8" ht="15" x14ac:dyDescent="0.3">
      <c r="A9" s="378"/>
      <c r="B9" s="378"/>
      <c r="C9" s="378"/>
      <c r="D9" s="378"/>
      <c r="E9" s="378"/>
      <c r="F9" s="378"/>
      <c r="G9" s="378"/>
      <c r="H9" s="378"/>
    </row>
    <row r="10" spans="1:8" ht="15" x14ac:dyDescent="0.3">
      <c r="A10" s="378"/>
      <c r="B10" s="378"/>
      <c r="C10" s="378"/>
      <c r="D10" s="378"/>
      <c r="E10" s="378"/>
      <c r="F10" s="378"/>
      <c r="G10" s="378"/>
      <c r="H10" s="378"/>
    </row>
    <row r="11" spans="1:8" ht="15" x14ac:dyDescent="0.3">
      <c r="A11" s="378"/>
      <c r="B11" s="378"/>
      <c r="C11" s="378"/>
      <c r="D11" s="378"/>
      <c r="E11" s="378"/>
      <c r="F11" s="378"/>
      <c r="G11" s="378"/>
      <c r="H11" s="378"/>
    </row>
    <row r="12" spans="1:8" ht="15" x14ac:dyDescent="0.3">
      <c r="A12" s="378"/>
      <c r="B12" s="378"/>
      <c r="C12" s="378"/>
      <c r="D12" s="378"/>
      <c r="E12" s="378"/>
      <c r="F12" s="378"/>
      <c r="G12" s="378"/>
      <c r="H12" s="378"/>
    </row>
    <row r="13" spans="1:8" ht="15" x14ac:dyDescent="0.3">
      <c r="A13" s="378"/>
      <c r="B13" s="378"/>
      <c r="C13" s="378"/>
      <c r="D13" s="378"/>
      <c r="E13" s="378"/>
      <c r="F13" s="378"/>
      <c r="G13" s="378"/>
      <c r="H13" s="378"/>
    </row>
    <row r="14" spans="1:8" ht="15" x14ac:dyDescent="0.3">
      <c r="A14" s="378"/>
      <c r="B14" s="378"/>
      <c r="C14" s="378"/>
      <c r="D14" s="378"/>
      <c r="E14" s="378"/>
      <c r="F14" s="378"/>
      <c r="G14" s="378"/>
      <c r="H14" s="378"/>
    </row>
    <row r="15" spans="1:8" ht="19.5" customHeight="1" thickBot="1" x14ac:dyDescent="0.35"/>
    <row r="16" spans="1:8" ht="19.5" customHeight="1" thickBot="1" x14ac:dyDescent="0.35">
      <c r="A16" s="379" t="s">
        <v>26</v>
      </c>
      <c r="B16" s="380"/>
      <c r="C16" s="380"/>
      <c r="D16" s="380"/>
      <c r="E16" s="380"/>
      <c r="F16" s="380"/>
      <c r="G16" s="380"/>
      <c r="H16" s="381"/>
    </row>
    <row r="17" spans="1:13" ht="20.25" customHeight="1" x14ac:dyDescent="0.3">
      <c r="A17" s="382" t="s">
        <v>46</v>
      </c>
      <c r="B17" s="382"/>
      <c r="C17" s="382"/>
      <c r="D17" s="382"/>
      <c r="E17" s="382"/>
      <c r="F17" s="382"/>
      <c r="G17" s="382"/>
      <c r="H17" s="382"/>
    </row>
    <row r="18" spans="1:13" ht="26.25" customHeight="1" x14ac:dyDescent="0.3">
      <c r="A18" s="123" t="s">
        <v>28</v>
      </c>
      <c r="B18" s="376" t="s">
        <v>4</v>
      </c>
      <c r="C18" s="376"/>
      <c r="D18" s="124"/>
      <c r="E18" s="124"/>
    </row>
    <row r="19" spans="1:13" ht="26.25" customHeight="1" x14ac:dyDescent="0.3">
      <c r="A19" s="123" t="s">
        <v>29</v>
      </c>
      <c r="B19" s="125" t="s">
        <v>6</v>
      </c>
      <c r="C19" s="126">
        <v>11</v>
      </c>
    </row>
    <row r="20" spans="1:13" ht="26.25" customHeight="1" x14ac:dyDescent="0.3">
      <c r="A20" s="123" t="s">
        <v>30</v>
      </c>
      <c r="B20" s="125" t="s">
        <v>138</v>
      </c>
    </row>
    <row r="21" spans="1:13" ht="26.25" customHeight="1" x14ac:dyDescent="0.3">
      <c r="A21" s="123" t="s">
        <v>31</v>
      </c>
      <c r="B21" s="127" t="s">
        <v>10</v>
      </c>
      <c r="C21" s="128"/>
      <c r="D21" s="128"/>
      <c r="E21" s="128"/>
      <c r="F21" s="128"/>
      <c r="G21" s="128"/>
      <c r="H21" s="128"/>
    </row>
    <row r="22" spans="1:13" ht="26.25" customHeight="1" x14ac:dyDescent="0.3">
      <c r="A22" s="123" t="s">
        <v>32</v>
      </c>
      <c r="B22" s="129"/>
    </row>
    <row r="23" spans="1:13" ht="26.25" customHeight="1" x14ac:dyDescent="0.3">
      <c r="A23" s="123" t="s">
        <v>33</v>
      </c>
      <c r="B23" s="129"/>
    </row>
    <row r="24" spans="1:13" ht="18.75" x14ac:dyDescent="0.3">
      <c r="A24" s="123"/>
      <c r="B24" s="130"/>
    </row>
    <row r="25" spans="1:13" ht="18.75" x14ac:dyDescent="0.3">
      <c r="A25" s="131" t="s">
        <v>1</v>
      </c>
      <c r="B25" s="130"/>
    </row>
    <row r="26" spans="1:13" ht="26.25" customHeight="1" x14ac:dyDescent="0.3">
      <c r="A26" s="132" t="s">
        <v>3</v>
      </c>
      <c r="B26" s="376" t="s">
        <v>96</v>
      </c>
      <c r="C26" s="376"/>
    </row>
    <row r="27" spans="1:13" ht="26.25" customHeight="1" x14ac:dyDescent="0.3">
      <c r="A27" s="133" t="s">
        <v>47</v>
      </c>
      <c r="B27" s="383" t="s">
        <v>97</v>
      </c>
      <c r="C27" s="383"/>
    </row>
    <row r="28" spans="1:13" ht="27" customHeight="1" thickBot="1" x14ac:dyDescent="0.35">
      <c r="A28" s="133" t="s">
        <v>5</v>
      </c>
      <c r="B28" s="134">
        <v>99.3</v>
      </c>
    </row>
    <row r="29" spans="1:13" s="138" customFormat="1" ht="15.75" customHeight="1" thickBot="1" x14ac:dyDescent="0.3">
      <c r="A29" s="133" t="s">
        <v>48</v>
      </c>
      <c r="B29" s="135">
        <v>0</v>
      </c>
      <c r="C29" s="384" t="s">
        <v>109</v>
      </c>
      <c r="D29" s="385"/>
      <c r="E29" s="385"/>
      <c r="F29" s="385"/>
      <c r="G29" s="386"/>
      <c r="H29" s="136"/>
      <c r="I29" s="137"/>
      <c r="J29" s="137"/>
      <c r="K29" s="137"/>
    </row>
    <row r="30" spans="1:13" s="138" customFormat="1" ht="19.5" customHeight="1" thickBot="1" x14ac:dyDescent="0.3">
      <c r="A30" s="133" t="s">
        <v>50</v>
      </c>
      <c r="B30" s="139">
        <f>B28-B29</f>
        <v>99.3</v>
      </c>
      <c r="C30" s="140"/>
      <c r="D30" s="140"/>
      <c r="E30" s="140"/>
      <c r="F30" s="140"/>
      <c r="G30" s="141"/>
      <c r="H30" s="136"/>
      <c r="I30" s="137"/>
      <c r="J30" s="137"/>
      <c r="K30" s="137"/>
    </row>
    <row r="31" spans="1:13" s="138" customFormat="1" ht="27" customHeight="1" thickBot="1" x14ac:dyDescent="0.3">
      <c r="A31" s="133" t="s">
        <v>51</v>
      </c>
      <c r="B31" s="142">
        <v>1</v>
      </c>
      <c r="C31" s="387" t="s">
        <v>52</v>
      </c>
      <c r="D31" s="388"/>
      <c r="E31" s="388"/>
      <c r="F31" s="388"/>
      <c r="G31" s="388"/>
      <c r="H31" s="389"/>
      <c r="I31" s="137"/>
      <c r="J31" s="137"/>
      <c r="K31" s="137"/>
    </row>
    <row r="32" spans="1:13" s="138" customFormat="1" ht="27" customHeight="1" thickBot="1" x14ac:dyDescent="0.3">
      <c r="A32" s="133" t="s">
        <v>53</v>
      </c>
      <c r="B32" s="142">
        <v>1</v>
      </c>
      <c r="C32" s="387" t="s">
        <v>54</v>
      </c>
      <c r="D32" s="388"/>
      <c r="E32" s="388"/>
      <c r="F32" s="388"/>
      <c r="G32" s="388"/>
      <c r="H32" s="389"/>
      <c r="I32" s="137"/>
      <c r="J32" s="137"/>
      <c r="K32" s="143"/>
      <c r="L32" s="143"/>
      <c r="M32" s="144"/>
    </row>
    <row r="33" spans="1:13" s="138" customFormat="1" ht="17.25" customHeight="1" x14ac:dyDescent="0.25">
      <c r="A33" s="133"/>
      <c r="B33" s="145"/>
      <c r="C33" s="146"/>
      <c r="D33" s="146"/>
      <c r="E33" s="146"/>
      <c r="F33" s="146"/>
      <c r="G33" s="146"/>
      <c r="H33" s="146"/>
      <c r="I33" s="137"/>
      <c r="J33" s="137"/>
      <c r="K33" s="143"/>
      <c r="L33" s="143"/>
      <c r="M33" s="144"/>
    </row>
    <row r="34" spans="1:13" s="138" customFormat="1" ht="18.75" x14ac:dyDescent="0.25">
      <c r="A34" s="133" t="s">
        <v>55</v>
      </c>
      <c r="B34" s="147">
        <f>B31/B32</f>
        <v>1</v>
      </c>
      <c r="C34" s="126" t="s">
        <v>56</v>
      </c>
      <c r="D34" s="126"/>
      <c r="E34" s="126"/>
      <c r="F34" s="126"/>
      <c r="G34" s="126"/>
      <c r="H34" s="136"/>
      <c r="I34" s="137"/>
      <c r="J34" s="137"/>
      <c r="K34" s="143"/>
      <c r="L34" s="143"/>
      <c r="M34" s="144"/>
    </row>
    <row r="35" spans="1:13" s="138" customFormat="1" ht="19.5" customHeight="1" thickBot="1" x14ac:dyDescent="0.3">
      <c r="A35" s="133"/>
      <c r="B35" s="139"/>
      <c r="C35" s="136"/>
      <c r="D35" s="136"/>
      <c r="E35" s="136"/>
      <c r="F35" s="136"/>
      <c r="G35" s="126"/>
      <c r="H35" s="136"/>
      <c r="I35" s="137"/>
      <c r="J35" s="137"/>
      <c r="K35" s="143"/>
      <c r="L35" s="143"/>
      <c r="M35" s="144"/>
    </row>
    <row r="36" spans="1:13" s="138" customFormat="1" ht="27" customHeight="1" thickBot="1" x14ac:dyDescent="0.3">
      <c r="A36" s="148" t="s">
        <v>110</v>
      </c>
      <c r="B36" s="149">
        <v>50</v>
      </c>
      <c r="C36" s="126"/>
      <c r="D36" s="390" t="s">
        <v>57</v>
      </c>
      <c r="E36" s="391"/>
      <c r="F36" s="390" t="s">
        <v>58</v>
      </c>
      <c r="G36" s="392"/>
      <c r="H36" s="136"/>
      <c r="I36" s="137"/>
      <c r="J36" s="137"/>
      <c r="K36" s="143"/>
      <c r="L36" s="143"/>
      <c r="M36" s="144"/>
    </row>
    <row r="37" spans="1:13" s="138" customFormat="1" ht="26.25" customHeight="1" x14ac:dyDescent="0.25">
      <c r="A37" s="150" t="s">
        <v>111</v>
      </c>
      <c r="B37" s="151">
        <v>5</v>
      </c>
      <c r="C37" s="152" t="s">
        <v>59</v>
      </c>
      <c r="D37" s="153" t="s">
        <v>60</v>
      </c>
      <c r="E37" s="154" t="s">
        <v>61</v>
      </c>
      <c r="F37" s="153" t="s">
        <v>60</v>
      </c>
      <c r="G37" s="155" t="s">
        <v>61</v>
      </c>
      <c r="H37" s="136"/>
      <c r="I37" s="137"/>
      <c r="J37" s="137"/>
      <c r="K37" s="143"/>
      <c r="L37" s="143"/>
      <c r="M37" s="144"/>
    </row>
    <row r="38" spans="1:13" s="138" customFormat="1" ht="26.25" customHeight="1" x14ac:dyDescent="0.25">
      <c r="A38" s="150" t="s">
        <v>112</v>
      </c>
      <c r="B38" s="151">
        <v>100</v>
      </c>
      <c r="C38" s="156">
        <v>1</v>
      </c>
      <c r="D38" s="157">
        <v>7999737</v>
      </c>
      <c r="E38" s="158">
        <f>IF(ISBLANK(D38),"-",$D$48/$D$45*D38)</f>
        <v>7690816.142592418</v>
      </c>
      <c r="F38" s="157">
        <v>7444858</v>
      </c>
      <c r="G38" s="159">
        <f>IF(ISBLANK(F38),"-",$D$48/$F$45*F38)</f>
        <v>7611512.0564765548</v>
      </c>
      <c r="H38" s="136"/>
      <c r="I38" s="137"/>
      <c r="J38" s="137"/>
      <c r="K38" s="143"/>
      <c r="L38" s="143"/>
      <c r="M38" s="144"/>
    </row>
    <row r="39" spans="1:13" s="138" customFormat="1" ht="26.25" customHeight="1" x14ac:dyDescent="0.25">
      <c r="A39" s="150" t="s">
        <v>113</v>
      </c>
      <c r="B39" s="151">
        <v>1</v>
      </c>
      <c r="C39" s="160">
        <v>2</v>
      </c>
      <c r="D39" s="161">
        <v>7953936</v>
      </c>
      <c r="E39" s="162">
        <f>IF(ISBLANK(D39),"-",$D$48/$D$45*D39)</f>
        <v>7646783.8112611659</v>
      </c>
      <c r="F39" s="161">
        <v>7444300</v>
      </c>
      <c r="G39" s="163">
        <f>IF(ISBLANK(F39),"-",$D$48/$F$45*F39)</f>
        <v>7610941.5655783387</v>
      </c>
      <c r="H39" s="136"/>
      <c r="I39" s="137"/>
      <c r="J39" s="137"/>
      <c r="K39" s="143"/>
      <c r="L39" s="143"/>
      <c r="M39" s="144"/>
    </row>
    <row r="40" spans="1:13" ht="26.25" customHeight="1" x14ac:dyDescent="0.3">
      <c r="A40" s="150" t="s">
        <v>114</v>
      </c>
      <c r="B40" s="151">
        <v>1</v>
      </c>
      <c r="C40" s="160">
        <v>3</v>
      </c>
      <c r="D40" s="161">
        <v>7956523</v>
      </c>
      <c r="E40" s="162">
        <f>IF(ISBLANK(D40),"-",$D$48/$D$45*D40)</f>
        <v>7649270.9106946709</v>
      </c>
      <c r="F40" s="161">
        <v>7443296</v>
      </c>
      <c r="G40" s="163">
        <f>IF(ISBLANK(F40),"-",$D$48/$F$45*F40)</f>
        <v>7609915.090915598</v>
      </c>
      <c r="K40" s="143"/>
      <c r="L40" s="143"/>
      <c r="M40" s="164"/>
    </row>
    <row r="41" spans="1:13" ht="26.25" customHeight="1" x14ac:dyDescent="0.3">
      <c r="A41" s="150" t="s">
        <v>115</v>
      </c>
      <c r="B41" s="151">
        <v>1</v>
      </c>
      <c r="C41" s="165">
        <v>4</v>
      </c>
      <c r="D41" s="166"/>
      <c r="E41" s="167" t="str">
        <f>IF(ISBLANK(D41),"-",$D$48/$D$45*D41)</f>
        <v>-</v>
      </c>
      <c r="F41" s="166"/>
      <c r="G41" s="168" t="str">
        <f>IF(ISBLANK(F41),"-",$D$48/$F$45*F41)</f>
        <v>-</v>
      </c>
      <c r="K41" s="143"/>
      <c r="L41" s="143"/>
      <c r="M41" s="164"/>
    </row>
    <row r="42" spans="1:13" ht="27" customHeight="1" thickBot="1" x14ac:dyDescent="0.35">
      <c r="A42" s="150" t="s">
        <v>116</v>
      </c>
      <c r="B42" s="151">
        <v>1</v>
      </c>
      <c r="C42" s="133" t="s">
        <v>62</v>
      </c>
      <c r="D42" s="169">
        <f>AVERAGE(D38:D41)</f>
        <v>7970065.333333333</v>
      </c>
      <c r="E42" s="170">
        <f>AVERAGE(E38:E41)</f>
        <v>7662290.2881827513</v>
      </c>
      <c r="F42" s="171">
        <f>AVERAGE(F38:F41)</f>
        <v>7444151.333333333</v>
      </c>
      <c r="G42" s="172">
        <f>AVERAGE(G38:G41)</f>
        <v>7610789.5709901638</v>
      </c>
      <c r="H42" s="173"/>
    </row>
    <row r="43" spans="1:13" ht="26.25" customHeight="1" x14ac:dyDescent="0.3">
      <c r="A43" s="150" t="s">
        <v>117</v>
      </c>
      <c r="B43" s="151">
        <v>1</v>
      </c>
      <c r="C43" s="174" t="s">
        <v>63</v>
      </c>
      <c r="D43" s="175">
        <v>20.95</v>
      </c>
      <c r="E43" s="126"/>
      <c r="F43" s="176">
        <v>19.7</v>
      </c>
      <c r="H43" s="173"/>
    </row>
    <row r="44" spans="1:13" ht="26.25" customHeight="1" x14ac:dyDescent="0.3">
      <c r="A44" s="150" t="s">
        <v>118</v>
      </c>
      <c r="B44" s="151">
        <v>1</v>
      </c>
      <c r="C44" s="177" t="s">
        <v>64</v>
      </c>
      <c r="D44" s="178">
        <f>D43*$B$34</f>
        <v>20.95</v>
      </c>
      <c r="E44" s="160"/>
      <c r="F44" s="179">
        <f>F43*$B$34</f>
        <v>19.7</v>
      </c>
      <c r="H44" s="173"/>
    </row>
    <row r="45" spans="1:13" ht="19.5" customHeight="1" thickBot="1" x14ac:dyDescent="0.35">
      <c r="A45" s="150" t="s">
        <v>65</v>
      </c>
      <c r="B45" s="180">
        <f>(B44/B43)*(B42/B41)*(B40/B39)*(B38/B37)*B36</f>
        <v>1000</v>
      </c>
      <c r="C45" s="177" t="s">
        <v>66</v>
      </c>
      <c r="D45" s="181">
        <f>D44*$B$30/100</f>
        <v>20.803350000000002</v>
      </c>
      <c r="E45" s="182"/>
      <c r="F45" s="183">
        <f>F44*$B$30/100</f>
        <v>19.562099999999997</v>
      </c>
      <c r="H45" s="173"/>
    </row>
    <row r="46" spans="1:13" ht="19.5" customHeight="1" thickBot="1" x14ac:dyDescent="0.35">
      <c r="A46" s="393" t="s">
        <v>67</v>
      </c>
      <c r="B46" s="394"/>
      <c r="C46" s="177" t="s">
        <v>68</v>
      </c>
      <c r="D46" s="178">
        <f>D45/$B$45</f>
        <v>2.0803350000000002E-2</v>
      </c>
      <c r="E46" s="182"/>
      <c r="F46" s="184">
        <f>F45/$B$45</f>
        <v>1.9562099999999999E-2</v>
      </c>
      <c r="H46" s="173"/>
    </row>
    <row r="47" spans="1:13" ht="27" customHeight="1" thickBot="1" x14ac:dyDescent="0.35">
      <c r="A47" s="395"/>
      <c r="B47" s="396"/>
      <c r="C47" s="185" t="s">
        <v>119</v>
      </c>
      <c r="D47" s="186">
        <v>0.02</v>
      </c>
      <c r="F47" s="187"/>
      <c r="H47" s="173"/>
    </row>
    <row r="48" spans="1:13" ht="18.75" x14ac:dyDescent="0.3">
      <c r="C48" s="188" t="s">
        <v>69</v>
      </c>
      <c r="D48" s="181">
        <f>D47*$B$45</f>
        <v>20</v>
      </c>
      <c r="F48" s="187"/>
      <c r="H48" s="173"/>
    </row>
    <row r="49" spans="1:11" ht="19.5" customHeight="1" thickBot="1" x14ac:dyDescent="0.35">
      <c r="C49" s="189" t="s">
        <v>70</v>
      </c>
      <c r="D49" s="190">
        <f>D48/B34</f>
        <v>20</v>
      </c>
      <c r="F49" s="162"/>
      <c r="H49" s="173"/>
    </row>
    <row r="50" spans="1:11" ht="18.75" x14ac:dyDescent="0.3">
      <c r="C50" s="191" t="s">
        <v>71</v>
      </c>
      <c r="D50" s="192">
        <f>AVERAGE(E38:E41,G38:G41)</f>
        <v>7636539.929586458</v>
      </c>
      <c r="F50" s="162"/>
      <c r="H50" s="173"/>
    </row>
    <row r="51" spans="1:11" ht="18.75" x14ac:dyDescent="0.3">
      <c r="C51" s="193" t="s">
        <v>72</v>
      </c>
      <c r="D51" s="194">
        <f>STDEV(E38:E41,G38:G41)/D50</f>
        <v>4.2244007099959749E-3</v>
      </c>
      <c r="F51" s="162"/>
    </row>
    <row r="52" spans="1:11" ht="19.5" customHeight="1" thickBot="1" x14ac:dyDescent="0.35">
      <c r="C52" s="195" t="s">
        <v>19</v>
      </c>
      <c r="D52" s="196">
        <f>COUNT(E38:E41,G38:G41)</f>
        <v>6</v>
      </c>
      <c r="F52" s="162"/>
    </row>
    <row r="54" spans="1:11" ht="18.75" x14ac:dyDescent="0.3">
      <c r="A54" s="197" t="s">
        <v>1</v>
      </c>
      <c r="B54" s="198" t="s">
        <v>73</v>
      </c>
    </row>
    <row r="55" spans="1:11" ht="18.75" x14ac:dyDescent="0.3">
      <c r="A55" s="126" t="s">
        <v>74</v>
      </c>
      <c r="B55" s="199" t="str">
        <f>B21</f>
        <v>Each capsule contains Lopinavir 400 mg, Ritonavir 10 mg</v>
      </c>
    </row>
    <row r="56" spans="1:11" ht="26.25" customHeight="1" x14ac:dyDescent="0.3">
      <c r="A56" s="199" t="s">
        <v>120</v>
      </c>
      <c r="B56" s="134">
        <v>10</v>
      </c>
      <c r="C56" s="126" t="str">
        <f>B20</f>
        <v xml:space="preserve"> Ritonavir</v>
      </c>
      <c r="H56" s="160"/>
    </row>
    <row r="57" spans="1:11" ht="18.75" x14ac:dyDescent="0.3">
      <c r="A57" s="199" t="s">
        <v>121</v>
      </c>
      <c r="B57" s="200">
        <f>Uniformity!D43</f>
        <v>218.82000000000002</v>
      </c>
      <c r="H57" s="160"/>
    </row>
    <row r="58" spans="1:11" ht="19.5" customHeight="1" thickBot="1" x14ac:dyDescent="0.35">
      <c r="H58" s="160"/>
    </row>
    <row r="59" spans="1:11" s="138" customFormat="1" ht="27" customHeight="1" thickBot="1" x14ac:dyDescent="0.3">
      <c r="A59" s="148" t="s">
        <v>122</v>
      </c>
      <c r="B59" s="149">
        <v>50</v>
      </c>
      <c r="C59" s="126"/>
      <c r="D59" s="201" t="s">
        <v>75</v>
      </c>
      <c r="E59" s="202" t="s">
        <v>59</v>
      </c>
      <c r="F59" s="202" t="s">
        <v>60</v>
      </c>
      <c r="G59" s="202" t="s">
        <v>76</v>
      </c>
      <c r="H59" s="203" t="s">
        <v>77</v>
      </c>
      <c r="K59" s="137"/>
    </row>
    <row r="60" spans="1:11" s="138" customFormat="1" ht="26.25" customHeight="1" x14ac:dyDescent="0.25">
      <c r="A60" s="150" t="s">
        <v>123</v>
      </c>
      <c r="B60" s="151">
        <v>5</v>
      </c>
      <c r="C60" s="397" t="s">
        <v>78</v>
      </c>
      <c r="D60" s="400">
        <v>213.4</v>
      </c>
      <c r="E60" s="204">
        <v>1</v>
      </c>
      <c r="F60" s="205">
        <v>7274730</v>
      </c>
      <c r="G60" s="206">
        <f>IF(ISBLANK(F60),"-",(F60/$D$50*$D$47*$B$68)*($B$57/$D$60))</f>
        <v>9.7681619404983131</v>
      </c>
      <c r="H60" s="207">
        <f t="shared" ref="H60:H71" si="0">IF(ISBLANK(F60),"-",G60/$B$56)</f>
        <v>0.97681619404983133</v>
      </c>
      <c r="K60" s="137"/>
    </row>
    <row r="61" spans="1:11" s="138" customFormat="1" ht="26.25" customHeight="1" x14ac:dyDescent="0.25">
      <c r="A61" s="150" t="s">
        <v>124</v>
      </c>
      <c r="B61" s="151">
        <v>50</v>
      </c>
      <c r="C61" s="398"/>
      <c r="D61" s="401"/>
      <c r="E61" s="208">
        <v>2</v>
      </c>
      <c r="F61" s="209">
        <v>7299400</v>
      </c>
      <c r="G61" s="210">
        <f>IF(ISBLANK(F61),"-",(F61/$D$50*$D$47*$B$68)*($B$57/$D$60))</f>
        <v>9.8012876448298947</v>
      </c>
      <c r="H61" s="211">
        <f t="shared" si="0"/>
        <v>0.98012876448298947</v>
      </c>
      <c r="K61" s="137"/>
    </row>
    <row r="62" spans="1:11" s="138" customFormat="1" ht="26.25" customHeight="1" x14ac:dyDescent="0.25">
      <c r="A62" s="150" t="s">
        <v>125</v>
      </c>
      <c r="B62" s="151">
        <v>1</v>
      </c>
      <c r="C62" s="398"/>
      <c r="D62" s="401"/>
      <c r="E62" s="208">
        <v>3</v>
      </c>
      <c r="F62" s="209">
        <v>7274341</v>
      </c>
      <c r="G62" s="210">
        <f>IF(ISBLANK(F62),"-",(F62/$D$50*$D$47*$B$68)*($B$57/$D$60))</f>
        <v>9.7676396097733456</v>
      </c>
      <c r="H62" s="211">
        <f t="shared" si="0"/>
        <v>0.97676396097733453</v>
      </c>
      <c r="K62" s="137"/>
    </row>
    <row r="63" spans="1:11" ht="27" customHeight="1" thickBot="1" x14ac:dyDescent="0.35">
      <c r="A63" s="150" t="s">
        <v>126</v>
      </c>
      <c r="B63" s="151">
        <v>1</v>
      </c>
      <c r="C63" s="399"/>
      <c r="D63" s="402"/>
      <c r="E63" s="212">
        <v>4</v>
      </c>
      <c r="F63" s="213"/>
      <c r="G63" s="210" t="str">
        <f>IF(ISBLANK(F63),"-",(F63/$D$50*$D$47*$B$68)*($B$57/$D$60))</f>
        <v>-</v>
      </c>
      <c r="H63" s="211" t="str">
        <f t="shared" si="0"/>
        <v>-</v>
      </c>
    </row>
    <row r="64" spans="1:11" ht="26.25" customHeight="1" x14ac:dyDescent="0.3">
      <c r="A64" s="150" t="s">
        <v>127</v>
      </c>
      <c r="B64" s="151">
        <v>1</v>
      </c>
      <c r="C64" s="397" t="s">
        <v>79</v>
      </c>
      <c r="D64" s="400">
        <v>210.59</v>
      </c>
      <c r="E64" s="204">
        <v>1</v>
      </c>
      <c r="F64" s="205">
        <v>7170307</v>
      </c>
      <c r="G64" s="214">
        <f>IF(ISBLANK(F64),"-",(F64/$D$50*$D$47*$B$68)*($B$57/$D$64))</f>
        <v>9.7564178651677782</v>
      </c>
      <c r="H64" s="215">
        <f t="shared" si="0"/>
        <v>0.9756417865167778</v>
      </c>
    </row>
    <row r="65" spans="1:8" ht="26.25" customHeight="1" x14ac:dyDescent="0.3">
      <c r="A65" s="150" t="s">
        <v>128</v>
      </c>
      <c r="B65" s="151">
        <v>1</v>
      </c>
      <c r="C65" s="398"/>
      <c r="D65" s="401"/>
      <c r="E65" s="208">
        <v>2</v>
      </c>
      <c r="F65" s="209">
        <v>7199277</v>
      </c>
      <c r="G65" s="216">
        <f>IF(ISBLANK(F65),"-",(F65/$D$50*$D$47*$B$68)*($B$57/$D$64))</f>
        <v>9.7958364598742413</v>
      </c>
      <c r="H65" s="217">
        <f t="shared" si="0"/>
        <v>0.97958364598742409</v>
      </c>
    </row>
    <row r="66" spans="1:8" ht="26.25" customHeight="1" x14ac:dyDescent="0.3">
      <c r="A66" s="150" t="s">
        <v>129</v>
      </c>
      <c r="B66" s="151">
        <v>1</v>
      </c>
      <c r="C66" s="398"/>
      <c r="D66" s="401"/>
      <c r="E66" s="208">
        <v>3</v>
      </c>
      <c r="F66" s="209">
        <v>7190256</v>
      </c>
      <c r="G66" s="216">
        <f>IF(ISBLANK(F66),"-",(F66/$D$50*$D$47*$B$68)*($B$57/$D$64))</f>
        <v>9.7835618605353716</v>
      </c>
      <c r="H66" s="217">
        <f t="shared" si="0"/>
        <v>0.97835618605353714</v>
      </c>
    </row>
    <row r="67" spans="1:8" ht="27" customHeight="1" thickBot="1" x14ac:dyDescent="0.35">
      <c r="A67" s="150" t="s">
        <v>130</v>
      </c>
      <c r="B67" s="151">
        <v>1</v>
      </c>
      <c r="C67" s="399"/>
      <c r="D67" s="402"/>
      <c r="E67" s="212">
        <v>4</v>
      </c>
      <c r="F67" s="213"/>
      <c r="G67" s="218" t="str">
        <f>IF(ISBLANK(F67),"-",(F67/$D$50*$D$47*$B$68)*($B$57/$D$64))</f>
        <v>-</v>
      </c>
      <c r="H67" s="219" t="str">
        <f t="shared" si="0"/>
        <v>-</v>
      </c>
    </row>
    <row r="68" spans="1:8" ht="21.75" customHeight="1" x14ac:dyDescent="0.3">
      <c r="A68" s="150" t="s">
        <v>80</v>
      </c>
      <c r="B68" s="180">
        <f>(B67/B66)*(B65/B64)*(B63/B62)*(B61/B60)*B59</f>
        <v>500</v>
      </c>
      <c r="C68" s="397" t="s">
        <v>81</v>
      </c>
      <c r="D68" s="400">
        <v>204.5</v>
      </c>
      <c r="E68" s="204">
        <v>1</v>
      </c>
      <c r="F68" s="205">
        <v>7011821</v>
      </c>
      <c r="G68" s="214">
        <f>IF(ISBLANK(F68),"-",(F68/$D$50*$D$47*$B$68)*($B$57/$D$68))</f>
        <v>9.8248944906290312</v>
      </c>
      <c r="H68" s="211">
        <f t="shared" si="0"/>
        <v>0.98248944906290314</v>
      </c>
    </row>
    <row r="69" spans="1:8" ht="21.75" customHeight="1" thickBot="1" x14ac:dyDescent="0.35">
      <c r="A69" s="220" t="s">
        <v>131</v>
      </c>
      <c r="B69" s="221">
        <f>D47*B68/B56*B57</f>
        <v>218.82000000000002</v>
      </c>
      <c r="C69" s="398"/>
      <c r="D69" s="401"/>
      <c r="E69" s="208">
        <v>2</v>
      </c>
      <c r="F69" s="209">
        <v>6999955</v>
      </c>
      <c r="G69" s="216">
        <f>IF(ISBLANK(F69),"-",(F69/$D$50*$D$47*$B$68)*($B$57/$D$68))</f>
        <v>9.8082679683567431</v>
      </c>
      <c r="H69" s="211">
        <f t="shared" si="0"/>
        <v>0.98082679683567431</v>
      </c>
    </row>
    <row r="70" spans="1:8" ht="22.5" customHeight="1" x14ac:dyDescent="0.3">
      <c r="A70" s="393" t="s">
        <v>67</v>
      </c>
      <c r="B70" s="394"/>
      <c r="C70" s="398"/>
      <c r="D70" s="401"/>
      <c r="E70" s="208">
        <v>3</v>
      </c>
      <c r="F70" s="209">
        <v>6987933</v>
      </c>
      <c r="G70" s="216">
        <f>IF(ISBLANK(F70),"-",(F70/$D$50*$D$47*$B$68)*($B$57/$D$68))</f>
        <v>9.7914228604216795</v>
      </c>
      <c r="H70" s="211">
        <f t="shared" si="0"/>
        <v>0.97914228604216791</v>
      </c>
    </row>
    <row r="71" spans="1:8" ht="21.75" customHeight="1" thickBot="1" x14ac:dyDescent="0.35">
      <c r="A71" s="395"/>
      <c r="B71" s="396"/>
      <c r="C71" s="403"/>
      <c r="D71" s="402"/>
      <c r="E71" s="212">
        <v>4</v>
      </c>
      <c r="F71" s="213"/>
      <c r="G71" s="218" t="str">
        <f>IF(ISBLANK(F71),"-",(F71/$D$50*$D$47*$B$68)*($B$57/$D$68))</f>
        <v>-</v>
      </c>
      <c r="H71" s="222" t="str">
        <f t="shared" si="0"/>
        <v>-</v>
      </c>
    </row>
    <row r="72" spans="1:8" ht="26.25" customHeight="1" x14ac:dyDescent="0.3">
      <c r="A72" s="160"/>
      <c r="B72" s="160"/>
      <c r="C72" s="160"/>
      <c r="D72" s="160"/>
      <c r="E72" s="160"/>
      <c r="F72" s="160"/>
      <c r="G72" s="223" t="s">
        <v>62</v>
      </c>
      <c r="H72" s="224">
        <f>AVERAGE(H60:H71)</f>
        <v>0.97886100777873764</v>
      </c>
    </row>
    <row r="73" spans="1:8" ht="26.25" customHeight="1" x14ac:dyDescent="0.3">
      <c r="C73" s="160"/>
      <c r="D73" s="160"/>
      <c r="E73" s="160"/>
      <c r="F73" s="160"/>
      <c r="G73" s="193" t="s">
        <v>72</v>
      </c>
      <c r="H73" s="225">
        <f>STDEV(H60:H71)/H72</f>
        <v>2.2392391766019974E-3</v>
      </c>
    </row>
    <row r="74" spans="1:8" ht="27" customHeight="1" thickBot="1" x14ac:dyDescent="0.35">
      <c r="A74" s="160"/>
      <c r="B74" s="160"/>
      <c r="C74" s="160"/>
      <c r="D74" s="160"/>
      <c r="E74" s="182"/>
      <c r="F74" s="160"/>
      <c r="G74" s="195" t="s">
        <v>19</v>
      </c>
      <c r="H74" s="226">
        <f>COUNT(H60:H71)</f>
        <v>9</v>
      </c>
    </row>
    <row r="75" spans="1:8" ht="18.75" x14ac:dyDescent="0.3">
      <c r="A75" s="160"/>
      <c r="B75" s="160"/>
      <c r="C75" s="160"/>
      <c r="D75" s="160"/>
      <c r="E75" s="182"/>
      <c r="F75" s="160"/>
      <c r="G75" s="133"/>
      <c r="H75" s="139"/>
    </row>
    <row r="76" spans="1:8" ht="26.25" customHeight="1" x14ac:dyDescent="0.3">
      <c r="A76" s="132" t="s">
        <v>132</v>
      </c>
      <c r="B76" s="133" t="s">
        <v>82</v>
      </c>
      <c r="C76" s="398" t="str">
        <f>B20</f>
        <v xml:space="preserve"> Ritonavir</v>
      </c>
      <c r="D76" s="398"/>
      <c r="E76" s="126" t="s">
        <v>83</v>
      </c>
      <c r="F76" s="126"/>
      <c r="G76" s="227">
        <f>H72</f>
        <v>0.97886100777873764</v>
      </c>
      <c r="H76" s="139"/>
    </row>
    <row r="77" spans="1:8" ht="18.75" x14ac:dyDescent="0.3">
      <c r="A77" s="131" t="s">
        <v>84</v>
      </c>
      <c r="B77" s="131" t="s">
        <v>85</v>
      </c>
    </row>
    <row r="78" spans="1:8" ht="18.75" x14ac:dyDescent="0.3">
      <c r="A78" s="131"/>
      <c r="B78" s="131"/>
    </row>
    <row r="79" spans="1:8" ht="26.25" customHeight="1" x14ac:dyDescent="0.3">
      <c r="A79" s="132" t="s">
        <v>3</v>
      </c>
      <c r="B79" s="376" t="str">
        <f>B26</f>
        <v>Ritonavir</v>
      </c>
      <c r="C79" s="376"/>
    </row>
    <row r="80" spans="1:8" ht="26.25" customHeight="1" x14ac:dyDescent="0.3">
      <c r="A80" s="133" t="s">
        <v>47</v>
      </c>
      <c r="B80" s="383" t="str">
        <f>B27</f>
        <v>R9-1</v>
      </c>
      <c r="C80" s="383"/>
    </row>
    <row r="81" spans="1:11" ht="27" customHeight="1" thickBot="1" x14ac:dyDescent="0.35">
      <c r="A81" s="133" t="s">
        <v>5</v>
      </c>
      <c r="B81" s="134">
        <f>B28</f>
        <v>99.3</v>
      </c>
    </row>
    <row r="82" spans="1:11" s="138" customFormat="1" ht="27" customHeight="1" thickBot="1" x14ac:dyDescent="0.3">
      <c r="A82" s="133" t="s">
        <v>48</v>
      </c>
      <c r="B82" s="134">
        <f>B29</f>
        <v>0</v>
      </c>
      <c r="C82" s="384" t="s">
        <v>109</v>
      </c>
      <c r="D82" s="385"/>
      <c r="E82" s="385"/>
      <c r="F82" s="385"/>
      <c r="G82" s="386"/>
      <c r="H82" s="136"/>
      <c r="I82" s="137"/>
      <c r="J82" s="137"/>
      <c r="K82" s="137"/>
    </row>
    <row r="83" spans="1:11" s="138" customFormat="1" ht="19.5" customHeight="1" thickBot="1" x14ac:dyDescent="0.3">
      <c r="A83" s="133" t="s">
        <v>50</v>
      </c>
      <c r="B83" s="139">
        <f>B81-B82</f>
        <v>99.3</v>
      </c>
      <c r="C83" s="140"/>
      <c r="D83" s="140"/>
      <c r="E83" s="140"/>
      <c r="F83" s="140"/>
      <c r="G83" s="141"/>
      <c r="H83" s="136"/>
      <c r="I83" s="137"/>
      <c r="J83" s="137"/>
      <c r="K83" s="137"/>
    </row>
    <row r="84" spans="1:11" s="138" customFormat="1" ht="27" customHeight="1" thickBot="1" x14ac:dyDescent="0.3">
      <c r="A84" s="133" t="s">
        <v>51</v>
      </c>
      <c r="B84" s="142">
        <v>1</v>
      </c>
      <c r="C84" s="387" t="s">
        <v>52</v>
      </c>
      <c r="D84" s="388"/>
      <c r="E84" s="388"/>
      <c r="F84" s="388"/>
      <c r="G84" s="388"/>
      <c r="H84" s="389"/>
      <c r="I84" s="137"/>
      <c r="J84" s="137"/>
      <c r="K84" s="137"/>
    </row>
    <row r="85" spans="1:11" s="138" customFormat="1" ht="27" customHeight="1" thickBot="1" x14ac:dyDescent="0.3">
      <c r="A85" s="133" t="s">
        <v>53</v>
      </c>
      <c r="B85" s="142">
        <v>1</v>
      </c>
      <c r="C85" s="387" t="s">
        <v>54</v>
      </c>
      <c r="D85" s="388"/>
      <c r="E85" s="388"/>
      <c r="F85" s="388"/>
      <c r="G85" s="388"/>
      <c r="H85" s="389"/>
      <c r="I85" s="137"/>
      <c r="J85" s="137"/>
      <c r="K85" s="137"/>
    </row>
    <row r="86" spans="1:11" s="138" customFormat="1" ht="18.75" x14ac:dyDescent="0.25">
      <c r="A86" s="133"/>
      <c r="B86" s="145"/>
      <c r="C86" s="146"/>
      <c r="D86" s="146"/>
      <c r="E86" s="146"/>
      <c r="F86" s="146"/>
      <c r="G86" s="146"/>
      <c r="H86" s="146"/>
      <c r="I86" s="137"/>
      <c r="J86" s="137"/>
      <c r="K86" s="137"/>
    </row>
    <row r="87" spans="1:11" ht="18.75" x14ac:dyDescent="0.3">
      <c r="A87" s="133" t="s">
        <v>55</v>
      </c>
      <c r="B87" s="147">
        <f>B84/B85</f>
        <v>1</v>
      </c>
      <c r="C87" s="126" t="s">
        <v>56</v>
      </c>
      <c r="H87" s="136"/>
    </row>
    <row r="88" spans="1:11" ht="19.5" customHeight="1" thickBot="1" x14ac:dyDescent="0.35">
      <c r="A88" s="133"/>
      <c r="B88" s="147"/>
      <c r="H88" s="136"/>
    </row>
    <row r="89" spans="1:11" ht="27" customHeight="1" thickBot="1" x14ac:dyDescent="0.35">
      <c r="A89" s="148" t="s">
        <v>110</v>
      </c>
      <c r="B89" s="149">
        <v>50</v>
      </c>
      <c r="D89" s="228" t="s">
        <v>57</v>
      </c>
      <c r="E89" s="229"/>
      <c r="F89" s="390" t="s">
        <v>58</v>
      </c>
      <c r="G89" s="392"/>
    </row>
    <row r="90" spans="1:11" ht="26.25" customHeight="1" x14ac:dyDescent="0.3">
      <c r="A90" s="150" t="s">
        <v>111</v>
      </c>
      <c r="B90" s="151">
        <v>5</v>
      </c>
      <c r="C90" s="152" t="s">
        <v>59</v>
      </c>
      <c r="D90" s="230" t="s">
        <v>60</v>
      </c>
      <c r="E90" s="154" t="s">
        <v>61</v>
      </c>
      <c r="F90" s="230" t="s">
        <v>60</v>
      </c>
      <c r="G90" s="155" t="s">
        <v>61</v>
      </c>
    </row>
    <row r="91" spans="1:11" ht="26.25" customHeight="1" x14ac:dyDescent="0.3">
      <c r="A91" s="150" t="s">
        <v>112</v>
      </c>
      <c r="B91" s="151">
        <v>100</v>
      </c>
      <c r="C91" s="156">
        <v>1</v>
      </c>
      <c r="D91" s="231">
        <v>7999737</v>
      </c>
      <c r="E91" s="232">
        <f>IF(ISBLANK(D91),"-",$D$101/$D$98*D91)</f>
        <v>7690816.142592418</v>
      </c>
      <c r="F91" s="233">
        <v>7444858</v>
      </c>
      <c r="G91" s="234">
        <f>IF(ISBLANK(F91),"-",$D$101/$F$98*F91)</f>
        <v>7611512.0564765548</v>
      </c>
    </row>
    <row r="92" spans="1:11" ht="26.25" customHeight="1" x14ac:dyDescent="0.3">
      <c r="A92" s="150" t="s">
        <v>113</v>
      </c>
      <c r="B92" s="151">
        <v>1</v>
      </c>
      <c r="C92" s="160">
        <v>2</v>
      </c>
      <c r="D92" s="209">
        <v>7953936</v>
      </c>
      <c r="E92" s="235">
        <f>IF(ISBLANK(D92),"-",$D$101/$D$98*D92)</f>
        <v>7646783.8112611659</v>
      </c>
      <c r="F92" s="236">
        <v>7444300</v>
      </c>
      <c r="G92" s="237">
        <f>IF(ISBLANK(F92),"-",$D$101/$F$98*F92)</f>
        <v>7610941.5655783387</v>
      </c>
    </row>
    <row r="93" spans="1:11" ht="26.25" customHeight="1" x14ac:dyDescent="0.3">
      <c r="A93" s="150" t="s">
        <v>114</v>
      </c>
      <c r="B93" s="151">
        <v>1</v>
      </c>
      <c r="C93" s="160">
        <v>3</v>
      </c>
      <c r="D93" s="209">
        <v>7956523</v>
      </c>
      <c r="E93" s="235">
        <f>IF(ISBLANK(D93),"-",$D$101/$D$98*D93)</f>
        <v>7649270.9106946709</v>
      </c>
      <c r="F93" s="236">
        <v>7443296</v>
      </c>
      <c r="G93" s="237">
        <f>IF(ISBLANK(F93),"-",$D$101/$F$98*F93)</f>
        <v>7609915.090915598</v>
      </c>
    </row>
    <row r="94" spans="1:11" ht="26.25" customHeight="1" x14ac:dyDescent="0.3">
      <c r="A94" s="150" t="s">
        <v>115</v>
      </c>
      <c r="B94" s="151">
        <v>1</v>
      </c>
      <c r="C94" s="165">
        <v>4</v>
      </c>
      <c r="D94" s="238"/>
      <c r="E94" s="239" t="str">
        <f>IF(ISBLANK(D94),"-",$D$101/$D$98*D94)</f>
        <v>-</v>
      </c>
      <c r="F94" s="240"/>
      <c r="G94" s="241" t="str">
        <f>IF(ISBLANK(F94),"-",$D$101/$F$98*F94)</f>
        <v>-</v>
      </c>
    </row>
    <row r="95" spans="1:11" ht="27" customHeight="1" thickBot="1" x14ac:dyDescent="0.35">
      <c r="A95" s="150" t="s">
        <v>116</v>
      </c>
      <c r="B95" s="151">
        <v>1</v>
      </c>
      <c r="C95" s="133" t="s">
        <v>62</v>
      </c>
      <c r="D95" s="169">
        <f>AVERAGE(D91:D94)</f>
        <v>7970065.333333333</v>
      </c>
      <c r="E95" s="170">
        <f>AVERAGE(E91:E94)</f>
        <v>7662290.2881827513</v>
      </c>
      <c r="F95" s="242">
        <f>AVERAGE(F91:F94)</f>
        <v>7444151.333333333</v>
      </c>
      <c r="G95" s="243">
        <f>AVERAGE(G91:G94)</f>
        <v>7610789.5709901638</v>
      </c>
    </row>
    <row r="96" spans="1:11" ht="26.25" customHeight="1" x14ac:dyDescent="0.3">
      <c r="A96" s="150" t="s">
        <v>117</v>
      </c>
      <c r="B96" s="151">
        <v>1</v>
      </c>
      <c r="C96" s="174" t="s">
        <v>63</v>
      </c>
      <c r="D96" s="175">
        <v>20.95</v>
      </c>
      <c r="E96" s="126"/>
      <c r="F96" s="176">
        <v>19.7</v>
      </c>
    </row>
    <row r="97" spans="1:9" ht="26.25" customHeight="1" x14ac:dyDescent="0.3">
      <c r="A97" s="150" t="s">
        <v>118</v>
      </c>
      <c r="B97" s="151">
        <v>1</v>
      </c>
      <c r="C97" s="177" t="s">
        <v>64</v>
      </c>
      <c r="D97" s="178">
        <f>D96*$B$87</f>
        <v>20.95</v>
      </c>
      <c r="E97" s="160"/>
      <c r="F97" s="179">
        <f>F96*$B$87</f>
        <v>19.7</v>
      </c>
    </row>
    <row r="98" spans="1:9" ht="19.5" customHeight="1" thickBot="1" x14ac:dyDescent="0.35">
      <c r="A98" s="220" t="s">
        <v>65</v>
      </c>
      <c r="B98" s="244">
        <f>(B97/B96)*(B95/B94)*(B93/B92)*(B91/B90)*B89</f>
        <v>1000</v>
      </c>
      <c r="C98" s="177" t="s">
        <v>66</v>
      </c>
      <c r="D98" s="181">
        <f>D97*$B$83/100</f>
        <v>20.803350000000002</v>
      </c>
      <c r="E98" s="182"/>
      <c r="F98" s="183">
        <f>F97*$B$83/100</f>
        <v>19.562099999999997</v>
      </c>
    </row>
    <row r="99" spans="1:9" ht="19.5" customHeight="1" thickBot="1" x14ac:dyDescent="0.35">
      <c r="A99" s="393" t="s">
        <v>67</v>
      </c>
      <c r="B99" s="394"/>
      <c r="C99" s="177" t="s">
        <v>68</v>
      </c>
      <c r="D99" s="245">
        <f>D98/$B$98</f>
        <v>2.0803350000000002E-2</v>
      </c>
      <c r="E99" s="246"/>
      <c r="F99" s="247">
        <f>F98/$B$98</f>
        <v>1.9562099999999999E-2</v>
      </c>
      <c r="G99" s="248"/>
      <c r="H99" s="173"/>
    </row>
    <row r="100" spans="1:9" ht="19.5" customHeight="1" thickBot="1" x14ac:dyDescent="0.35">
      <c r="A100" s="395"/>
      <c r="B100" s="396"/>
      <c r="C100" s="188" t="s">
        <v>119</v>
      </c>
      <c r="D100" s="249">
        <f>$B$56/$B$116</f>
        <v>0.02</v>
      </c>
      <c r="F100" s="187"/>
      <c r="G100" s="250"/>
      <c r="H100" s="173"/>
    </row>
    <row r="101" spans="1:9" ht="18.75" x14ac:dyDescent="0.3">
      <c r="C101" s="188" t="s">
        <v>69</v>
      </c>
      <c r="D101" s="178">
        <f>D100*$B$98</f>
        <v>20</v>
      </c>
      <c r="F101" s="187"/>
      <c r="G101" s="248"/>
      <c r="H101" s="173"/>
    </row>
    <row r="102" spans="1:9" ht="19.5" customHeight="1" thickBot="1" x14ac:dyDescent="0.35">
      <c r="C102" s="189" t="s">
        <v>70</v>
      </c>
      <c r="D102" s="251">
        <f>D101/B34</f>
        <v>20</v>
      </c>
      <c r="F102" s="162"/>
      <c r="G102" s="248"/>
      <c r="H102" s="173"/>
      <c r="I102" s="252"/>
    </row>
    <row r="103" spans="1:9" ht="18.75" x14ac:dyDescent="0.3">
      <c r="C103" s="191" t="s">
        <v>90</v>
      </c>
      <c r="D103" s="192">
        <f>AVERAGE(E91:E94,G91:G94)</f>
        <v>7636539.929586458</v>
      </c>
      <c r="F103" s="162"/>
      <c r="G103" s="250"/>
      <c r="H103" s="173"/>
      <c r="I103" s="253"/>
    </row>
    <row r="104" spans="1:9" ht="18.75" x14ac:dyDescent="0.3">
      <c r="C104" s="193" t="s">
        <v>72</v>
      </c>
      <c r="D104" s="254">
        <f>STDEV(E91:E94,G91:G94)/D103</f>
        <v>4.2244007099959749E-3</v>
      </c>
      <c r="F104" s="162"/>
      <c r="G104" s="248"/>
      <c r="H104" s="173"/>
      <c r="I104" s="253"/>
    </row>
    <row r="105" spans="1:9" ht="19.5" customHeight="1" thickBot="1" x14ac:dyDescent="0.35">
      <c r="C105" s="195" t="s">
        <v>19</v>
      </c>
      <c r="D105" s="255">
        <f>COUNT(E91:E94,G91:G94)</f>
        <v>6</v>
      </c>
      <c r="F105" s="162"/>
      <c r="G105" s="248"/>
      <c r="H105" s="173"/>
      <c r="I105" s="253"/>
    </row>
    <row r="106" spans="1:9" ht="19.5" customHeight="1" thickBot="1" x14ac:dyDescent="0.35">
      <c r="A106" s="197"/>
      <c r="B106" s="197"/>
      <c r="C106" s="197"/>
      <c r="D106" s="197"/>
      <c r="E106" s="197"/>
    </row>
    <row r="107" spans="1:9" ht="26.25" customHeight="1" x14ac:dyDescent="0.3">
      <c r="A107" s="148" t="s">
        <v>91</v>
      </c>
      <c r="B107" s="149">
        <v>500</v>
      </c>
      <c r="C107" s="228" t="s">
        <v>133</v>
      </c>
      <c r="D107" s="256" t="s">
        <v>60</v>
      </c>
      <c r="E107" s="257" t="s">
        <v>92</v>
      </c>
      <c r="F107" s="258" t="s">
        <v>93</v>
      </c>
    </row>
    <row r="108" spans="1:9" ht="26.25" customHeight="1" x14ac:dyDescent="0.3">
      <c r="A108" s="150" t="s">
        <v>123</v>
      </c>
      <c r="B108" s="151">
        <v>1</v>
      </c>
      <c r="C108" s="259">
        <v>1</v>
      </c>
      <c r="D108" s="260">
        <v>6805091</v>
      </c>
      <c r="E108" s="261">
        <f t="shared" ref="E108:E113" si="1">IF(ISBLANK(D108),"-",D108/$D$103*$D$100*$B$116)</f>
        <v>8.9112229658288662</v>
      </c>
      <c r="F108" s="262">
        <f t="shared" ref="F108:F113" si="2">IF(ISBLANK(D108), "-", E108/$B$56)</f>
        <v>0.89112229658288666</v>
      </c>
    </row>
    <row r="109" spans="1:9" ht="26.25" customHeight="1" x14ac:dyDescent="0.3">
      <c r="A109" s="150" t="s">
        <v>124</v>
      </c>
      <c r="B109" s="151">
        <v>1</v>
      </c>
      <c r="C109" s="259">
        <v>2</v>
      </c>
      <c r="D109" s="260">
        <v>7022511</v>
      </c>
      <c r="E109" s="263">
        <f t="shared" si="1"/>
        <v>9.1959330596733899</v>
      </c>
      <c r="F109" s="264">
        <f t="shared" si="2"/>
        <v>0.91959330596733901</v>
      </c>
    </row>
    <row r="110" spans="1:9" ht="26.25" customHeight="1" x14ac:dyDescent="0.3">
      <c r="A110" s="150" t="s">
        <v>125</v>
      </c>
      <c r="B110" s="151">
        <v>1</v>
      </c>
      <c r="C110" s="259">
        <v>3</v>
      </c>
      <c r="D110" s="260">
        <v>6123978</v>
      </c>
      <c r="E110" s="263">
        <f t="shared" si="1"/>
        <v>8.0193098660739039</v>
      </c>
      <c r="F110" s="264">
        <f t="shared" si="2"/>
        <v>0.80193098660739037</v>
      </c>
    </row>
    <row r="111" spans="1:9" ht="26.25" customHeight="1" x14ac:dyDescent="0.3">
      <c r="A111" s="150" t="s">
        <v>126</v>
      </c>
      <c r="B111" s="151">
        <v>1</v>
      </c>
      <c r="C111" s="259">
        <v>4</v>
      </c>
      <c r="D111" s="260">
        <v>7284707</v>
      </c>
      <c r="E111" s="263">
        <f t="shared" si="1"/>
        <v>9.5392770379902796</v>
      </c>
      <c r="F111" s="264">
        <f t="shared" si="2"/>
        <v>0.95392770379902792</v>
      </c>
    </row>
    <row r="112" spans="1:9" ht="26.25" customHeight="1" x14ac:dyDescent="0.3">
      <c r="A112" s="150" t="s">
        <v>127</v>
      </c>
      <c r="B112" s="151">
        <v>1</v>
      </c>
      <c r="C112" s="259">
        <v>5</v>
      </c>
      <c r="D112" s="260">
        <v>6699045</v>
      </c>
      <c r="E112" s="263">
        <f t="shared" si="1"/>
        <v>8.7723564097998157</v>
      </c>
      <c r="F112" s="264">
        <f t="shared" si="2"/>
        <v>0.87723564097998152</v>
      </c>
    </row>
    <row r="113" spans="1:11" ht="26.25" customHeight="1" x14ac:dyDescent="0.3">
      <c r="A113" s="150" t="s">
        <v>128</v>
      </c>
      <c r="B113" s="151">
        <v>1</v>
      </c>
      <c r="C113" s="265">
        <v>6</v>
      </c>
      <c r="D113" s="266">
        <v>6516964</v>
      </c>
      <c r="E113" s="267">
        <f t="shared" si="1"/>
        <v>8.5339225095270521</v>
      </c>
      <c r="F113" s="268">
        <f t="shared" si="2"/>
        <v>0.85339225095270521</v>
      </c>
    </row>
    <row r="114" spans="1:11" ht="26.25" customHeight="1" x14ac:dyDescent="0.3">
      <c r="A114" s="150" t="s">
        <v>129</v>
      </c>
      <c r="B114" s="151">
        <v>1</v>
      </c>
      <c r="C114" s="259"/>
      <c r="D114" s="160"/>
      <c r="E114" s="126"/>
      <c r="F114" s="269"/>
    </row>
    <row r="115" spans="1:11" ht="26.25" customHeight="1" x14ac:dyDescent="0.3">
      <c r="A115" s="150" t="s">
        <v>130</v>
      </c>
      <c r="B115" s="151">
        <v>1</v>
      </c>
      <c r="C115" s="259"/>
      <c r="D115" s="270"/>
      <c r="E115" s="271" t="s">
        <v>62</v>
      </c>
      <c r="F115" s="272">
        <f>AVERAGE(F108:F113)</f>
        <v>0.88286703081488849</v>
      </c>
    </row>
    <row r="116" spans="1:11" ht="27" customHeight="1" thickBot="1" x14ac:dyDescent="0.35">
      <c r="A116" s="150" t="s">
        <v>80</v>
      </c>
      <c r="B116" s="180">
        <f>(B115/B114)*(B113/B112)*(B111/B110)*(B109/B108)*B107</f>
        <v>500</v>
      </c>
      <c r="C116" s="273"/>
      <c r="D116" s="274"/>
      <c r="E116" s="133" t="s">
        <v>72</v>
      </c>
      <c r="F116" s="275">
        <f>STDEV(F108:F113)/F115</f>
        <v>5.9759029242662486E-2</v>
      </c>
    </row>
    <row r="117" spans="1:11" ht="19.5" customHeight="1" thickBot="1" x14ac:dyDescent="0.35">
      <c r="A117" s="393" t="s">
        <v>67</v>
      </c>
      <c r="B117" s="394"/>
      <c r="C117" s="276"/>
      <c r="D117" s="277"/>
      <c r="E117" s="278" t="s">
        <v>19</v>
      </c>
      <c r="F117" s="279">
        <f>COUNT(F108:F113)</f>
        <v>6</v>
      </c>
      <c r="I117" s="253"/>
    </row>
    <row r="118" spans="1:11" ht="19.5" customHeight="1" thickBot="1" x14ac:dyDescent="0.35">
      <c r="A118" s="395"/>
      <c r="B118" s="396"/>
      <c r="C118" s="126"/>
      <c r="D118" s="126"/>
      <c r="E118" s="126"/>
      <c r="F118" s="160"/>
      <c r="G118" s="126"/>
      <c r="H118" s="126"/>
    </row>
    <row r="119" spans="1:11" ht="18.75" x14ac:dyDescent="0.3">
      <c r="A119" s="146"/>
      <c r="B119" s="146"/>
      <c r="C119" s="126"/>
      <c r="D119" s="126"/>
      <c r="E119" s="126"/>
      <c r="F119" s="160"/>
      <c r="G119" s="126"/>
      <c r="H119" s="126"/>
    </row>
    <row r="120" spans="1:11" ht="18.75" x14ac:dyDescent="0.3">
      <c r="A120" s="280" t="s">
        <v>134</v>
      </c>
      <c r="B120" s="280" t="s">
        <v>135</v>
      </c>
      <c r="C120" s="164"/>
      <c r="D120" s="164"/>
      <c r="E120" s="164"/>
      <c r="F120" s="164"/>
      <c r="G120" s="164"/>
      <c r="H120" s="164"/>
    </row>
    <row r="121" spans="1:11" ht="18.75" x14ac:dyDescent="0.3">
      <c r="A121" s="280"/>
      <c r="B121" s="280"/>
      <c r="C121" s="164"/>
      <c r="D121" s="164"/>
      <c r="E121" s="164"/>
      <c r="F121" s="164"/>
      <c r="G121" s="164"/>
      <c r="H121" s="164"/>
    </row>
    <row r="122" spans="1:11" ht="18.75" x14ac:dyDescent="0.3">
      <c r="A122" s="281" t="s">
        <v>3</v>
      </c>
      <c r="B122" s="282" t="s">
        <v>96</v>
      </c>
      <c r="C122" s="164"/>
      <c r="D122" s="164"/>
      <c r="E122" s="164"/>
      <c r="F122" s="164"/>
      <c r="G122" s="164"/>
      <c r="H122" s="164"/>
    </row>
    <row r="123" spans="1:11" ht="18.75" x14ac:dyDescent="0.3">
      <c r="A123" s="283" t="s">
        <v>47</v>
      </c>
      <c r="B123" s="282" t="s">
        <v>97</v>
      </c>
      <c r="C123" s="164"/>
      <c r="D123" s="164"/>
      <c r="E123" s="164"/>
      <c r="F123" s="164"/>
      <c r="G123" s="164"/>
      <c r="H123" s="164"/>
    </row>
    <row r="124" spans="1:11" ht="19.5" customHeight="1" thickBot="1" x14ac:dyDescent="0.35">
      <c r="A124" s="283" t="s">
        <v>5</v>
      </c>
      <c r="B124" s="282">
        <v>99.3</v>
      </c>
      <c r="C124" s="164"/>
      <c r="D124" s="164"/>
      <c r="E124" s="164"/>
      <c r="F124" s="164"/>
      <c r="G124" s="164"/>
      <c r="H124" s="164"/>
    </row>
    <row r="125" spans="1:11" s="138" customFormat="1" ht="15.75" customHeight="1" thickBot="1" x14ac:dyDescent="0.35">
      <c r="A125" s="283" t="s">
        <v>48</v>
      </c>
      <c r="B125" s="282">
        <v>0</v>
      </c>
      <c r="C125" s="384" t="s">
        <v>49</v>
      </c>
      <c r="D125" s="385"/>
      <c r="E125" s="385"/>
      <c r="F125" s="385"/>
      <c r="G125" s="386"/>
      <c r="I125" s="137"/>
      <c r="J125" s="137"/>
      <c r="K125" s="137"/>
    </row>
    <row r="126" spans="1:11" s="138" customFormat="1" ht="19.5" customHeight="1" thickBot="1" x14ac:dyDescent="0.35">
      <c r="A126" s="283" t="s">
        <v>50</v>
      </c>
      <c r="B126" s="284">
        <f>B124-B125</f>
        <v>99.3</v>
      </c>
      <c r="C126" s="285"/>
      <c r="D126" s="285"/>
      <c r="E126" s="285"/>
      <c r="F126" s="285"/>
      <c r="G126" s="286"/>
      <c r="I126" s="137"/>
      <c r="J126" s="137"/>
      <c r="K126" s="137"/>
    </row>
    <row r="127" spans="1:11" s="138" customFormat="1" ht="27" customHeight="1" thickBot="1" x14ac:dyDescent="0.3">
      <c r="A127" s="133" t="s">
        <v>51</v>
      </c>
      <c r="B127" s="142">
        <v>1</v>
      </c>
      <c r="C127" s="387" t="s">
        <v>52</v>
      </c>
      <c r="D127" s="388"/>
      <c r="E127" s="388"/>
      <c r="F127" s="388"/>
      <c r="G127" s="388"/>
      <c r="H127" s="389"/>
      <c r="I127" s="137"/>
      <c r="J127" s="137"/>
      <c r="K127" s="137"/>
    </row>
    <row r="128" spans="1:11" s="138" customFormat="1" ht="27" customHeight="1" thickBot="1" x14ac:dyDescent="0.3">
      <c r="A128" s="133" t="s">
        <v>53</v>
      </c>
      <c r="B128" s="142">
        <v>1</v>
      </c>
      <c r="C128" s="387" t="s">
        <v>54</v>
      </c>
      <c r="D128" s="388"/>
      <c r="E128" s="388"/>
      <c r="F128" s="388"/>
      <c r="G128" s="388"/>
      <c r="H128" s="389"/>
      <c r="I128" s="137"/>
      <c r="J128" s="137"/>
      <c r="K128" s="137"/>
    </row>
    <row r="129" spans="1:11" s="138" customFormat="1" ht="18.75" x14ac:dyDescent="0.25">
      <c r="A129" s="133"/>
      <c r="B129" s="145"/>
      <c r="C129" s="146"/>
      <c r="D129" s="146"/>
      <c r="E129" s="146"/>
      <c r="F129" s="146"/>
      <c r="G129" s="146"/>
      <c r="H129" s="146"/>
      <c r="I129" s="137"/>
      <c r="J129" s="137"/>
      <c r="K129" s="137"/>
    </row>
    <row r="130" spans="1:11" ht="18.75" x14ac:dyDescent="0.3">
      <c r="A130" s="133" t="s">
        <v>55</v>
      </c>
      <c r="B130" s="147">
        <f>B127/B128</f>
        <v>1</v>
      </c>
      <c r="C130" s="126" t="s">
        <v>56</v>
      </c>
      <c r="H130" s="136"/>
    </row>
    <row r="131" spans="1:11" ht="19.5" customHeight="1" thickBot="1" x14ac:dyDescent="0.35">
      <c r="A131" s="280"/>
      <c r="B131" s="280"/>
      <c r="C131" s="164"/>
      <c r="D131" s="164"/>
      <c r="E131" s="164"/>
      <c r="F131" s="164"/>
      <c r="G131" s="164"/>
      <c r="H131" s="164"/>
    </row>
    <row r="132" spans="1:11" ht="27" customHeight="1" thickBot="1" x14ac:dyDescent="0.35">
      <c r="A132" s="287" t="s">
        <v>110</v>
      </c>
      <c r="B132" s="288">
        <v>100</v>
      </c>
      <c r="C132" s="164"/>
      <c r="D132" s="404" t="s">
        <v>57</v>
      </c>
      <c r="E132" s="405"/>
      <c r="F132" s="404" t="s">
        <v>58</v>
      </c>
      <c r="G132" s="405"/>
      <c r="H132" s="164"/>
    </row>
    <row r="133" spans="1:11" ht="26.25" customHeight="1" x14ac:dyDescent="0.3">
      <c r="A133" s="289" t="s">
        <v>111</v>
      </c>
      <c r="B133" s="290">
        <v>5</v>
      </c>
      <c r="C133" s="291" t="s">
        <v>136</v>
      </c>
      <c r="D133" s="292" t="s">
        <v>60</v>
      </c>
      <c r="E133" s="293" t="s">
        <v>61</v>
      </c>
      <c r="F133" s="292" t="s">
        <v>60</v>
      </c>
      <c r="G133" s="293" t="s">
        <v>61</v>
      </c>
      <c r="H133" s="164"/>
    </row>
    <row r="134" spans="1:11" ht="26.25" customHeight="1" x14ac:dyDescent="0.3">
      <c r="A134" s="289" t="s">
        <v>112</v>
      </c>
      <c r="B134" s="290">
        <v>25</v>
      </c>
      <c r="C134" s="294">
        <v>1</v>
      </c>
      <c r="D134" s="231">
        <v>9903536</v>
      </c>
      <c r="E134" s="295">
        <f>IF(ISBLANK(D134),"-",$D$144/$D$141*D134)</f>
        <v>7695485.6837367741</v>
      </c>
      <c r="F134" s="231">
        <v>10339191</v>
      </c>
      <c r="G134" s="295">
        <f>IF(ISBLANK(F134),"-",$D$144/$F$141*F134)</f>
        <v>7600055.1304386184</v>
      </c>
      <c r="H134" s="164"/>
    </row>
    <row r="135" spans="1:11" ht="26.25" customHeight="1" x14ac:dyDescent="0.3">
      <c r="A135" s="289" t="s">
        <v>113</v>
      </c>
      <c r="B135" s="290">
        <v>1</v>
      </c>
      <c r="C135" s="296">
        <v>2</v>
      </c>
      <c r="D135" s="209">
        <v>9918302</v>
      </c>
      <c r="E135" s="297">
        <f>IF(ISBLANK(D135),"-",$D$144/$D$141*D135)</f>
        <v>7706959.5191028547</v>
      </c>
      <c r="F135" s="209">
        <v>10408503</v>
      </c>
      <c r="G135" s="297">
        <f>IF(ISBLANK(F135),"-",$D$144/$F$141*F135)</f>
        <v>7651004.4765916159</v>
      </c>
      <c r="H135" s="164"/>
    </row>
    <row r="136" spans="1:11" ht="26.25" customHeight="1" x14ac:dyDescent="0.3">
      <c r="A136" s="289" t="s">
        <v>114</v>
      </c>
      <c r="B136" s="290">
        <v>1</v>
      </c>
      <c r="C136" s="296">
        <v>3</v>
      </c>
      <c r="D136" s="209">
        <v>9915498</v>
      </c>
      <c r="E136" s="297">
        <f>IF(ISBLANK(D136),"-",$D$144/$D$141*D136)</f>
        <v>7704780.6870314414</v>
      </c>
      <c r="F136" s="209">
        <v>10369559</v>
      </c>
      <c r="G136" s="297">
        <f>IF(ISBLANK(F136),"-",$D$144/$F$141*F136)</f>
        <v>7622377.8125712108</v>
      </c>
      <c r="H136" s="164"/>
    </row>
    <row r="137" spans="1:11" ht="26.25" customHeight="1" x14ac:dyDescent="0.3">
      <c r="A137" s="289" t="s">
        <v>115</v>
      </c>
      <c r="B137" s="290">
        <v>1</v>
      </c>
      <c r="C137" s="298">
        <v>4</v>
      </c>
      <c r="D137" s="238"/>
      <c r="E137" s="299" t="str">
        <f>IF(ISBLANK(D137),"-",$D$144/$D$141*D137)</f>
        <v>-</v>
      </c>
      <c r="F137" s="238"/>
      <c r="G137" s="299" t="str">
        <f>IF(ISBLANK(F137),"-",$D$144/$D$141*F137)</f>
        <v>-</v>
      </c>
      <c r="H137" s="164"/>
    </row>
    <row r="138" spans="1:11" ht="27" customHeight="1" thickBot="1" x14ac:dyDescent="0.35">
      <c r="A138" s="289" t="s">
        <v>116</v>
      </c>
      <c r="B138" s="290">
        <v>1</v>
      </c>
      <c r="C138" s="283" t="s">
        <v>62</v>
      </c>
      <c r="D138" s="300">
        <f>AVERAGE(D134:D137)</f>
        <v>9912445.333333334</v>
      </c>
      <c r="E138" s="301">
        <f>AVERAGE(E134:E137)</f>
        <v>7702408.6299570231</v>
      </c>
      <c r="F138" s="300">
        <f>AVERAGE(F134:F137)</f>
        <v>10372417.666666666</v>
      </c>
      <c r="G138" s="302">
        <f>AVERAGE(G134:G137)</f>
        <v>7624479.1398671493</v>
      </c>
      <c r="H138" s="164"/>
    </row>
    <row r="139" spans="1:11" ht="26.25" customHeight="1" x14ac:dyDescent="0.3">
      <c r="A139" s="289" t="s">
        <v>117</v>
      </c>
      <c r="B139" s="290">
        <v>1</v>
      </c>
      <c r="C139" s="303" t="s">
        <v>86</v>
      </c>
      <c r="D139" s="151">
        <v>12.96</v>
      </c>
      <c r="E139" s="164"/>
      <c r="F139" s="304">
        <v>13.7</v>
      </c>
      <c r="G139" s="164"/>
      <c r="H139" s="164"/>
    </row>
    <row r="140" spans="1:11" ht="26.25" customHeight="1" x14ac:dyDescent="0.3">
      <c r="A140" s="289" t="s">
        <v>118</v>
      </c>
      <c r="B140" s="290">
        <v>1</v>
      </c>
      <c r="C140" s="305" t="s">
        <v>87</v>
      </c>
      <c r="D140" s="306">
        <f>D139*B130</f>
        <v>12.96</v>
      </c>
      <c r="E140" s="296"/>
      <c r="F140" s="307">
        <f>F139*B130</f>
        <v>13.7</v>
      </c>
      <c r="G140" s="164"/>
      <c r="H140" s="164"/>
    </row>
    <row r="141" spans="1:11" ht="19.5" customHeight="1" thickBot="1" x14ac:dyDescent="0.35">
      <c r="A141" s="289" t="s">
        <v>65</v>
      </c>
      <c r="B141" s="308">
        <f>(B140/B139)*(B138/B137)*(B136/B135)*(B134/B133)*B132</f>
        <v>500</v>
      </c>
      <c r="C141" s="305" t="s">
        <v>88</v>
      </c>
      <c r="D141" s="309">
        <f>D140*B126/100</f>
        <v>12.869280000000002</v>
      </c>
      <c r="E141" s="310"/>
      <c r="F141" s="311">
        <f>F140*B126/100</f>
        <v>13.604099999999999</v>
      </c>
      <c r="G141" s="164"/>
      <c r="H141" s="164"/>
    </row>
    <row r="142" spans="1:11" ht="19.5" customHeight="1" thickBot="1" x14ac:dyDescent="0.35">
      <c r="A142" s="393" t="s">
        <v>67</v>
      </c>
      <c r="B142" s="406"/>
      <c r="C142" s="305" t="s">
        <v>89</v>
      </c>
      <c r="D142" s="306">
        <f>D141/$B$141</f>
        <v>2.5738560000000004E-2</v>
      </c>
      <c r="E142" s="310"/>
      <c r="F142" s="312">
        <f>F141/$B$141</f>
        <v>2.7208199999999998E-2</v>
      </c>
      <c r="G142" s="138"/>
      <c r="H142" s="313"/>
    </row>
    <row r="143" spans="1:11" ht="19.5" customHeight="1" thickBot="1" x14ac:dyDescent="0.35">
      <c r="A143" s="395"/>
      <c r="B143" s="407"/>
      <c r="C143" s="305" t="s">
        <v>119</v>
      </c>
      <c r="D143" s="309">
        <f>$B$56/$B$159</f>
        <v>0.02</v>
      </c>
      <c r="E143" s="164"/>
      <c r="F143" s="314"/>
      <c r="G143" s="315"/>
      <c r="H143" s="313"/>
    </row>
    <row r="144" spans="1:11" ht="18.75" x14ac:dyDescent="0.3">
      <c r="A144" s="164"/>
      <c r="B144" s="164"/>
      <c r="C144" s="305" t="s">
        <v>69</v>
      </c>
      <c r="D144" s="306">
        <f>D143*$B$141</f>
        <v>10</v>
      </c>
      <c r="E144" s="164"/>
      <c r="F144" s="314"/>
      <c r="G144" s="138"/>
      <c r="H144" s="313"/>
    </row>
    <row r="145" spans="1:9" ht="19.5" customHeight="1" thickBot="1" x14ac:dyDescent="0.35">
      <c r="A145" s="164"/>
      <c r="B145" s="164"/>
      <c r="C145" s="316" t="s">
        <v>70</v>
      </c>
      <c r="D145" s="317">
        <f>D144/B130</f>
        <v>10</v>
      </c>
      <c r="E145" s="164"/>
      <c r="F145" s="318"/>
      <c r="G145" s="138"/>
      <c r="H145" s="313"/>
      <c r="I145" s="252"/>
    </row>
    <row r="146" spans="1:9" ht="18.75" x14ac:dyDescent="0.3">
      <c r="A146" s="164"/>
      <c r="B146" s="164"/>
      <c r="C146" s="319" t="s">
        <v>90</v>
      </c>
      <c r="D146" s="320">
        <f>AVERAGE(E134:E137,G134:G137)</f>
        <v>7663443.8849120857</v>
      </c>
      <c r="E146" s="164"/>
      <c r="F146" s="318"/>
      <c r="G146" s="315"/>
      <c r="H146" s="313"/>
      <c r="I146" s="253"/>
    </row>
    <row r="147" spans="1:9" ht="18.75" x14ac:dyDescent="0.3">
      <c r="A147" s="164"/>
      <c r="B147" s="164"/>
      <c r="C147" s="321" t="s">
        <v>72</v>
      </c>
      <c r="D147" s="322">
        <f>STDEV(E134:E137,G134:G137)/D146</f>
        <v>5.9764577536824803E-3</v>
      </c>
      <c r="E147" s="164"/>
      <c r="F147" s="318"/>
      <c r="G147" s="138"/>
      <c r="H147" s="313"/>
      <c r="I147" s="253"/>
    </row>
    <row r="148" spans="1:9" ht="19.5" customHeight="1" thickBot="1" x14ac:dyDescent="0.35">
      <c r="A148" s="164"/>
      <c r="B148" s="164"/>
      <c r="C148" s="323" t="s">
        <v>19</v>
      </c>
      <c r="D148" s="324">
        <f>COUNT(E134:E137,G134:G137)</f>
        <v>6</v>
      </c>
      <c r="E148" s="164"/>
      <c r="F148" s="318"/>
      <c r="G148" s="138"/>
      <c r="H148" s="313"/>
      <c r="I148" s="253"/>
    </row>
    <row r="149" spans="1:9" ht="19.5" customHeight="1" thickBot="1" x14ac:dyDescent="0.35">
      <c r="A149" s="325"/>
      <c r="B149" s="325"/>
      <c r="C149" s="325"/>
      <c r="D149" s="325"/>
      <c r="E149" s="325"/>
      <c r="F149" s="164"/>
      <c r="G149" s="164"/>
      <c r="H149" s="164"/>
    </row>
    <row r="150" spans="1:9" ht="17.25" customHeight="1" x14ac:dyDescent="0.3">
      <c r="A150" s="287" t="s">
        <v>91</v>
      </c>
      <c r="B150" s="288">
        <v>500</v>
      </c>
      <c r="C150" s="326" t="s">
        <v>133</v>
      </c>
      <c r="D150" s="327" t="s">
        <v>60</v>
      </c>
      <c r="E150" s="328" t="s">
        <v>92</v>
      </c>
      <c r="F150" s="329" t="s">
        <v>93</v>
      </c>
      <c r="G150" s="164"/>
      <c r="H150" s="164"/>
    </row>
    <row r="151" spans="1:9" ht="26.25" customHeight="1" x14ac:dyDescent="0.3">
      <c r="A151" s="289" t="s">
        <v>123</v>
      </c>
      <c r="B151" s="290">
        <v>1</v>
      </c>
      <c r="C151" s="330">
        <v>1</v>
      </c>
      <c r="D151" s="331">
        <v>6608549</v>
      </c>
      <c r="E151" s="332">
        <f t="shared" ref="E151:E156" si="3">IF(ISBLANK(D151),"-",D151/$D$146*$D$143*$B$159)</f>
        <v>8.6234715086920914</v>
      </c>
      <c r="F151" s="333">
        <f t="shared" ref="F151:F156" si="4">IF(ISBLANK(D151), "-", E151/$B$56)</f>
        <v>0.8623471508692091</v>
      </c>
      <c r="G151" s="164"/>
      <c r="H151" s="164"/>
    </row>
    <row r="152" spans="1:9" ht="26.25" customHeight="1" x14ac:dyDescent="0.3">
      <c r="A152" s="289" t="s">
        <v>124</v>
      </c>
      <c r="B152" s="290">
        <v>1</v>
      </c>
      <c r="C152" s="330">
        <v>2</v>
      </c>
      <c r="D152" s="334">
        <v>6229362</v>
      </c>
      <c r="E152" s="335">
        <f t="shared" si="3"/>
        <v>8.1286717741412211</v>
      </c>
      <c r="F152" s="336">
        <f t="shared" si="4"/>
        <v>0.81286717741412207</v>
      </c>
      <c r="G152" s="164"/>
      <c r="H152" s="164"/>
    </row>
    <row r="153" spans="1:9" ht="26.25" customHeight="1" x14ac:dyDescent="0.3">
      <c r="A153" s="289" t="s">
        <v>125</v>
      </c>
      <c r="B153" s="290">
        <v>1</v>
      </c>
      <c r="C153" s="330">
        <v>3</v>
      </c>
      <c r="D153" s="334">
        <v>6759837</v>
      </c>
      <c r="E153" s="335">
        <f t="shared" si="3"/>
        <v>8.8208866686019309</v>
      </c>
      <c r="F153" s="336">
        <f t="shared" si="4"/>
        <v>0.88208866686019305</v>
      </c>
      <c r="G153" s="164"/>
      <c r="H153" s="164"/>
    </row>
    <row r="154" spans="1:9" ht="26.25" customHeight="1" x14ac:dyDescent="0.3">
      <c r="A154" s="289" t="s">
        <v>126</v>
      </c>
      <c r="B154" s="290">
        <v>1</v>
      </c>
      <c r="C154" s="330">
        <v>4</v>
      </c>
      <c r="D154" s="334">
        <v>6534955</v>
      </c>
      <c r="E154" s="335">
        <f t="shared" si="3"/>
        <v>8.5274389662670167</v>
      </c>
      <c r="F154" s="336">
        <f t="shared" si="4"/>
        <v>0.85274389662670169</v>
      </c>
      <c r="G154" s="164"/>
      <c r="H154" s="164"/>
    </row>
    <row r="155" spans="1:9" ht="26.25" customHeight="1" x14ac:dyDescent="0.3">
      <c r="A155" s="289" t="s">
        <v>127</v>
      </c>
      <c r="B155" s="290">
        <v>1</v>
      </c>
      <c r="C155" s="330">
        <v>5</v>
      </c>
      <c r="D155" s="334">
        <v>6788178</v>
      </c>
      <c r="E155" s="335">
        <f t="shared" si="3"/>
        <v>8.857868736227946</v>
      </c>
      <c r="F155" s="336">
        <f t="shared" si="4"/>
        <v>0.88578687362279462</v>
      </c>
      <c r="G155" s="164"/>
      <c r="H155" s="164"/>
    </row>
    <row r="156" spans="1:9" ht="26.25" customHeight="1" x14ac:dyDescent="0.3">
      <c r="A156" s="289" t="s">
        <v>128</v>
      </c>
      <c r="B156" s="290">
        <v>1</v>
      </c>
      <c r="C156" s="337">
        <v>6</v>
      </c>
      <c r="D156" s="338">
        <v>6560311</v>
      </c>
      <c r="E156" s="339">
        <f t="shared" si="3"/>
        <v>8.5605259182703062</v>
      </c>
      <c r="F156" s="340">
        <f t="shared" si="4"/>
        <v>0.85605259182703064</v>
      </c>
      <c r="G156" s="164"/>
      <c r="H156" s="164"/>
    </row>
    <row r="157" spans="1:9" ht="26.25" customHeight="1" x14ac:dyDescent="0.3">
      <c r="A157" s="289" t="s">
        <v>129</v>
      </c>
      <c r="B157" s="290">
        <v>1</v>
      </c>
      <c r="C157" s="330"/>
      <c r="D157" s="296"/>
      <c r="E157" s="164"/>
      <c r="F157" s="341"/>
      <c r="G157" s="164"/>
      <c r="H157" s="164"/>
    </row>
    <row r="158" spans="1:9" ht="26.25" customHeight="1" x14ac:dyDescent="0.4">
      <c r="A158" s="289" t="s">
        <v>130</v>
      </c>
      <c r="B158" s="290">
        <v>1</v>
      </c>
      <c r="C158" s="330"/>
      <c r="D158" s="342"/>
      <c r="E158" s="343" t="s">
        <v>62</v>
      </c>
      <c r="F158" s="344">
        <f>AVERAGE(F151:F156)</f>
        <v>0.85864772620334184</v>
      </c>
      <c r="G158" s="164"/>
      <c r="H158" s="164"/>
    </row>
    <row r="159" spans="1:9" ht="27" customHeight="1" thickBot="1" x14ac:dyDescent="0.45">
      <c r="A159" s="289" t="s">
        <v>80</v>
      </c>
      <c r="B159" s="308">
        <f>(B158/B157)*(B156/B155)*(B154/B153)*(B152/B151)*B150</f>
        <v>500</v>
      </c>
      <c r="C159" s="345"/>
      <c r="D159" s="164"/>
      <c r="E159" s="346" t="s">
        <v>72</v>
      </c>
      <c r="F159" s="347">
        <f>STDEV(F151:F156)/F158</f>
        <v>3.0535070135512866E-2</v>
      </c>
      <c r="G159" s="164"/>
      <c r="H159" s="164"/>
    </row>
    <row r="160" spans="1:9" ht="27" customHeight="1" thickBot="1" x14ac:dyDescent="0.45">
      <c r="A160" s="393" t="s">
        <v>67</v>
      </c>
      <c r="B160" s="394"/>
      <c r="C160" s="348"/>
      <c r="D160" s="349"/>
      <c r="E160" s="350" t="s">
        <v>19</v>
      </c>
      <c r="F160" s="351">
        <f>COUNT(F151:F156)</f>
        <v>6</v>
      </c>
      <c r="G160" s="164"/>
      <c r="H160" s="164"/>
      <c r="I160" s="253"/>
    </row>
    <row r="161" spans="1:8" ht="19.5" customHeight="1" thickBot="1" x14ac:dyDescent="0.35">
      <c r="A161" s="395"/>
      <c r="B161" s="396"/>
      <c r="C161" s="164"/>
      <c r="D161" s="164"/>
      <c r="E161" s="164"/>
      <c r="F161" s="296"/>
      <c r="G161" s="164"/>
      <c r="H161" s="164"/>
    </row>
    <row r="162" spans="1:8" ht="18.75" x14ac:dyDescent="0.3">
      <c r="A162" s="146"/>
      <c r="B162" s="146"/>
      <c r="C162" s="164"/>
      <c r="D162" s="164"/>
      <c r="E162" s="164"/>
      <c r="F162" s="296"/>
      <c r="G162" s="164"/>
      <c r="H162" s="164"/>
    </row>
    <row r="163" spans="1:8" ht="18.75" x14ac:dyDescent="0.3">
      <c r="A163" s="280" t="s">
        <v>134</v>
      </c>
      <c r="B163" s="131" t="s">
        <v>137</v>
      </c>
      <c r="C163" s="164"/>
      <c r="D163" s="164"/>
      <c r="E163" s="164"/>
      <c r="F163" s="296"/>
      <c r="G163" s="164"/>
      <c r="H163" s="164"/>
    </row>
    <row r="164" spans="1:8" ht="19.5" customHeight="1" thickBot="1" x14ac:dyDescent="0.35">
      <c r="A164" s="146"/>
      <c r="B164" s="146"/>
      <c r="C164" s="164"/>
      <c r="D164" s="164"/>
      <c r="E164" s="164"/>
      <c r="F164" s="296"/>
      <c r="G164" s="164"/>
      <c r="H164" s="164"/>
    </row>
    <row r="165" spans="1:8" ht="26.25" customHeight="1" x14ac:dyDescent="0.4">
      <c r="A165" s="352" t="s">
        <v>62</v>
      </c>
      <c r="B165" s="353">
        <f>AVERAGE(F108:F113,F151:F156)</f>
        <v>0.87075737850911528</v>
      </c>
      <c r="C165" s="164"/>
      <c r="D165" s="164"/>
      <c r="E165" s="164"/>
      <c r="F165" s="296"/>
      <c r="G165" s="164"/>
      <c r="H165" s="164"/>
    </row>
    <row r="166" spans="1:8" ht="26.25" customHeight="1" x14ac:dyDescent="0.4">
      <c r="A166" s="289" t="s">
        <v>72</v>
      </c>
      <c r="B166" s="354">
        <f>STDEV(F108:F113,F151:F156)/B165</f>
        <v>4.7872799773172561E-2</v>
      </c>
      <c r="C166" s="164"/>
      <c r="D166" s="164"/>
      <c r="E166" s="164"/>
      <c r="F166" s="296"/>
      <c r="G166" s="164"/>
      <c r="H166" s="164"/>
    </row>
    <row r="167" spans="1:8" ht="27" customHeight="1" thickBot="1" x14ac:dyDescent="0.45">
      <c r="A167" s="355" t="s">
        <v>19</v>
      </c>
      <c r="B167" s="356">
        <f>COUNT(F108:F113,F151:F156)</f>
        <v>12</v>
      </c>
      <c r="C167" s="164"/>
      <c r="D167" s="164"/>
      <c r="E167" s="164"/>
      <c r="F167" s="296"/>
      <c r="G167" s="164"/>
      <c r="H167" s="164"/>
    </row>
    <row r="168" spans="1:8" ht="26.25" customHeight="1" x14ac:dyDescent="0.3">
      <c r="A168" s="132" t="s">
        <v>132</v>
      </c>
      <c r="B168" s="133" t="s">
        <v>94</v>
      </c>
      <c r="C168" s="398" t="str">
        <f>B20</f>
        <v xml:space="preserve"> Ritonavir</v>
      </c>
      <c r="D168" s="398"/>
      <c r="E168" s="126" t="s">
        <v>95</v>
      </c>
      <c r="F168" s="126"/>
      <c r="G168" s="227">
        <f>B165</f>
        <v>0.87075737850911528</v>
      </c>
      <c r="H168" s="126"/>
    </row>
    <row r="169" spans="1:8" ht="19.5" customHeight="1" thickBot="1" x14ac:dyDescent="0.35">
      <c r="A169" s="357"/>
      <c r="B169" s="357"/>
      <c r="C169" s="358"/>
      <c r="D169" s="358"/>
      <c r="E169" s="358"/>
      <c r="F169" s="358"/>
      <c r="G169" s="358"/>
      <c r="H169" s="358"/>
    </row>
    <row r="170" spans="1:8" ht="18.75" x14ac:dyDescent="0.3">
      <c r="B170" s="397" t="s">
        <v>21</v>
      </c>
      <c r="C170" s="397"/>
      <c r="E170" s="152" t="s">
        <v>22</v>
      </c>
      <c r="F170" s="359"/>
      <c r="G170" s="397" t="s">
        <v>23</v>
      </c>
      <c r="H170" s="397"/>
    </row>
    <row r="171" spans="1:8" ht="83.25" customHeight="1" x14ac:dyDescent="0.3">
      <c r="A171" s="132" t="s">
        <v>24</v>
      </c>
      <c r="B171" s="360" t="s">
        <v>139</v>
      </c>
      <c r="C171" s="360"/>
      <c r="E171" s="361"/>
      <c r="F171" s="126"/>
      <c r="G171" s="361"/>
      <c r="H171" s="361"/>
    </row>
    <row r="172" spans="1:8" ht="84" customHeight="1" x14ac:dyDescent="0.3">
      <c r="A172" s="132" t="s">
        <v>25</v>
      </c>
      <c r="B172" s="362"/>
      <c r="C172" s="362"/>
      <c r="E172" s="363"/>
      <c r="F172" s="126"/>
      <c r="G172" s="364"/>
      <c r="H172" s="364"/>
    </row>
    <row r="173" spans="1:8" ht="18.75" x14ac:dyDescent="0.3">
      <c r="A173" s="160"/>
      <c r="B173" s="160"/>
      <c r="C173" s="160"/>
      <c r="D173" s="160"/>
      <c r="E173" s="160"/>
      <c r="F173" s="182"/>
      <c r="G173" s="160"/>
      <c r="H173" s="160"/>
    </row>
    <row r="174" spans="1:8" ht="18.75" x14ac:dyDescent="0.3">
      <c r="A174" s="160"/>
      <c r="B174" s="160"/>
      <c r="C174" s="160"/>
      <c r="D174" s="160"/>
      <c r="E174" s="160"/>
      <c r="F174" s="182"/>
      <c r="G174" s="160"/>
      <c r="H174" s="160"/>
    </row>
    <row r="175" spans="1:8" ht="18.75" x14ac:dyDescent="0.3">
      <c r="A175" s="160"/>
      <c r="B175" s="160"/>
      <c r="C175" s="160"/>
      <c r="D175" s="160"/>
      <c r="E175" s="160"/>
      <c r="F175" s="182"/>
      <c r="G175" s="160"/>
      <c r="H175" s="160"/>
    </row>
    <row r="176" spans="1:8" ht="18.75" x14ac:dyDescent="0.3">
      <c r="A176" s="160"/>
      <c r="B176" s="160"/>
      <c r="C176" s="160"/>
      <c r="D176" s="160"/>
      <c r="E176" s="160"/>
      <c r="F176" s="182"/>
      <c r="G176" s="160"/>
      <c r="H176" s="160"/>
    </row>
    <row r="177" spans="1:8" ht="18.75" x14ac:dyDescent="0.3">
      <c r="A177" s="160"/>
      <c r="B177" s="160"/>
      <c r="C177" s="160"/>
      <c r="D177" s="160"/>
      <c r="E177" s="160"/>
      <c r="F177" s="182"/>
      <c r="G177" s="160"/>
      <c r="H177" s="160"/>
    </row>
    <row r="178" spans="1:8" ht="18.75" x14ac:dyDescent="0.3">
      <c r="A178" s="160"/>
      <c r="B178" s="160"/>
      <c r="C178" s="160"/>
      <c r="D178" s="160"/>
      <c r="E178" s="160"/>
      <c r="F178" s="182"/>
      <c r="G178" s="160"/>
      <c r="H178" s="160"/>
    </row>
    <row r="179" spans="1:8" ht="18.75" x14ac:dyDescent="0.3">
      <c r="A179" s="160"/>
      <c r="B179" s="160"/>
      <c r="C179" s="160"/>
      <c r="D179" s="160"/>
      <c r="E179" s="160"/>
      <c r="F179" s="182"/>
      <c r="G179" s="160"/>
      <c r="H179" s="160"/>
    </row>
    <row r="180" spans="1:8" ht="18.75" x14ac:dyDescent="0.3">
      <c r="A180" s="160"/>
      <c r="B180" s="160"/>
      <c r="C180" s="160"/>
      <c r="D180" s="160"/>
      <c r="E180" s="160"/>
      <c r="F180" s="182"/>
      <c r="G180" s="160"/>
      <c r="H180" s="160"/>
    </row>
    <row r="181" spans="1:8" ht="18.75" x14ac:dyDescent="0.3">
      <c r="A181" s="160"/>
      <c r="B181" s="160"/>
      <c r="C181" s="160"/>
      <c r="D181" s="160"/>
      <c r="E181" s="160"/>
      <c r="F181" s="182"/>
      <c r="G181" s="160"/>
      <c r="H181" s="160"/>
    </row>
    <row r="250" spans="1:1" x14ac:dyDescent="0.3">
      <c r="A250" s="121">
        <v>5</v>
      </c>
    </row>
  </sheetData>
  <sheetProtection password="F258" sheet="1" objects="1" scenarios="1" formatColumns="0" formatRows="0" insertColumns="0" insertHyperlinks="0" deleteColumns="0" deleteRows="0" autoFilter="0" pivotTables="0"/>
  <mergeCells count="39">
    <mergeCell ref="B170:C170"/>
    <mergeCell ref="G170:H170"/>
    <mergeCell ref="F89:G89"/>
    <mergeCell ref="A99:B100"/>
    <mergeCell ref="A117:B118"/>
    <mergeCell ref="C125:G125"/>
    <mergeCell ref="C127:H127"/>
    <mergeCell ref="C128:H128"/>
    <mergeCell ref="D132:E132"/>
    <mergeCell ref="F132:G132"/>
    <mergeCell ref="A142:B143"/>
    <mergeCell ref="A160:B161"/>
    <mergeCell ref="C168:D168"/>
    <mergeCell ref="C85:H85"/>
    <mergeCell ref="A46:B47"/>
    <mergeCell ref="C60:C63"/>
    <mergeCell ref="D60:D63"/>
    <mergeCell ref="C64:C67"/>
    <mergeCell ref="D64:D67"/>
    <mergeCell ref="C68:C71"/>
    <mergeCell ref="D68:D71"/>
    <mergeCell ref="A70:B71"/>
    <mergeCell ref="C76:D76"/>
    <mergeCell ref="B79:C79"/>
    <mergeCell ref="B80:C80"/>
    <mergeCell ref="C82:G82"/>
    <mergeCell ref="C84:H84"/>
    <mergeCell ref="B27:C27"/>
    <mergeCell ref="C29:G29"/>
    <mergeCell ref="C31:H31"/>
    <mergeCell ref="C32:H32"/>
    <mergeCell ref="D36:E36"/>
    <mergeCell ref="F36:G36"/>
    <mergeCell ref="B26:C26"/>
    <mergeCell ref="A1:H7"/>
    <mergeCell ref="A8:H14"/>
    <mergeCell ref="A16:H16"/>
    <mergeCell ref="A17:H17"/>
    <mergeCell ref="B18:C18"/>
  </mergeCells>
  <conditionalFormatting sqref="D51">
    <cfRule type="cellIs" dxfId="2" priority="1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conditionalFormatting sqref="D104">
    <cfRule type="cellIs" dxfId="0" priority="3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&amp;LNQCL/ADDO/014&amp;CPage &amp;P of &amp;N&amp;R&amp;D &amp;T</oddFooter>
  </headerFooter>
  <rowBreaks count="1" manualBreakCount="1">
    <brk id="76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3"/>
  <sheetViews>
    <sheetView tabSelected="1" topLeftCell="A40" workbookViewId="0">
      <selection activeCell="E52" sqref="E52"/>
    </sheetView>
  </sheetViews>
  <sheetFormatPr defaultRowHeight="13.5" x14ac:dyDescent="0.25"/>
  <cols>
    <col min="1" max="1" width="27.5703125" style="119" customWidth="1"/>
    <col min="2" max="2" width="20.42578125" style="119" customWidth="1"/>
    <col min="3" max="3" width="31.85546875" style="119" customWidth="1"/>
    <col min="4" max="4" width="25.85546875" style="119" customWidth="1"/>
    <col min="5" max="5" width="25.7109375" style="119" customWidth="1"/>
    <col min="6" max="6" width="23.140625" style="119" customWidth="1"/>
    <col min="7" max="7" width="28.42578125" style="119" customWidth="1"/>
    <col min="8" max="8" width="21.5703125" style="119" customWidth="1"/>
    <col min="9" max="9" width="9.140625" style="119" customWidth="1"/>
    <col min="10" max="16384" width="9.140625" style="44"/>
  </cols>
  <sheetData>
    <row r="14" spans="1:6" ht="15" customHeight="1" x14ac:dyDescent="0.3">
      <c r="A14" s="76"/>
      <c r="C14" s="3"/>
      <c r="F14" s="3"/>
    </row>
    <row r="15" spans="1:6" ht="18.75" customHeight="1" x14ac:dyDescent="0.3">
      <c r="A15" s="367" t="s">
        <v>0</v>
      </c>
      <c r="B15" s="367"/>
      <c r="C15" s="367"/>
      <c r="D15" s="367"/>
      <c r="E15" s="367"/>
    </row>
    <row r="16" spans="1:6" ht="16.5" customHeight="1" x14ac:dyDescent="0.3">
      <c r="A16" s="5" t="s">
        <v>1</v>
      </c>
      <c r="B16" s="6" t="s">
        <v>101</v>
      </c>
    </row>
    <row r="17" spans="1:5" ht="16.5" customHeight="1" x14ac:dyDescent="0.3">
      <c r="A17" s="8" t="s">
        <v>2</v>
      </c>
      <c r="B17" s="8" t="s">
        <v>108</v>
      </c>
      <c r="D17" s="9"/>
      <c r="E17" s="36"/>
    </row>
    <row r="18" spans="1:5" ht="16.5" customHeight="1" x14ac:dyDescent="0.3">
      <c r="A18" s="11" t="s">
        <v>3</v>
      </c>
      <c r="B18" s="11" t="s">
        <v>96</v>
      </c>
      <c r="C18" s="36"/>
      <c r="D18" s="36"/>
      <c r="E18" s="36"/>
    </row>
    <row r="19" spans="1:5" ht="16.5" customHeight="1" x14ac:dyDescent="0.3">
      <c r="A19" s="11" t="s">
        <v>5</v>
      </c>
      <c r="B19" s="12">
        <v>99.3</v>
      </c>
      <c r="C19" s="36"/>
      <c r="D19" s="36"/>
      <c r="E19" s="36"/>
    </row>
    <row r="20" spans="1:5" ht="16.5" customHeight="1" x14ac:dyDescent="0.3">
      <c r="A20" s="8" t="s">
        <v>7</v>
      </c>
      <c r="B20" s="13">
        <v>12.96</v>
      </c>
      <c r="C20" s="36"/>
      <c r="D20" s="36"/>
      <c r="E20" s="36"/>
    </row>
    <row r="21" spans="1:5" ht="16.5" customHeight="1" x14ac:dyDescent="0.3">
      <c r="A21" s="8" t="s">
        <v>9</v>
      </c>
      <c r="B21" s="9">
        <f>B20/100*5/25</f>
        <v>2.5920000000000006E-2</v>
      </c>
      <c r="C21" s="36"/>
      <c r="D21" s="36"/>
      <c r="E21" s="36"/>
    </row>
    <row r="22" spans="1:5" ht="15.75" customHeight="1" x14ac:dyDescent="0.25">
      <c r="A22" s="36"/>
      <c r="C22" s="36"/>
      <c r="D22" s="36"/>
      <c r="E22" s="36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9815008</v>
      </c>
      <c r="C24" s="18">
        <v>6980</v>
      </c>
      <c r="D24" s="19">
        <v>1.06</v>
      </c>
      <c r="E24" s="20">
        <v>6.9</v>
      </c>
    </row>
    <row r="25" spans="1:5" ht="16.5" customHeight="1" x14ac:dyDescent="0.3">
      <c r="A25" s="17">
        <v>2</v>
      </c>
      <c r="B25" s="18">
        <v>9846019</v>
      </c>
      <c r="C25" s="18">
        <v>7029</v>
      </c>
      <c r="D25" s="19">
        <v>1.04</v>
      </c>
      <c r="E25" s="19">
        <v>6.87</v>
      </c>
    </row>
    <row r="26" spans="1:5" ht="16.5" customHeight="1" x14ac:dyDescent="0.3">
      <c r="A26" s="17">
        <v>3</v>
      </c>
      <c r="B26" s="18">
        <v>9886396</v>
      </c>
      <c r="C26" s="18">
        <v>6987</v>
      </c>
      <c r="D26" s="19">
        <v>1.06</v>
      </c>
      <c r="E26" s="19">
        <v>6.84</v>
      </c>
    </row>
    <row r="27" spans="1:5" ht="16.5" customHeight="1" x14ac:dyDescent="0.3">
      <c r="A27" s="17">
        <v>4</v>
      </c>
      <c r="B27" s="18">
        <v>9884401</v>
      </c>
      <c r="C27" s="18">
        <v>7032</v>
      </c>
      <c r="D27" s="19">
        <v>1.05</v>
      </c>
      <c r="E27" s="19">
        <v>6.85</v>
      </c>
    </row>
    <row r="28" spans="1:5" ht="16.5" customHeight="1" x14ac:dyDescent="0.3">
      <c r="A28" s="17">
        <v>5</v>
      </c>
      <c r="B28" s="18">
        <v>9904758</v>
      </c>
      <c r="C28" s="18">
        <v>7012</v>
      </c>
      <c r="D28" s="19">
        <v>1.05</v>
      </c>
      <c r="E28" s="19">
        <v>6.85</v>
      </c>
    </row>
    <row r="29" spans="1:5" ht="16.5" customHeight="1" x14ac:dyDescent="0.3">
      <c r="A29" s="17">
        <v>6</v>
      </c>
      <c r="B29" s="21">
        <v>9902483</v>
      </c>
      <c r="C29" s="21">
        <v>7022</v>
      </c>
      <c r="D29" s="22">
        <v>1.06</v>
      </c>
      <c r="E29" s="22">
        <v>6.85</v>
      </c>
    </row>
    <row r="30" spans="1:5" ht="16.5" customHeight="1" x14ac:dyDescent="0.3">
      <c r="A30" s="23" t="s">
        <v>17</v>
      </c>
      <c r="B30" s="24">
        <f>AVERAGE(B24:B29)</f>
        <v>9873177.5</v>
      </c>
      <c r="C30" s="25">
        <f>AVERAGE(C24:C29)</f>
        <v>7010.333333333333</v>
      </c>
      <c r="D30" s="26">
        <f>AVERAGE(D24:D29)</f>
        <v>1.0533333333333335</v>
      </c>
      <c r="E30" s="26">
        <f>AVERAGE(E24:E29)</f>
        <v>6.86</v>
      </c>
    </row>
    <row r="31" spans="1:5" ht="16.5" customHeight="1" x14ac:dyDescent="0.3">
      <c r="A31" s="27" t="s">
        <v>18</v>
      </c>
      <c r="B31" s="28">
        <f>(STDEV(B24:B29)/B30)</f>
        <v>3.5889924361686637E-3</v>
      </c>
      <c r="C31" s="29"/>
      <c r="D31" s="29"/>
      <c r="E31" s="30"/>
    </row>
    <row r="32" spans="1:5" s="119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5" s="119" customFormat="1" ht="15.75" customHeight="1" x14ac:dyDescent="0.25">
      <c r="A33" s="36"/>
      <c r="B33" s="36"/>
      <c r="C33" s="36"/>
      <c r="D33" s="36"/>
      <c r="E33" s="36"/>
    </row>
    <row r="34" spans="1:5" s="119" customFormat="1" ht="16.5" customHeight="1" x14ac:dyDescent="0.3">
      <c r="A34" s="11" t="s">
        <v>20</v>
      </c>
      <c r="B34" s="40" t="s">
        <v>106</v>
      </c>
      <c r="C34" s="39"/>
      <c r="D34" s="39"/>
      <c r="E34" s="39"/>
    </row>
    <row r="35" spans="1:5" ht="16.5" customHeight="1" x14ac:dyDescent="0.3">
      <c r="A35" s="11"/>
      <c r="B35" s="40" t="s">
        <v>105</v>
      </c>
      <c r="C35" s="39"/>
      <c r="D35" s="39"/>
      <c r="E35" s="39"/>
    </row>
    <row r="36" spans="1:5" ht="16.5" customHeight="1" x14ac:dyDescent="0.3">
      <c r="A36" s="11"/>
      <c r="B36" s="40" t="s">
        <v>107</v>
      </c>
      <c r="C36" s="39"/>
      <c r="D36" s="39"/>
      <c r="E36" s="39"/>
    </row>
    <row r="37" spans="1:5" ht="16.5" customHeight="1" x14ac:dyDescent="0.3">
      <c r="A37" s="11"/>
      <c r="B37" s="40" t="s">
        <v>103</v>
      </c>
      <c r="C37" s="39"/>
      <c r="D37" s="39"/>
      <c r="E37" s="39"/>
    </row>
    <row r="38" spans="1:5" ht="15.75" customHeight="1" x14ac:dyDescent="0.25">
      <c r="A38" s="36"/>
      <c r="B38" s="36"/>
      <c r="C38" s="36"/>
      <c r="D38" s="36"/>
      <c r="E38" s="36"/>
    </row>
    <row r="39" spans="1:5" ht="16.5" customHeight="1" x14ac:dyDescent="0.3">
      <c r="A39" s="5" t="s">
        <v>1</v>
      </c>
      <c r="B39" s="6" t="s">
        <v>102</v>
      </c>
    </row>
    <row r="40" spans="1:5" ht="16.5" customHeight="1" x14ac:dyDescent="0.3">
      <c r="A40" s="11" t="s">
        <v>3</v>
      </c>
      <c r="B40" s="8" t="s">
        <v>98</v>
      </c>
      <c r="C40" s="36"/>
      <c r="D40" s="36"/>
      <c r="E40" s="36"/>
    </row>
    <row r="41" spans="1:5" ht="16.5" customHeight="1" x14ac:dyDescent="0.3">
      <c r="A41" s="11" t="s">
        <v>5</v>
      </c>
      <c r="B41" s="12">
        <v>98.9</v>
      </c>
      <c r="C41" s="36"/>
      <c r="D41" s="36"/>
      <c r="E41" s="36"/>
    </row>
    <row r="42" spans="1:5" ht="16.5" customHeight="1" x14ac:dyDescent="0.3">
      <c r="A42" s="8" t="s">
        <v>7</v>
      </c>
      <c r="B42" s="12">
        <v>21.28</v>
      </c>
      <c r="C42" s="36"/>
      <c r="D42" s="36"/>
      <c r="E42" s="36"/>
    </row>
    <row r="43" spans="1:5" ht="16.5" customHeight="1" x14ac:dyDescent="0.3">
      <c r="A43" s="8" t="s">
        <v>9</v>
      </c>
      <c r="B43" s="13">
        <f>B42/50*5/25</f>
        <v>8.5120000000000001E-2</v>
      </c>
      <c r="C43" s="36"/>
      <c r="D43" s="36"/>
      <c r="E43" s="36"/>
    </row>
    <row r="44" spans="1:5" ht="15.75" customHeight="1" x14ac:dyDescent="0.25">
      <c r="A44" s="36"/>
      <c r="B44" s="36"/>
      <c r="C44" s="36"/>
      <c r="D44" s="36"/>
      <c r="E44" s="36"/>
    </row>
    <row r="45" spans="1:5" ht="16.5" customHeight="1" x14ac:dyDescent="0.3">
      <c r="A45" s="16" t="s">
        <v>12</v>
      </c>
      <c r="B45" s="15" t="s">
        <v>13</v>
      </c>
      <c r="C45" s="16" t="s">
        <v>14</v>
      </c>
      <c r="D45" s="16" t="s">
        <v>15</v>
      </c>
      <c r="E45" s="16" t="s">
        <v>16</v>
      </c>
    </row>
    <row r="46" spans="1:5" ht="16.5" customHeight="1" x14ac:dyDescent="0.3">
      <c r="A46" s="17">
        <v>1</v>
      </c>
      <c r="B46" s="18">
        <v>43457067</v>
      </c>
      <c r="C46" s="18">
        <v>7707</v>
      </c>
      <c r="D46" s="19">
        <v>1.05</v>
      </c>
      <c r="E46" s="20">
        <v>8.11</v>
      </c>
    </row>
    <row r="47" spans="1:5" ht="16.5" customHeight="1" x14ac:dyDescent="0.3">
      <c r="A47" s="17">
        <v>2</v>
      </c>
      <c r="B47" s="18">
        <v>43688648</v>
      </c>
      <c r="C47" s="18">
        <v>7755</v>
      </c>
      <c r="D47" s="19">
        <v>1.06</v>
      </c>
      <c r="E47" s="19">
        <v>8.07</v>
      </c>
    </row>
    <row r="48" spans="1:5" ht="16.5" customHeight="1" x14ac:dyDescent="0.3">
      <c r="A48" s="17">
        <v>3</v>
      </c>
      <c r="B48" s="18">
        <v>43721685</v>
      </c>
      <c r="C48" s="18">
        <v>7782</v>
      </c>
      <c r="D48" s="19">
        <v>1.05</v>
      </c>
      <c r="E48" s="19">
        <v>8.0500000000000007</v>
      </c>
    </row>
    <row r="49" spans="1:7" ht="16.5" customHeight="1" x14ac:dyDescent="0.3">
      <c r="A49" s="17">
        <v>4</v>
      </c>
      <c r="B49" s="18">
        <v>43738693</v>
      </c>
      <c r="C49" s="18">
        <v>7799</v>
      </c>
      <c r="D49" s="19">
        <v>1.04</v>
      </c>
      <c r="E49" s="19">
        <v>8.06</v>
      </c>
    </row>
    <row r="50" spans="1:7" ht="16.5" customHeight="1" x14ac:dyDescent="0.3">
      <c r="A50" s="17">
        <v>5</v>
      </c>
      <c r="B50" s="18">
        <v>43838494</v>
      </c>
      <c r="C50" s="18">
        <v>7794</v>
      </c>
      <c r="D50" s="19">
        <v>1.06</v>
      </c>
      <c r="E50" s="19">
        <v>8.06</v>
      </c>
    </row>
    <row r="51" spans="1:7" ht="16.5" customHeight="1" x14ac:dyDescent="0.3">
      <c r="A51" s="17">
        <v>6</v>
      </c>
      <c r="B51" s="21">
        <v>43752523</v>
      </c>
      <c r="C51" s="21">
        <v>7821</v>
      </c>
      <c r="D51" s="22">
        <v>1.07</v>
      </c>
      <c r="E51" s="22">
        <v>8.06</v>
      </c>
    </row>
    <row r="52" spans="1:7" ht="16.5" customHeight="1" x14ac:dyDescent="0.3">
      <c r="A52" s="23" t="s">
        <v>17</v>
      </c>
      <c r="B52" s="24">
        <f>AVERAGE(B46:B51)</f>
        <v>43699518.333333336</v>
      </c>
      <c r="C52" s="25">
        <f>AVERAGE(C46:C51)</f>
        <v>7776.333333333333</v>
      </c>
      <c r="D52" s="26">
        <f>AVERAGE(D46:D51)</f>
        <v>1.0549999999999999</v>
      </c>
      <c r="E52" s="26">
        <f>AVERAGE(E46:E51)</f>
        <v>8.0683333333333334</v>
      </c>
    </row>
    <row r="53" spans="1:7" ht="16.5" customHeight="1" x14ac:dyDescent="0.3">
      <c r="A53" s="27" t="s">
        <v>18</v>
      </c>
      <c r="B53" s="28">
        <f>(STDEV(B46:B51)/B52)</f>
        <v>2.9492366947105305E-3</v>
      </c>
      <c r="C53" s="29"/>
      <c r="D53" s="29"/>
      <c r="E53" s="30"/>
    </row>
    <row r="54" spans="1:7" s="119" customFormat="1" ht="16.5" customHeight="1" x14ac:dyDescent="0.3">
      <c r="A54" s="31" t="s">
        <v>19</v>
      </c>
      <c r="B54" s="32">
        <f>COUNT(B46:B51)</f>
        <v>6</v>
      </c>
      <c r="C54" s="33"/>
      <c r="D54" s="34"/>
      <c r="E54" s="35"/>
    </row>
    <row r="55" spans="1:7" s="119" customFormat="1" ht="15.75" customHeight="1" x14ac:dyDescent="0.25">
      <c r="A55" s="36"/>
      <c r="B55" s="36"/>
      <c r="C55" s="36"/>
      <c r="D55" s="36"/>
      <c r="E55" s="36"/>
    </row>
    <row r="56" spans="1:7" s="119" customFormat="1" ht="16.5" customHeight="1" x14ac:dyDescent="0.3">
      <c r="A56" s="11" t="s">
        <v>20</v>
      </c>
      <c r="B56" s="40" t="s">
        <v>106</v>
      </c>
      <c r="C56" s="39"/>
      <c r="D56" s="39"/>
      <c r="E56" s="39"/>
    </row>
    <row r="57" spans="1:7" ht="16.5" customHeight="1" x14ac:dyDescent="0.3">
      <c r="A57" s="11"/>
      <c r="B57" s="40" t="s">
        <v>105</v>
      </c>
      <c r="C57" s="39"/>
      <c r="D57" s="39"/>
      <c r="E57" s="39"/>
    </row>
    <row r="58" spans="1:7" ht="16.5" customHeight="1" x14ac:dyDescent="0.3">
      <c r="A58" s="11"/>
      <c r="B58" s="40" t="s">
        <v>104</v>
      </c>
      <c r="C58" s="39"/>
      <c r="D58" s="39"/>
      <c r="E58" s="39"/>
    </row>
    <row r="59" spans="1:7" ht="16.5" customHeight="1" x14ac:dyDescent="0.3">
      <c r="A59" s="11"/>
      <c r="B59" s="40" t="s">
        <v>103</v>
      </c>
      <c r="C59" s="39"/>
      <c r="D59" s="39"/>
      <c r="E59" s="39"/>
    </row>
    <row r="60" spans="1:7" ht="14.25" customHeight="1" thickBot="1" x14ac:dyDescent="0.3">
      <c r="A60" s="110"/>
      <c r="B60" s="68"/>
      <c r="D60" s="43"/>
      <c r="F60" s="44"/>
      <c r="G60" s="44"/>
    </row>
    <row r="61" spans="1:7" ht="15" customHeight="1" x14ac:dyDescent="0.3">
      <c r="B61" s="368" t="s">
        <v>21</v>
      </c>
      <c r="C61" s="368"/>
      <c r="E61" s="365" t="s">
        <v>22</v>
      </c>
      <c r="F61" s="113"/>
      <c r="G61" s="365" t="s">
        <v>23</v>
      </c>
    </row>
    <row r="62" spans="1:7" ht="15" customHeight="1" x14ac:dyDescent="0.3">
      <c r="A62" s="366" t="s">
        <v>24</v>
      </c>
      <c r="B62" s="116"/>
      <c r="C62" s="116"/>
      <c r="E62" s="116"/>
      <c r="G62" s="116"/>
    </row>
    <row r="63" spans="1:7" ht="15" customHeight="1" x14ac:dyDescent="0.3">
      <c r="A63" s="366" t="s">
        <v>25</v>
      </c>
      <c r="B63" s="117"/>
      <c r="C63" s="117"/>
      <c r="E63" s="117"/>
      <c r="G63" s="11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1:C61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</vt:lpstr>
      <vt:lpstr>Uniformity</vt:lpstr>
      <vt:lpstr>Lopinavir</vt:lpstr>
      <vt:lpstr>Ritonavir</vt:lpstr>
      <vt:lpstr>SST (2)</vt:lpstr>
      <vt:lpstr>Lopinavir!Print_Area</vt:lpstr>
      <vt:lpstr>Ritonavir!Print_Area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Kefa</cp:lastModifiedBy>
  <cp:lastPrinted>2016-05-24T07:00:59Z</cp:lastPrinted>
  <dcterms:created xsi:type="dcterms:W3CDTF">2005-07-05T10:19:27Z</dcterms:created>
  <dcterms:modified xsi:type="dcterms:W3CDTF">2016-05-24T07:01:38Z</dcterms:modified>
</cp:coreProperties>
</file>