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640" windowHeight="11448" activeTab="2"/>
  </bookViews>
  <sheets>
    <sheet name="SST" sheetId="1" r:id="rId1"/>
    <sheet name="Uniformity" sheetId="2" r:id="rId2"/>
    <sheet name="Cefadroxil" sheetId="3" r:id="rId3"/>
  </sheets>
  <definedNames>
    <definedName name="_xlnm.Print_Area" localSheetId="2">Cefadroxil!$A$1:$H$79</definedName>
  </definedNames>
  <calcPr calcId="145621"/>
</workbook>
</file>

<file path=xl/calcChain.xml><?xml version="1.0" encoding="utf-8"?>
<calcChain xmlns="http://schemas.openxmlformats.org/spreadsheetml/2006/main">
  <c r="H72" i="3" l="1"/>
  <c r="F51" i="3"/>
  <c r="F52" i="3"/>
  <c r="D21" i="2"/>
  <c r="B20" i="3" l="1"/>
  <c r="D47" i="3"/>
  <c r="B21" i="1"/>
  <c r="B21" i="3"/>
  <c r="B19" i="3"/>
  <c r="B18" i="3"/>
  <c r="B18" i="1"/>
  <c r="B17" i="1"/>
  <c r="B68" i="3" l="1"/>
  <c r="D42" i="3"/>
  <c r="F42" i="3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43" i="2" l="1"/>
  <c r="E21" i="2" s="1"/>
  <c r="D42" i="2"/>
  <c r="B30" i="3"/>
  <c r="C56" i="3" l="1"/>
  <c r="C43" i="2"/>
  <c r="C42" i="2"/>
  <c r="B43" i="2"/>
  <c r="B42" i="2"/>
  <c r="B45" i="3" l="1"/>
  <c r="C76" i="3" l="1"/>
  <c r="H71" i="3"/>
  <c r="G71" i="3"/>
  <c r="H67" i="3"/>
  <c r="G67" i="3"/>
  <c r="H63" i="3"/>
  <c r="G63" i="3"/>
  <c r="B55" i="3"/>
  <c r="D48" i="3"/>
  <c r="G41" i="3"/>
  <c r="E41" i="3"/>
  <c r="B34" i="3"/>
  <c r="D44" i="3" s="1"/>
  <c r="D45" i="3" s="1"/>
  <c r="D46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3" l="1"/>
  <c r="G38" i="3"/>
  <c r="E39" i="3"/>
  <c r="G40" i="3"/>
  <c r="E40" i="3"/>
  <c r="E38" i="3"/>
  <c r="E24" i="2"/>
  <c r="E23" i="2"/>
  <c r="E22" i="2"/>
  <c r="E40" i="2"/>
  <c r="D49" i="3"/>
  <c r="F44" i="3"/>
  <c r="F45" i="3" s="1"/>
  <c r="F46" i="3" s="1"/>
  <c r="D50" i="3" l="1"/>
  <c r="D51" i="3" s="1"/>
  <c r="D52" i="3"/>
  <c r="E27" i="2"/>
  <c r="E31" i="2"/>
  <c r="E25" i="2"/>
  <c r="E38" i="2"/>
  <c r="E34" i="2"/>
  <c r="E26" i="2"/>
  <c r="D48" i="2"/>
  <c r="E30" i="2"/>
  <c r="E29" i="2"/>
  <c r="E32" i="2"/>
  <c r="C47" i="2"/>
  <c r="E39" i="2"/>
  <c r="E33" i="2"/>
  <c r="B47" i="2"/>
  <c r="B57" i="3" s="1"/>
  <c r="E28" i="2"/>
  <c r="C48" i="2"/>
  <c r="E36" i="2"/>
  <c r="E35" i="2"/>
  <c r="E37" i="2"/>
  <c r="D47" i="2"/>
  <c r="G70" i="3" l="1"/>
  <c r="H70" i="3" s="1"/>
  <c r="G66" i="3"/>
  <c r="H66" i="3" s="1"/>
  <c r="G69" i="3"/>
  <c r="H69" i="3" s="1"/>
  <c r="G65" i="3"/>
  <c r="H65" i="3" s="1"/>
  <c r="F53" i="3"/>
  <c r="G64" i="3"/>
  <c r="H64" i="3" s="1"/>
  <c r="G62" i="3"/>
  <c r="H62" i="3" s="1"/>
  <c r="G61" i="3"/>
  <c r="H61" i="3" s="1"/>
  <c r="G60" i="3"/>
  <c r="H60" i="3" s="1"/>
  <c r="G68" i="3"/>
  <c r="H68" i="3" s="1"/>
  <c r="B69" i="3"/>
  <c r="E42" i="3"/>
  <c r="G42" i="3"/>
  <c r="H74" i="3" l="1"/>
  <c r="H73" i="3" l="1"/>
  <c r="G76" i="3"/>
</calcChain>
</file>

<file path=xl/sharedStrings.xml><?xml version="1.0" encoding="utf-8"?>
<sst xmlns="http://schemas.openxmlformats.org/spreadsheetml/2006/main" count="161" uniqueCount="114">
  <si>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</si>
  <si>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</si>
  <si>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</si>
  <si>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</si>
  <si>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</si>
  <si>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</si>
  <si>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</si>
  <si>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</si>
  <si>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</si>
  <si>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</si>
  <si>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</si>
  <si>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</si>
  <si>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</si>
  <si>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</si>
  <si>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</si>
  <si>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</si>
  <si>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</si>
  <si>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</si>
  <si>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</si>
  <si>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</si>
  <si>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</si>
  <si>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</si>
  <si>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</si>
  <si>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</si>
  <si>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</si>
  <si>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</si>
  <si>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</si>
  <si>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</si>
  <si>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</si>
  <si>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</si>
  <si>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</si>
  <si>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</si>
  <si>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</si>
  <si>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</si>
  <si>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</si>
  <si>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</si>
  <si>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</si>
  <si>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</si>
  <si>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</si>
  <si>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</si>
  <si>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</si>
  <si>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</si>
  <si>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</si>
  <si>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</si>
  <si>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</si>
  <si>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</si>
  <si>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</si>
  <si>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</si>
  <si>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</si>
  <si>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</si>
  <si>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</si>
  <si>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</si>
  <si>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</si>
  <si>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</si>
  <si>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</si>
  <si>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</si>
  <si>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</si>
  <si>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</si>
  <si>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</si>
  <si>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</si>
  <si>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</si>
  <si>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</si>
  <si>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</si>
  <si>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</si>
  <si>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</si>
  <si>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</si>
  <si>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</si>
  <si>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</si>
  <si>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</si>
  <si>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</si>
  <si>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</si>
  <si>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</si>
  <si>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</si>
  <si>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</si>
  <si>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</si>
  <si>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</si>
  <si>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</si>
  <si>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</si>
  <si>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</si>
  <si>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</si>
  <si>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</si>
  <si>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</si>
  <si>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</si>
  <si>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</si>
  <si>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</si>
  <si>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</si>
  <si>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</si>
  <si>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</si>
  <si>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</si>
  <si>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</si>
  <si>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</si>
  <si>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</si>
  <si>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</si>
  <si>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</si>
  <si>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</si>
  <si>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</si>
  <si>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Desired Concentration (mg/mL):</t>
  </si>
  <si>
    <t>Initial Sample dilution</t>
  </si>
  <si>
    <t>Cefadroxil anhydrous</t>
  </si>
  <si>
    <t>Intact Capsule (mg)</t>
  </si>
  <si>
    <t>Empty Capsule (mg)</t>
  </si>
  <si>
    <t>Capsule Content (mg)</t>
  </si>
  <si>
    <t>KOL280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</si>
  <si>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</si>
  <si>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2.2</t>
    </r>
  </si>
  <si>
    <t>Mass of RS (mg):</t>
  </si>
  <si>
    <t>Mass of RS as free base (mg):</t>
  </si>
  <si>
    <t>Initial Standard dilution</t>
  </si>
  <si>
    <t>Each capsule contains:</t>
  </si>
  <si>
    <t>Cefadroxil (as monohydrate)</t>
  </si>
  <si>
    <t>Average capsule content weight (mg):</t>
  </si>
  <si>
    <t>DROX-500 CAPSULES</t>
  </si>
  <si>
    <t>NDQD201602762</t>
  </si>
  <si>
    <t>Each capsule contains Cefadroxil monohydrate BP equivalent to anhydrous Cefadroxil 500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</si>
</sst>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d\-mmm\-yyyy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FF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3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0" fontId="2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31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2" fillId="6" borderId="24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8" xfId="0" applyFont="1" applyFill="1" applyBorder="1" applyAlignment="1">
      <alignment horizontal="center"/>
    </xf>
    <xf numFmtId="2" fontId="12" fillId="2" borderId="2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 vertical="center"/>
    </xf>
    <xf numFmtId="10" fontId="11" fillId="2" borderId="39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41" xfId="0" applyNumberFormat="1" applyFont="1" applyFill="1" applyBorder="1" applyAlignment="1">
      <alignment horizontal="center"/>
    </xf>
    <xf numFmtId="170" fontId="11" fillId="2" borderId="42" xfId="0" applyNumberFormat="1" applyFont="1" applyFill="1" applyBorder="1" applyAlignment="1">
      <alignment horizontal="center"/>
    </xf>
    <xf numFmtId="170" fontId="11" fillId="2" borderId="43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3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2" fontId="11" fillId="6" borderId="50" xfId="0" applyNumberFormat="1" applyFont="1" applyFill="1" applyBorder="1" applyAlignment="1">
      <alignment horizontal="center"/>
    </xf>
    <xf numFmtId="2" fontId="11" fillId="7" borderId="50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35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70" fontId="12" fillId="7" borderId="25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32" xfId="0" applyFont="1" applyFill="1" applyBorder="1" applyAlignment="1" applyProtection="1">
      <alignment horizontal="center"/>
      <protection locked="0"/>
    </xf>
    <xf numFmtId="0" fontId="18" fillId="3" borderId="51" xfId="0" applyFont="1" applyFill="1" applyBorder="1" applyAlignment="1" applyProtection="1">
      <alignment horizontal="center"/>
      <protection locked="0"/>
    </xf>
    <xf numFmtId="0" fontId="18" fillId="3" borderId="31" xfId="0" applyFont="1" applyFill="1" applyBorder="1" applyAlignment="1" applyProtection="1">
      <alignment horizontal="center"/>
      <protection locked="0"/>
    </xf>
    <xf numFmtId="0" fontId="18" fillId="3" borderId="37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5" xfId="0" applyFont="1" applyFill="1" applyBorder="1" applyAlignment="1" applyProtection="1">
      <alignment horizontal="center"/>
      <protection locked="0"/>
    </xf>
    <xf numFmtId="2" fontId="19" fillId="2" borderId="48" xfId="0" applyNumberFormat="1" applyFont="1" applyFill="1" applyBorder="1" applyAlignment="1">
      <alignment horizontal="center"/>
    </xf>
    <xf numFmtId="0" fontId="18" fillId="3" borderId="30" xfId="0" applyFont="1" applyFill="1" applyBorder="1" applyAlignment="1" applyProtection="1">
      <alignment horizontal="center"/>
      <protection locked="0"/>
    </xf>
    <xf numFmtId="0" fontId="18" fillId="3" borderId="44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1" fillId="2" borderId="0" xfId="0" applyFont="1" applyFill="1" applyProtection="1">
      <protection locked="0"/>
    </xf>
    <xf numFmtId="14" fontId="6" fillId="2" borderId="0" xfId="0" applyNumberFormat="1" applyFont="1" applyFill="1"/>
    <xf numFmtId="0" fontId="6" fillId="2" borderId="42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1" xfId="0" applyFont="1" applyFill="1" applyBorder="1" applyAlignment="1">
      <alignment horizontal="center"/>
    </xf>
    <xf numFmtId="1" fontId="5" fillId="4" borderId="43" xfId="0" applyNumberFormat="1" applyFont="1" applyFill="1" applyBorder="1" applyAlignment="1">
      <alignment horizontal="center"/>
    </xf>
    <xf numFmtId="0" fontId="7" fillId="3" borderId="53" xfId="0" applyFont="1" applyFill="1" applyBorder="1" applyAlignment="1" applyProtection="1">
      <alignment horizontal="center"/>
      <protection locked="0"/>
    </xf>
    <xf numFmtId="0" fontId="7" fillId="3" borderId="54" xfId="0" applyFont="1" applyFill="1" applyBorder="1" applyAlignment="1" applyProtection="1">
      <alignment horizontal="center"/>
      <protection locked="0"/>
    </xf>
    <xf numFmtId="0" fontId="7" fillId="3" borderId="5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171" fontId="11" fillId="3" borderId="0" xfId="0" applyNumberFormat="1" applyFont="1" applyFill="1" applyAlignment="1" applyProtection="1">
      <alignment horizontal="left"/>
      <protection locked="0"/>
    </xf>
    <xf numFmtId="2" fontId="7" fillId="0" borderId="5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166" fontId="11" fillId="6" borderId="50" xfId="0" applyNumberFormat="1" applyFont="1" applyFill="1" applyBorder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166" fontId="18" fillId="3" borderId="50" xfId="0" applyNumberFormat="1" applyFont="1" applyFill="1" applyBorder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6" fillId="2" borderId="0" xfId="0" applyFont="1" applyFill="1" applyBorder="1"/>
    <xf numFmtId="0" fontId="2" fillId="0" borderId="0" xfId="0" applyFont="1" applyFill="1" applyBorder="1"/>
    <xf numFmtId="10" fontId="2" fillId="2" borderId="0" xfId="0" applyNumberFormat="1" applyFont="1" applyFill="1" applyBorder="1" applyAlignment="1">
      <alignment horizontal="center"/>
    </xf>
    <xf numFmtId="164" fontId="1" fillId="2" borderId="28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2" fontId="2" fillId="3" borderId="57" xfId="0" applyNumberFormat="1" applyFont="1" applyFill="1" applyBorder="1" applyAlignment="1" applyProtection="1">
      <alignment horizontal="center"/>
      <protection locked="0"/>
    </xf>
    <xf numFmtId="2" fontId="2" fillId="3" borderId="58" xfId="0" applyNumberFormat="1" applyFont="1" applyFill="1" applyBorder="1" applyAlignment="1" applyProtection="1">
      <alignment horizontal="center"/>
      <protection locked="0"/>
    </xf>
    <xf numFmtId="2" fontId="2" fillId="2" borderId="58" xfId="0" applyNumberFormat="1" applyFont="1" applyFill="1" applyBorder="1" applyAlignment="1">
      <alignment horizontal="center"/>
    </xf>
    <xf numFmtId="10" fontId="2" fillId="2" borderId="59" xfId="0" applyNumberFormat="1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10" fontId="2" fillId="2" borderId="61" xfId="0" applyNumberFormat="1" applyFont="1" applyFill="1" applyBorder="1" applyAlignment="1">
      <alignment horizontal="center"/>
    </xf>
    <xf numFmtId="10" fontId="24" fillId="2" borderId="61" xfId="0" applyNumberFormat="1" applyFont="1" applyFill="1" applyBorder="1" applyAlignment="1">
      <alignment horizontal="center"/>
    </xf>
    <xf numFmtId="1" fontId="2" fillId="2" borderId="62" xfId="0" applyNumberFormat="1" applyFont="1" applyFill="1" applyBorder="1" applyAlignment="1">
      <alignment horizontal="center"/>
    </xf>
    <xf numFmtId="2" fontId="2" fillId="3" borderId="63" xfId="0" applyNumberFormat="1" applyFont="1" applyFill="1" applyBorder="1" applyAlignment="1" applyProtection="1">
      <alignment horizontal="center" wrapText="1"/>
      <protection locked="0"/>
    </xf>
    <xf numFmtId="2" fontId="2" fillId="3" borderId="64" xfId="0" applyNumberFormat="1" applyFont="1" applyFill="1" applyBorder="1" applyAlignment="1" applyProtection="1">
      <alignment horizontal="center"/>
      <protection locked="0"/>
    </xf>
    <xf numFmtId="2" fontId="2" fillId="2" borderId="64" xfId="0" applyNumberFormat="1" applyFont="1" applyFill="1" applyBorder="1" applyAlignment="1">
      <alignment horizontal="center"/>
    </xf>
    <xf numFmtId="10" fontId="24" fillId="2" borderId="65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right"/>
    </xf>
    <xf numFmtId="166" fontId="2" fillId="2" borderId="67" xfId="0" applyNumberFormat="1" applyFont="1" applyFill="1" applyBorder="1" applyAlignment="1">
      <alignment horizontal="center"/>
    </xf>
    <xf numFmtId="166" fontId="2" fillId="2" borderId="68" xfId="0" applyNumberFormat="1" applyFont="1" applyFill="1" applyBorder="1" applyAlignment="1">
      <alignment horizontal="center"/>
    </xf>
    <xf numFmtId="166" fontId="2" fillId="2" borderId="69" xfId="0" applyNumberFormat="1" applyFont="1" applyFill="1" applyBorder="1" applyAlignment="1">
      <alignment horizontal="center"/>
    </xf>
    <xf numFmtId="0" fontId="2" fillId="2" borderId="70" xfId="0" applyFont="1" applyFill="1" applyBorder="1" applyAlignment="1">
      <alignment horizontal="right"/>
    </xf>
    <xf numFmtId="166" fontId="1" fillId="2" borderId="71" xfId="0" applyNumberFormat="1" applyFont="1" applyFill="1" applyBorder="1" applyAlignment="1">
      <alignment horizontal="center"/>
    </xf>
    <xf numFmtId="166" fontId="1" fillId="2" borderId="72" xfId="0" applyNumberFormat="1" applyFont="1" applyFill="1" applyBorder="1" applyAlignment="1">
      <alignment horizontal="center"/>
    </xf>
    <xf numFmtId="166" fontId="1" fillId="2" borderId="73" xfId="0" applyNumberFormat="1" applyFont="1" applyFill="1" applyBorder="1" applyAlignment="1">
      <alignment horizontal="center"/>
    </xf>
    <xf numFmtId="0" fontId="6" fillId="2" borderId="41" xfId="0" applyFont="1" applyFill="1" applyBorder="1"/>
    <xf numFmtId="2" fontId="7" fillId="0" borderId="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1" fillId="2" borderId="23" xfId="0" applyNumberFormat="1" applyFont="1" applyFill="1" applyBorder="1" applyAlignment="1">
      <alignment horizontal="center"/>
    </xf>
    <xf numFmtId="168" fontId="1" fillId="2" borderId="74" xfId="0" applyNumberFormat="1" applyFont="1" applyFill="1" applyBorder="1" applyAlignment="1">
      <alignment horizontal="center" vertical="center"/>
    </xf>
    <xf numFmtId="168" fontId="1" fillId="2" borderId="75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Alignment="1" applyProtection="1">
      <alignment horizontal="center"/>
      <protection locked="0"/>
    </xf>
    <xf numFmtId="10" fontId="2" fillId="2" borderId="0" xfId="1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28" xfId="0" applyNumberFormat="1" applyFont="1" applyFill="1" applyBorder="1" applyAlignment="1">
      <alignment horizontal="center" vertical="center"/>
    </xf>
    <xf numFmtId="169" fontId="1" fillId="2" borderId="29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justify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2" fontId="18" fillId="3" borderId="28" xfId="0" applyNumberFormat="1" applyFont="1" applyFill="1" applyBorder="1" applyAlignment="1" applyProtection="1">
      <alignment horizontal="center" vertical="center"/>
      <protection locked="0"/>
    </xf>
    <xf numFmtId="2" fontId="18" fillId="3" borderId="39" xfId="0" applyNumberFormat="1" applyFont="1" applyFill="1" applyBorder="1" applyAlignment="1" applyProtection="1">
      <alignment horizontal="center" vertical="center"/>
      <protection locked="0"/>
    </xf>
    <xf numFmtId="2" fontId="18" fillId="3" borderId="29" xfId="0" applyNumberFormat="1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4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52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0" sqref="B2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68" t="s">
        <v>0</v>
      </c>
      <c r="B15" s="268"/>
      <c r="C15" s="268"/>
      <c r="D15" s="268"/>
      <c r="E15" s="2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6" t="str">
        <f>Uniformity!C11</f>
        <v>DROX-500 CAPSULES</v>
      </c>
      <c r="D17" s="9"/>
      <c r="E17" s="10"/>
    </row>
    <row r="18" spans="1:6" ht="16.5" customHeight="1" x14ac:dyDescent="0.3">
      <c r="A18" s="11" t="s">
        <v>4</v>
      </c>
      <c r="B18" s="76" t="str">
        <f>Uniformity!C12</f>
        <v>NDQD201602762</v>
      </c>
      <c r="C18" s="10"/>
      <c r="D18" s="10"/>
      <c r="E18" s="10"/>
    </row>
    <row r="19" spans="1:6" ht="16.5" customHeight="1" x14ac:dyDescent="0.3">
      <c r="A19" s="11" t="s">
        <v>5</v>
      </c>
      <c r="B19" s="12">
        <v>94.6</v>
      </c>
      <c r="C19" s="10"/>
      <c r="D19" s="10"/>
      <c r="E19" s="10"/>
    </row>
    <row r="20" spans="1:6" ht="16.5" customHeight="1" x14ac:dyDescent="0.3">
      <c r="A20" s="7" t="s">
        <v>6</v>
      </c>
      <c r="B20" s="12">
        <v>27.03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B20/25</f>
        <v>1.0811999999999999</v>
      </c>
      <c r="C21" s="10"/>
      <c r="D21" s="10"/>
      <c r="E21" s="10"/>
    </row>
    <row r="22" spans="1:6" ht="15.75" customHeight="1" x14ac:dyDescent="0.3">
      <c r="A22" s="10"/>
      <c r="B22" s="209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387391668</v>
      </c>
      <c r="C24" s="18">
        <v>7360</v>
      </c>
      <c r="D24" s="19">
        <v>1</v>
      </c>
      <c r="E24" s="20">
        <v>5.4</v>
      </c>
    </row>
    <row r="25" spans="1:6" ht="16.5" customHeight="1" x14ac:dyDescent="0.3">
      <c r="A25" s="17">
        <v>2</v>
      </c>
      <c r="B25" s="18">
        <v>387533863</v>
      </c>
      <c r="C25" s="18">
        <v>7369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387479936</v>
      </c>
      <c r="C26" s="18">
        <v>7370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387713947</v>
      </c>
      <c r="C27" s="18">
        <v>7367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386773962</v>
      </c>
      <c r="C28" s="18">
        <v>7379</v>
      </c>
      <c r="D28" s="19">
        <v>1</v>
      </c>
      <c r="E28" s="19">
        <v>5.4</v>
      </c>
    </row>
    <row r="29" spans="1:6" ht="16.5" customHeight="1" x14ac:dyDescent="0.3">
      <c r="A29" s="17">
        <v>6</v>
      </c>
      <c r="B29" s="21">
        <v>388339947</v>
      </c>
      <c r="C29" s="21">
        <v>7375</v>
      </c>
      <c r="D29" s="22">
        <v>1</v>
      </c>
      <c r="E29" s="22">
        <v>5.4</v>
      </c>
    </row>
    <row r="30" spans="1:6" ht="16.5" customHeight="1" x14ac:dyDescent="0.3">
      <c r="A30" s="23" t="s">
        <v>13</v>
      </c>
      <c r="B30" s="24">
        <f>AVERAGE(B24:B29)</f>
        <v>387538887.16666669</v>
      </c>
      <c r="C30" s="25">
        <f>AVERAGE(C24:C29)</f>
        <v>7370</v>
      </c>
      <c r="D30" s="26">
        <f>AVERAGE(D24:D29)</f>
        <v>1</v>
      </c>
      <c r="E30" s="26">
        <f>AVERAGE(E24:E29)</f>
        <v>5.3999999999999995</v>
      </c>
    </row>
    <row r="31" spans="1:6" ht="16.5" customHeight="1" x14ac:dyDescent="0.3">
      <c r="A31" s="27" t="s">
        <v>14</v>
      </c>
      <c r="B31" s="28">
        <f>(STDEV(B24:B29)/B30)</f>
        <v>1.3069228342738749E-3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103</v>
      </c>
      <c r="C35" s="38"/>
      <c r="D35" s="38"/>
      <c r="E35" s="39"/>
      <c r="F35" s="2"/>
    </row>
    <row r="36" spans="1:6" ht="16.5" customHeight="1" x14ac:dyDescent="0.3">
      <c r="A36" s="11"/>
      <c r="B36" s="40" t="s">
        <v>104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213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210">
        <v>1</v>
      </c>
      <c r="B45" s="215"/>
      <c r="C45" s="211"/>
      <c r="D45" s="19"/>
      <c r="E45" s="20"/>
    </row>
    <row r="46" spans="1:6" ht="16.5" customHeight="1" x14ac:dyDescent="0.3">
      <c r="A46" s="210">
        <v>2</v>
      </c>
      <c r="B46" s="216"/>
      <c r="C46" s="211"/>
      <c r="D46" s="19"/>
      <c r="E46" s="19"/>
    </row>
    <row r="47" spans="1:6" ht="16.5" customHeight="1" x14ac:dyDescent="0.3">
      <c r="A47" s="210">
        <v>3</v>
      </c>
      <c r="B47" s="216"/>
      <c r="C47" s="211"/>
      <c r="D47" s="19"/>
      <c r="E47" s="19"/>
    </row>
    <row r="48" spans="1:6" ht="16.5" customHeight="1" x14ac:dyDescent="0.3">
      <c r="A48" s="210">
        <v>4</v>
      </c>
      <c r="B48" s="216"/>
      <c r="C48" s="211"/>
      <c r="D48" s="19"/>
      <c r="E48" s="19"/>
    </row>
    <row r="49" spans="1:7" ht="16.5" customHeight="1" x14ac:dyDescent="0.3">
      <c r="A49" s="210">
        <v>5</v>
      </c>
      <c r="B49" s="216"/>
      <c r="C49" s="211"/>
      <c r="D49" s="19"/>
      <c r="E49" s="19"/>
    </row>
    <row r="50" spans="1:7" ht="16.5" customHeight="1" x14ac:dyDescent="0.3">
      <c r="A50" s="210">
        <v>6</v>
      </c>
      <c r="B50" s="217"/>
      <c r="C50" s="212"/>
      <c r="D50" s="22"/>
      <c r="E50" s="22"/>
    </row>
    <row r="51" spans="1:7" ht="16.5" customHeight="1" x14ac:dyDescent="0.3">
      <c r="A51" s="23" t="s">
        <v>13</v>
      </c>
      <c r="B51" s="21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69" t="s">
        <v>21</v>
      </c>
      <c r="C59" s="26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3" workbookViewId="0">
      <selection activeCell="B22" sqref="B22"/>
    </sheetView>
  </sheetViews>
  <sheetFormatPr defaultColWidth="9.109375" defaultRowHeight="15.6" x14ac:dyDescent="0.3"/>
  <cols>
    <col min="1" max="1" width="13.109375" style="222" customWidth="1"/>
    <col min="2" max="2" width="19.33203125" style="223" customWidth="1"/>
    <col min="3" max="3" width="18.88671875" style="222" customWidth="1"/>
    <col min="4" max="4" width="19.6640625" style="224" customWidth="1"/>
    <col min="5" max="5" width="18.44140625" style="22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71" t="s">
        <v>26</v>
      </c>
      <c r="B8" s="271"/>
      <c r="C8" s="271"/>
      <c r="D8" s="271"/>
      <c r="E8" s="271"/>
      <c r="F8" s="271"/>
      <c r="G8" s="27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72" t="s">
        <v>27</v>
      </c>
      <c r="B10" s="272"/>
      <c r="C10" s="272"/>
      <c r="D10" s="272"/>
      <c r="E10" s="272"/>
      <c r="F10" s="272"/>
      <c r="G10" s="27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70" t="s">
        <v>28</v>
      </c>
      <c r="B11" s="270"/>
      <c r="C11" s="73" t="s">
        <v>111</v>
      </c>
      <c r="D11" s="232"/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70" t="s">
        <v>29</v>
      </c>
      <c r="B12" s="270"/>
      <c r="C12" s="73" t="s">
        <v>112</v>
      </c>
      <c r="D12" s="232"/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70" t="s">
        <v>30</v>
      </c>
      <c r="B13" s="270"/>
      <c r="C13" s="73" t="s">
        <v>109</v>
      </c>
      <c r="D13" s="232"/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70" t="s">
        <v>31</v>
      </c>
      <c r="B14" s="270"/>
      <c r="C14" s="231" t="s">
        <v>113</v>
      </c>
      <c r="D14" s="219"/>
      <c r="E14" s="219"/>
      <c r="F14" s="219"/>
      <c r="G14" s="21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70" t="s">
        <v>32</v>
      </c>
      <c r="B15" s="270"/>
      <c r="C15" s="74"/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70" t="s">
        <v>33</v>
      </c>
      <c r="B16" s="270"/>
      <c r="C16" s="74"/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4.4" x14ac:dyDescent="0.3">
      <c r="B17" s="23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73" t="s">
        <v>1</v>
      </c>
      <c r="B18" s="273"/>
      <c r="C18" s="75" t="s">
        <v>34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thickBot="1" x14ac:dyDescent="0.35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thickBot="1" x14ac:dyDescent="0.35">
      <c r="A20" s="235" t="s">
        <v>35</v>
      </c>
      <c r="B20" s="236" t="s">
        <v>99</v>
      </c>
      <c r="C20" s="236" t="s">
        <v>100</v>
      </c>
      <c r="D20" s="235" t="s">
        <v>101</v>
      </c>
      <c r="E20" s="237" t="s">
        <v>36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238">
        <v>1</v>
      </c>
      <c r="B21" s="239">
        <v>656.63</v>
      </c>
      <c r="C21" s="240">
        <v>93.8</v>
      </c>
      <c r="D21" s="241">
        <f>B21-C21</f>
        <v>562.83000000000004</v>
      </c>
      <c r="E21" s="242">
        <f>(D21-$D$43)/$D$43</f>
        <v>-5.0170771547974526E-3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243">
        <v>2</v>
      </c>
      <c r="B22" s="77">
        <v>679.12</v>
      </c>
      <c r="C22" s="78">
        <v>91.93</v>
      </c>
      <c r="D22" s="79">
        <f t="shared" ref="D21:D40" si="0">B22-C22</f>
        <v>587.19000000000005</v>
      </c>
      <c r="E22" s="244">
        <f t="shared" ref="E22:E40" si="1">(D22-$D$43)/$D$43</f>
        <v>3.8047052334585038E-2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243">
        <v>3</v>
      </c>
      <c r="B23" s="77">
        <v>679.93</v>
      </c>
      <c r="C23" s="78">
        <v>96.88</v>
      </c>
      <c r="D23" s="79">
        <f t="shared" si="0"/>
        <v>583.04999999999995</v>
      </c>
      <c r="E23" s="244">
        <f>(D23-$D$43)/$D$43</f>
        <v>3.0728271707078973E-2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243">
        <v>4</v>
      </c>
      <c r="B24" s="77">
        <v>644.47</v>
      </c>
      <c r="C24" s="78">
        <v>93.94</v>
      </c>
      <c r="D24" s="79">
        <f t="shared" si="0"/>
        <v>550.53</v>
      </c>
      <c r="E24" s="245">
        <f>(D24-$D$43)/$D$43</f>
        <v>-2.676128046840202E-2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243">
        <v>5</v>
      </c>
      <c r="B25" s="77">
        <v>663.06</v>
      </c>
      <c r="C25" s="78">
        <v>95.74</v>
      </c>
      <c r="D25" s="79">
        <f t="shared" si="0"/>
        <v>567.31999999999994</v>
      </c>
      <c r="E25" s="245">
        <f t="shared" si="1"/>
        <v>2.9204409653717906E-3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243">
        <v>6</v>
      </c>
      <c r="B26" s="77">
        <v>658.02</v>
      </c>
      <c r="C26" s="78">
        <v>93.84</v>
      </c>
      <c r="D26" s="79">
        <f t="shared" si="0"/>
        <v>564.17999999999995</v>
      </c>
      <c r="E26" s="245">
        <f t="shared" si="1"/>
        <v>-2.6305182545239545E-3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243">
        <v>7</v>
      </c>
      <c r="B27" s="77">
        <v>646.82000000000005</v>
      </c>
      <c r="C27" s="78">
        <v>94.66</v>
      </c>
      <c r="D27" s="79">
        <f t="shared" si="0"/>
        <v>552.16000000000008</v>
      </c>
      <c r="E27" s="245">
        <f>(D27-$D$43)/$D$43</f>
        <v>-2.3879731573997334E-2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243">
        <v>8</v>
      </c>
      <c r="B28" s="77">
        <v>643.39</v>
      </c>
      <c r="C28" s="78">
        <v>92.96</v>
      </c>
      <c r="D28" s="79">
        <f t="shared" si="0"/>
        <v>550.42999999999995</v>
      </c>
      <c r="E28" s="245">
        <f t="shared" si="1"/>
        <v>-2.6938062609163073E-2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243">
        <v>9</v>
      </c>
      <c r="B29" s="77">
        <v>644.73</v>
      </c>
      <c r="C29" s="78">
        <v>95.16</v>
      </c>
      <c r="D29" s="79">
        <f t="shared" si="0"/>
        <v>549.57000000000005</v>
      </c>
      <c r="E29" s="245">
        <f t="shared" si="1"/>
        <v>-2.8458389019707597E-2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243">
        <v>10</v>
      </c>
      <c r="B30" s="80">
        <v>655.25</v>
      </c>
      <c r="C30" s="78">
        <v>93.23</v>
      </c>
      <c r="D30" s="79">
        <f t="shared" si="0"/>
        <v>562.02</v>
      </c>
      <c r="E30" s="245">
        <f t="shared" si="1"/>
        <v>-6.4490124949617526E-3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243">
        <v>11</v>
      </c>
      <c r="B31" s="80">
        <v>657.88</v>
      </c>
      <c r="C31" s="78">
        <v>95.32</v>
      </c>
      <c r="D31" s="79">
        <f t="shared" si="0"/>
        <v>562.55999999999995</v>
      </c>
      <c r="E31" s="245">
        <f t="shared" si="1"/>
        <v>-5.4943889348523529E-3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243">
        <v>12</v>
      </c>
      <c r="B32" s="80">
        <v>678.11</v>
      </c>
      <c r="C32" s="78">
        <v>94.92</v>
      </c>
      <c r="D32" s="79">
        <f t="shared" si="0"/>
        <v>583.19000000000005</v>
      </c>
      <c r="E32" s="245">
        <f t="shared" si="1"/>
        <v>3.0975766704144564E-2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243">
        <v>13</v>
      </c>
      <c r="B33" s="80">
        <v>659.93</v>
      </c>
      <c r="C33" s="78">
        <v>94.38</v>
      </c>
      <c r="D33" s="79">
        <f t="shared" si="0"/>
        <v>565.54999999999995</v>
      </c>
      <c r="E33" s="245">
        <f t="shared" si="1"/>
        <v>-2.0860292609808551E-4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243">
        <v>14</v>
      </c>
      <c r="B34" s="80">
        <v>673.52</v>
      </c>
      <c r="C34" s="78">
        <v>93.25</v>
      </c>
      <c r="D34" s="79">
        <f t="shared" si="0"/>
        <v>580.27</v>
      </c>
      <c r="E34" s="244">
        <f t="shared" si="1"/>
        <v>2.5813728193922893E-2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243">
        <v>15</v>
      </c>
      <c r="B35" s="80">
        <v>657.14</v>
      </c>
      <c r="C35" s="78">
        <v>94.49</v>
      </c>
      <c r="D35" s="79">
        <f t="shared" si="0"/>
        <v>562.65</v>
      </c>
      <c r="E35" s="245">
        <f t="shared" si="1"/>
        <v>-5.3352850081673864E-3</v>
      </c>
      <c r="G35" s="59"/>
      <c r="J35" s="59"/>
      <c r="K35" s="65"/>
      <c r="L35" s="60"/>
      <c r="N35" s="60"/>
    </row>
    <row r="36" spans="1:15" ht="13.8" x14ac:dyDescent="0.3">
      <c r="A36" s="243">
        <v>16</v>
      </c>
      <c r="B36" s="80">
        <v>680.84</v>
      </c>
      <c r="C36" s="78">
        <v>93.64</v>
      </c>
      <c r="D36" s="79">
        <f t="shared" si="0"/>
        <v>587.20000000000005</v>
      </c>
      <c r="E36" s="245">
        <f t="shared" si="1"/>
        <v>3.8064730548661121E-2</v>
      </c>
      <c r="G36" s="66"/>
      <c r="H36" s="66"/>
    </row>
    <row r="37" spans="1:15" ht="13.8" x14ac:dyDescent="0.3">
      <c r="A37" s="243">
        <v>17</v>
      </c>
      <c r="B37" s="80">
        <v>645.15</v>
      </c>
      <c r="C37" s="78">
        <v>92.85</v>
      </c>
      <c r="D37" s="79">
        <f t="shared" si="0"/>
        <v>552.29999999999995</v>
      </c>
      <c r="E37" s="245">
        <f t="shared" si="1"/>
        <v>-2.3632236576932142E-2</v>
      </c>
    </row>
    <row r="38" spans="1:15" ht="13.8" x14ac:dyDescent="0.3">
      <c r="A38" s="243">
        <v>18</v>
      </c>
      <c r="B38" s="80">
        <v>652.21</v>
      </c>
      <c r="C38" s="78">
        <v>94.41</v>
      </c>
      <c r="D38" s="79">
        <f t="shared" si="0"/>
        <v>557.80000000000007</v>
      </c>
      <c r="E38" s="245">
        <f t="shared" si="1"/>
        <v>-1.3909218835076296E-2</v>
      </c>
    </row>
    <row r="39" spans="1:15" ht="13.8" x14ac:dyDescent="0.3">
      <c r="A39" s="243">
        <v>19</v>
      </c>
      <c r="B39" s="80">
        <v>650.72</v>
      </c>
      <c r="C39" s="78">
        <v>94.77</v>
      </c>
      <c r="D39" s="79">
        <f t="shared" si="0"/>
        <v>555.95000000000005</v>
      </c>
      <c r="E39" s="244">
        <f t="shared" si="1"/>
        <v>-1.7179688439155055E-2</v>
      </c>
    </row>
    <row r="40" spans="1:15" ht="14.25" customHeight="1" thickBot="1" x14ac:dyDescent="0.35">
      <c r="A40" s="246">
        <v>20</v>
      </c>
      <c r="B40" s="247">
        <v>670.05</v>
      </c>
      <c r="C40" s="248">
        <v>93.44</v>
      </c>
      <c r="D40" s="249">
        <f t="shared" si="0"/>
        <v>576.6099999999999</v>
      </c>
      <c r="E40" s="250">
        <f t="shared" si="1"/>
        <v>1.9343501842069719E-2</v>
      </c>
    </row>
    <row r="41" spans="1:15" ht="14.25" customHeight="1" thickBot="1" x14ac:dyDescent="0.35">
      <c r="B41" s="233"/>
      <c r="D41" s="234"/>
      <c r="E41" s="260"/>
      <c r="G41" s="54"/>
    </row>
    <row r="42" spans="1:15" ht="14.4" x14ac:dyDescent="0.3">
      <c r="A42" s="251" t="s">
        <v>37</v>
      </c>
      <c r="B42" s="252">
        <f>SUM(B21:B40)</f>
        <v>13196.97</v>
      </c>
      <c r="C42" s="253">
        <f>SUM(C21:C40)</f>
        <v>1883.6100000000004</v>
      </c>
      <c r="D42" s="254">
        <f>SUM(D21:D40)</f>
        <v>11313.36</v>
      </c>
    </row>
    <row r="43" spans="1:15" ht="15.75" customHeight="1" thickBot="1" x14ac:dyDescent="0.35">
      <c r="A43" s="255" t="s">
        <v>38</v>
      </c>
      <c r="B43" s="256">
        <f>AVERAGE(B21:B40)</f>
        <v>659.84849999999994</v>
      </c>
      <c r="C43" s="257">
        <f>AVERAGE(C21:C40)</f>
        <v>94.180500000000023</v>
      </c>
      <c r="D43" s="258">
        <f>AVERAGE(D21:D40)</f>
        <v>565.66800000000001</v>
      </c>
    </row>
    <row r="44" spans="1:15" ht="14.4" x14ac:dyDescent="0.3">
      <c r="A44" s="67"/>
      <c r="B44" s="81"/>
      <c r="C44" s="81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thickBot="1" x14ac:dyDescent="0.35">
      <c r="A46" s="22"/>
      <c r="B46" s="82" t="s">
        <v>38</v>
      </c>
      <c r="C46" s="83" t="s">
        <v>39</v>
      </c>
      <c r="D46" s="259"/>
    </row>
    <row r="47" spans="1:15" ht="15.75" customHeight="1" thickBot="1" x14ac:dyDescent="0.35">
      <c r="A47" s="22"/>
      <c r="B47" s="274">
        <f>D43</f>
        <v>565.66800000000001</v>
      </c>
      <c r="C47" s="262">
        <f>-(IF(D43&gt;300, 7.5%, 10%))</f>
        <v>-7.4999999999999997E-2</v>
      </c>
      <c r="D47" s="264">
        <f>IF(D43&lt;300, D43*0.9, D43*0.925)</f>
        <v>523.24290000000008</v>
      </c>
    </row>
    <row r="48" spans="1:15" ht="15.75" customHeight="1" thickBot="1" x14ac:dyDescent="0.35">
      <c r="A48" s="22"/>
      <c r="B48" s="275"/>
      <c r="C48" s="263">
        <f>+(IF(D43&gt;300, 7.5%, 10%))</f>
        <v>7.4999999999999997E-2</v>
      </c>
      <c r="D48" s="265">
        <f>IF(D43&lt;300, D43*1.1, D43*1.075)</f>
        <v>608.09309999999994</v>
      </c>
    </row>
    <row r="49" spans="1:16" ht="14.25" customHeight="1" thickBot="1" x14ac:dyDescent="0.35">
      <c r="A49" s="84"/>
      <c r="B49" s="3"/>
      <c r="C49" s="221"/>
      <c r="D49" s="43"/>
    </row>
    <row r="50" spans="1:16" ht="15" customHeight="1" x14ac:dyDescent="0.3">
      <c r="A50" s="221"/>
      <c r="B50" s="269" t="s">
        <v>21</v>
      </c>
      <c r="C50" s="269"/>
      <c r="D50" s="73"/>
      <c r="E50" s="261" t="s">
        <v>22</v>
      </c>
      <c r="F50" s="86"/>
      <c r="G50" s="85" t="s">
        <v>23</v>
      </c>
    </row>
    <row r="51" spans="1:16" ht="15" customHeight="1" x14ac:dyDescent="0.3">
      <c r="A51" s="87" t="s">
        <v>24</v>
      </c>
      <c r="B51" s="88"/>
      <c r="C51" s="88"/>
      <c r="D51" s="73"/>
      <c r="E51" s="88"/>
      <c r="F51" s="67"/>
      <c r="G51" s="89"/>
    </row>
    <row r="52" spans="1:16" s="44" customFormat="1" ht="15" customHeight="1" x14ac:dyDescent="0.3">
      <c r="A52" s="218"/>
      <c r="B52" s="225"/>
      <c r="C52" s="225"/>
      <c r="D52" s="73"/>
      <c r="E52" s="225"/>
      <c r="F52" s="73"/>
      <c r="G52" s="89"/>
      <c r="H52" s="76"/>
      <c r="I52" s="76"/>
      <c r="J52" s="76"/>
      <c r="K52" s="76"/>
      <c r="L52" s="76"/>
      <c r="M52" s="76"/>
      <c r="N52" s="76"/>
      <c r="O52" s="76"/>
      <c r="P52" s="76"/>
    </row>
    <row r="53" spans="1:16" ht="15" customHeight="1" x14ac:dyDescent="0.3">
      <c r="A53" s="87" t="s">
        <v>25</v>
      </c>
      <c r="B53" s="226"/>
      <c r="C53" s="226"/>
      <c r="D53" s="225"/>
      <c r="E53" s="226"/>
      <c r="F53" s="67"/>
      <c r="G53" s="90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0:C50"/>
    <mergeCell ref="A14:B14"/>
    <mergeCell ref="A8:G8"/>
    <mergeCell ref="A10:G10"/>
    <mergeCell ref="A11:B11"/>
    <mergeCell ref="A12:B12"/>
    <mergeCell ref="A13:B13"/>
  </mergeCells>
  <conditionalFormatting sqref="E21:E23">
    <cfRule type="cellIs" dxfId="2" priority="1" operator="notBetween">
      <formula>IF(+$D$43&lt;300, -10.5%, -7.5%)</formula>
      <formula>IF(+$D$43&lt;300, 10.5%, 7.5%)</formula>
    </cfRule>
  </conditionalFormatting>
  <conditionalFormatting sqref="E34">
    <cfRule type="cellIs" dxfId="1" priority="14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C49" zoomScale="75" zoomScaleNormal="75" zoomScalePageLayoutView="50" workbookViewId="0">
      <selection activeCell="G55" sqref="G55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44140625" style="2" customWidth="1"/>
    <col min="10" max="10" width="21.33203125" style="2" customWidth="1"/>
    <col min="11" max="11" width="9.109375" style="2" customWidth="1"/>
  </cols>
  <sheetData>
    <row r="1" spans="1:8" x14ac:dyDescent="0.3">
      <c r="A1" s="303" t="s">
        <v>40</v>
      </c>
      <c r="B1" s="303"/>
      <c r="C1" s="303"/>
      <c r="D1" s="303"/>
      <c r="E1" s="303"/>
      <c r="F1" s="303"/>
      <c r="G1" s="303"/>
      <c r="H1" s="303"/>
    </row>
    <row r="2" spans="1:8" x14ac:dyDescent="0.3">
      <c r="A2" s="303"/>
      <c r="B2" s="303"/>
      <c r="C2" s="303"/>
      <c r="D2" s="303"/>
      <c r="E2" s="303"/>
      <c r="F2" s="303"/>
      <c r="G2" s="303"/>
      <c r="H2" s="303"/>
    </row>
    <row r="3" spans="1:8" x14ac:dyDescent="0.3">
      <c r="A3" s="303"/>
      <c r="B3" s="303"/>
      <c r="C3" s="303"/>
      <c r="D3" s="303"/>
      <c r="E3" s="303"/>
      <c r="F3" s="303"/>
      <c r="G3" s="303"/>
      <c r="H3" s="303"/>
    </row>
    <row r="4" spans="1:8" x14ac:dyDescent="0.3">
      <c r="A4" s="303"/>
      <c r="B4" s="303"/>
      <c r="C4" s="303"/>
      <c r="D4" s="303"/>
      <c r="E4" s="303"/>
      <c r="F4" s="303"/>
      <c r="G4" s="303"/>
      <c r="H4" s="303"/>
    </row>
    <row r="5" spans="1:8" x14ac:dyDescent="0.3">
      <c r="A5" s="303"/>
      <c r="B5" s="303"/>
      <c r="C5" s="303"/>
      <c r="D5" s="303"/>
      <c r="E5" s="303"/>
      <c r="F5" s="303"/>
      <c r="G5" s="303"/>
      <c r="H5" s="303"/>
    </row>
    <row r="6" spans="1:8" x14ac:dyDescent="0.3">
      <c r="A6" s="303"/>
      <c r="B6" s="303"/>
      <c r="C6" s="303"/>
      <c r="D6" s="303"/>
      <c r="E6" s="303"/>
      <c r="F6" s="303"/>
      <c r="G6" s="303"/>
      <c r="H6" s="303"/>
    </row>
    <row r="7" spans="1:8" x14ac:dyDescent="0.3">
      <c r="A7" s="303"/>
      <c r="B7" s="303"/>
      <c r="C7" s="303"/>
      <c r="D7" s="303"/>
      <c r="E7" s="303"/>
      <c r="F7" s="303"/>
      <c r="G7" s="303"/>
      <c r="H7" s="303"/>
    </row>
    <row r="8" spans="1:8" x14ac:dyDescent="0.3">
      <c r="A8" s="304" t="s">
        <v>41</v>
      </c>
      <c r="B8" s="304"/>
      <c r="C8" s="304"/>
      <c r="D8" s="304"/>
      <c r="E8" s="304"/>
      <c r="F8" s="304"/>
      <c r="G8" s="304"/>
      <c r="H8" s="304"/>
    </row>
    <row r="9" spans="1:8" x14ac:dyDescent="0.3">
      <c r="A9" s="304"/>
      <c r="B9" s="304"/>
      <c r="C9" s="304"/>
      <c r="D9" s="304"/>
      <c r="E9" s="304"/>
      <c r="F9" s="304"/>
      <c r="G9" s="304"/>
      <c r="H9" s="304"/>
    </row>
    <row r="10" spans="1:8" x14ac:dyDescent="0.3">
      <c r="A10" s="304"/>
      <c r="B10" s="304"/>
      <c r="C10" s="304"/>
      <c r="D10" s="304"/>
      <c r="E10" s="304"/>
      <c r="F10" s="304"/>
      <c r="G10" s="304"/>
      <c r="H10" s="304"/>
    </row>
    <row r="11" spans="1:8" x14ac:dyDescent="0.3">
      <c r="A11" s="304"/>
      <c r="B11" s="304"/>
      <c r="C11" s="304"/>
      <c r="D11" s="304"/>
      <c r="E11" s="304"/>
      <c r="F11" s="304"/>
      <c r="G11" s="304"/>
      <c r="H11" s="304"/>
    </row>
    <row r="12" spans="1:8" x14ac:dyDescent="0.3">
      <c r="A12" s="304"/>
      <c r="B12" s="304"/>
      <c r="C12" s="304"/>
      <c r="D12" s="304"/>
      <c r="E12" s="304"/>
      <c r="F12" s="304"/>
      <c r="G12" s="304"/>
      <c r="H12" s="304"/>
    </row>
    <row r="13" spans="1:8" x14ac:dyDescent="0.3">
      <c r="A13" s="304"/>
      <c r="B13" s="304"/>
      <c r="C13" s="304"/>
      <c r="D13" s="304"/>
      <c r="E13" s="304"/>
      <c r="F13" s="304"/>
      <c r="G13" s="304"/>
      <c r="H13" s="304"/>
    </row>
    <row r="14" spans="1:8" x14ac:dyDescent="0.3">
      <c r="A14" s="304"/>
      <c r="B14" s="304"/>
      <c r="C14" s="304"/>
      <c r="D14" s="304"/>
      <c r="E14" s="304"/>
      <c r="F14" s="304"/>
      <c r="G14" s="304"/>
      <c r="H14" s="304"/>
    </row>
    <row r="15" spans="1:8" ht="19.5" customHeight="1" x14ac:dyDescent="0.3"/>
    <row r="16" spans="1:8" ht="19.5" customHeight="1" x14ac:dyDescent="0.3">
      <c r="A16" s="305" t="s">
        <v>26</v>
      </c>
      <c r="B16" s="306"/>
      <c r="C16" s="306"/>
      <c r="D16" s="306"/>
      <c r="E16" s="306"/>
      <c r="F16" s="306"/>
      <c r="G16" s="306"/>
      <c r="H16" s="307"/>
    </row>
    <row r="17" spans="1:13" ht="18" x14ac:dyDescent="0.35">
      <c r="A17" s="91" t="s">
        <v>42</v>
      </c>
      <c r="B17" s="91"/>
    </row>
    <row r="18" spans="1:13" ht="18" x14ac:dyDescent="0.35">
      <c r="A18" s="93" t="s">
        <v>28</v>
      </c>
      <c r="B18" s="309" t="str">
        <f>Uniformity!C11</f>
        <v>DROX-500 CAPSULES</v>
      </c>
      <c r="C18" s="309"/>
      <c r="D18" s="152"/>
      <c r="E18" s="152"/>
    </row>
    <row r="19" spans="1:13" ht="18" x14ac:dyDescent="0.35">
      <c r="A19" s="93" t="s">
        <v>29</v>
      </c>
      <c r="B19" s="153" t="str">
        <f>Uniformity!C12</f>
        <v>NDQD201602762</v>
      </c>
      <c r="C19" s="208">
        <v>15</v>
      </c>
    </row>
    <row r="20" spans="1:13" ht="18" x14ac:dyDescent="0.35">
      <c r="A20" s="93" t="s">
        <v>30</v>
      </c>
      <c r="B20" s="153" t="str">
        <f>Uniformity!C13</f>
        <v>Cefadroxil (as monohydrate)</v>
      </c>
    </row>
    <row r="21" spans="1:13" ht="18" x14ac:dyDescent="0.35">
      <c r="A21" s="93" t="s">
        <v>31</v>
      </c>
      <c r="B21" s="173" t="str">
        <f>Uniformity!C14</f>
        <v>Each capsule contains Cefadroxil monohydrate BP equivalent to anhydrous Cefadroxil 500 mg</v>
      </c>
      <c r="C21" s="173"/>
      <c r="D21" s="173"/>
      <c r="E21" s="173"/>
      <c r="F21" s="173"/>
      <c r="G21" s="173"/>
      <c r="H21" s="173"/>
    </row>
    <row r="22" spans="1:13" ht="18" x14ac:dyDescent="0.35">
      <c r="A22" s="93" t="s">
        <v>32</v>
      </c>
      <c r="B22" s="220"/>
    </row>
    <row r="23" spans="1:13" ht="18" x14ac:dyDescent="0.35">
      <c r="A23" s="93" t="s">
        <v>33</v>
      </c>
      <c r="B23" s="220"/>
    </row>
    <row r="24" spans="1:13" ht="18" x14ac:dyDescent="0.35">
      <c r="A24" s="93"/>
      <c r="B24" s="96"/>
    </row>
    <row r="25" spans="1:13" ht="18" x14ac:dyDescent="0.35">
      <c r="A25" s="97" t="s">
        <v>1</v>
      </c>
      <c r="B25" s="96"/>
    </row>
    <row r="26" spans="1:13" ht="26.25" customHeight="1" x14ac:dyDescent="0.45">
      <c r="A26" s="98" t="s">
        <v>4</v>
      </c>
      <c r="B26" s="308" t="s">
        <v>98</v>
      </c>
      <c r="C26" s="308"/>
    </row>
    <row r="27" spans="1:13" ht="26.25" customHeight="1" x14ac:dyDescent="0.45">
      <c r="A27" s="100" t="s">
        <v>43</v>
      </c>
      <c r="B27" s="192" t="s">
        <v>102</v>
      </c>
    </row>
    <row r="28" spans="1:13" ht="27" customHeight="1" x14ac:dyDescent="0.45">
      <c r="A28" s="100" t="s">
        <v>5</v>
      </c>
      <c r="B28" s="193">
        <v>94.6</v>
      </c>
    </row>
    <row r="29" spans="1:13" s="11" customFormat="1" ht="27" customHeight="1" x14ac:dyDescent="0.45">
      <c r="A29" s="100" t="s">
        <v>44</v>
      </c>
      <c r="B29" s="192">
        <v>0</v>
      </c>
      <c r="C29" s="278" t="s">
        <v>45</v>
      </c>
      <c r="D29" s="279"/>
      <c r="E29" s="279"/>
      <c r="F29" s="279"/>
      <c r="G29" s="280"/>
      <c r="I29" s="102"/>
      <c r="J29" s="102"/>
      <c r="K29" s="102"/>
    </row>
    <row r="30" spans="1:13" s="11" customFormat="1" ht="19.5" customHeight="1" x14ac:dyDescent="0.35">
      <c r="A30" s="100" t="s">
        <v>46</v>
      </c>
      <c r="B30" s="99">
        <f>B28-B29</f>
        <v>94.6</v>
      </c>
      <c r="C30" s="103"/>
      <c r="D30" s="103"/>
      <c r="E30" s="103"/>
      <c r="F30" s="103"/>
      <c r="G30" s="104"/>
      <c r="I30" s="102"/>
      <c r="J30" s="102"/>
      <c r="K30" s="102"/>
    </row>
    <row r="31" spans="1:13" s="11" customFormat="1" ht="27" customHeight="1" x14ac:dyDescent="0.45">
      <c r="A31" s="100" t="s">
        <v>47</v>
      </c>
      <c r="B31" s="194">
        <v>1</v>
      </c>
      <c r="C31" s="283" t="s">
        <v>48</v>
      </c>
      <c r="D31" s="284"/>
      <c r="E31" s="284"/>
      <c r="F31" s="284"/>
      <c r="G31" s="284"/>
      <c r="H31" s="285"/>
      <c r="I31" s="102"/>
      <c r="J31" s="102"/>
      <c r="K31" s="102"/>
    </row>
    <row r="32" spans="1:13" s="11" customFormat="1" ht="27" customHeight="1" x14ac:dyDescent="0.45">
      <c r="A32" s="100" t="s">
        <v>49</v>
      </c>
      <c r="B32" s="194">
        <v>1</v>
      </c>
      <c r="C32" s="283" t="s">
        <v>50</v>
      </c>
      <c r="D32" s="284"/>
      <c r="E32" s="284"/>
      <c r="F32" s="284"/>
      <c r="G32" s="284"/>
      <c r="H32" s="285"/>
      <c r="I32" s="102"/>
      <c r="J32" s="102"/>
      <c r="K32" s="106"/>
      <c r="L32" s="106"/>
      <c r="M32" s="107"/>
    </row>
    <row r="33" spans="1:13" s="11" customFormat="1" ht="17.25" customHeight="1" x14ac:dyDescent="0.35">
      <c r="A33" s="100"/>
      <c r="B33" s="105"/>
      <c r="C33" s="108"/>
      <c r="D33" s="108"/>
      <c r="E33" s="108"/>
      <c r="F33" s="108"/>
      <c r="G33" s="108"/>
      <c r="H33" s="108"/>
      <c r="I33" s="102"/>
      <c r="J33" s="102"/>
      <c r="K33" s="106"/>
      <c r="L33" s="106"/>
      <c r="M33" s="107"/>
    </row>
    <row r="34" spans="1:13" s="11" customFormat="1" ht="18" x14ac:dyDescent="0.35">
      <c r="A34" s="100" t="s">
        <v>51</v>
      </c>
      <c r="B34" s="109">
        <f>B31/B32</f>
        <v>1</v>
      </c>
      <c r="C34" s="92" t="s">
        <v>52</v>
      </c>
      <c r="D34" s="92"/>
      <c r="E34" s="92"/>
      <c r="F34" s="92"/>
      <c r="G34" s="92"/>
      <c r="I34" s="102"/>
      <c r="J34" s="102"/>
      <c r="K34" s="106"/>
      <c r="L34" s="106"/>
      <c r="M34" s="107"/>
    </row>
    <row r="35" spans="1:13" s="11" customFormat="1" ht="19.5" customHeight="1" x14ac:dyDescent="0.35">
      <c r="A35" s="100"/>
      <c r="B35" s="99"/>
      <c r="G35" s="92"/>
      <c r="I35" s="102"/>
      <c r="J35" s="102"/>
      <c r="K35" s="106"/>
      <c r="L35" s="106"/>
      <c r="M35" s="107"/>
    </row>
    <row r="36" spans="1:13" s="11" customFormat="1" ht="27" customHeight="1" x14ac:dyDescent="0.45">
      <c r="A36" s="110" t="s">
        <v>107</v>
      </c>
      <c r="B36" s="195">
        <v>25</v>
      </c>
      <c r="C36" s="92"/>
      <c r="D36" s="281" t="s">
        <v>53</v>
      </c>
      <c r="E36" s="293"/>
      <c r="F36" s="281" t="s">
        <v>54</v>
      </c>
      <c r="G36" s="282"/>
      <c r="I36" s="102"/>
      <c r="J36" s="102"/>
      <c r="K36" s="106"/>
      <c r="L36" s="106"/>
      <c r="M36" s="107"/>
    </row>
    <row r="37" spans="1:13" s="11" customFormat="1" ht="26.25" customHeight="1" x14ac:dyDescent="0.45">
      <c r="A37" s="111" t="s">
        <v>55</v>
      </c>
      <c r="B37" s="196">
        <v>1</v>
      </c>
      <c r="C37" s="113" t="s">
        <v>77</v>
      </c>
      <c r="D37" s="114" t="s">
        <v>56</v>
      </c>
      <c r="E37" s="146" t="s">
        <v>57</v>
      </c>
      <c r="F37" s="114" t="s">
        <v>56</v>
      </c>
      <c r="G37" s="115" t="s">
        <v>57</v>
      </c>
      <c r="I37" s="102"/>
      <c r="J37" s="102"/>
      <c r="K37" s="106"/>
      <c r="L37" s="106"/>
      <c r="M37" s="107"/>
    </row>
    <row r="38" spans="1:13" s="11" customFormat="1" ht="26.25" customHeight="1" x14ac:dyDescent="0.45">
      <c r="A38" s="111" t="s">
        <v>58</v>
      </c>
      <c r="B38" s="196">
        <v>1</v>
      </c>
      <c r="C38" s="116">
        <v>1</v>
      </c>
      <c r="D38" s="197">
        <v>388426598</v>
      </c>
      <c r="E38" s="154">
        <f>IF(ISBLANK(D38),"-",$D$48/$D$45*D38)</f>
        <v>379762246.39602542</v>
      </c>
      <c r="F38" s="197">
        <v>334727219</v>
      </c>
      <c r="G38" s="157">
        <f>IF(ISBLANK(F38),"-",$D$48/$F$45*F38)</f>
        <v>381780610.22445554</v>
      </c>
      <c r="I38" s="102"/>
      <c r="J38" s="102"/>
      <c r="K38" s="106"/>
      <c r="L38" s="106"/>
      <c r="M38" s="107"/>
    </row>
    <row r="39" spans="1:13" s="11" customFormat="1" ht="26.25" customHeight="1" x14ac:dyDescent="0.45">
      <c r="A39" s="111" t="s">
        <v>59</v>
      </c>
      <c r="B39" s="196">
        <v>1</v>
      </c>
      <c r="C39" s="112">
        <v>2</v>
      </c>
      <c r="D39" s="198">
        <v>386859587</v>
      </c>
      <c r="E39" s="155">
        <f>IF(ISBLANK(D39),"-",$D$48/$D$45*D39)</f>
        <v>378230189.57872355</v>
      </c>
      <c r="F39" s="198">
        <v>333110774</v>
      </c>
      <c r="G39" s="158">
        <f>IF(ISBLANK(F39),"-",$D$48/$F$45*F39)</f>
        <v>379936937.75486088</v>
      </c>
      <c r="I39" s="102"/>
      <c r="J39" s="102"/>
      <c r="K39" s="106"/>
      <c r="L39" s="106"/>
      <c r="M39" s="107"/>
    </row>
    <row r="40" spans="1:13" ht="26.25" customHeight="1" x14ac:dyDescent="0.45">
      <c r="A40" s="111" t="s">
        <v>60</v>
      </c>
      <c r="B40" s="196">
        <v>1</v>
      </c>
      <c r="C40" s="112">
        <v>3</v>
      </c>
      <c r="D40" s="198">
        <v>388392996</v>
      </c>
      <c r="E40" s="155">
        <f>IF(ISBLANK(D40),"-",$D$48/$D$45*D40)</f>
        <v>379729393.93157244</v>
      </c>
      <c r="F40" s="198">
        <v>333213068</v>
      </c>
      <c r="G40" s="158">
        <f>IF(ISBLANK(F40),"-",$D$48/$F$45*F40)</f>
        <v>380053611.46266085</v>
      </c>
      <c r="K40" s="106"/>
      <c r="L40" s="106"/>
      <c r="M40" s="117"/>
    </row>
    <row r="41" spans="1:13" ht="26.25" customHeight="1" x14ac:dyDescent="0.45">
      <c r="A41" s="111" t="s">
        <v>61</v>
      </c>
      <c r="B41" s="196">
        <v>1</v>
      </c>
      <c r="C41" s="118">
        <v>4</v>
      </c>
      <c r="D41" s="199"/>
      <c r="E41" s="156" t="str">
        <f>IF(ISBLANK(D41),"-",$D$48/$D$45*D41)</f>
        <v>-</v>
      </c>
      <c r="F41" s="199"/>
      <c r="G41" s="159" t="str">
        <f>IF(ISBLANK(F41),"-",$D$48/$F$45*F41)</f>
        <v>-</v>
      </c>
      <c r="K41" s="106"/>
      <c r="L41" s="106"/>
      <c r="M41" s="117"/>
    </row>
    <row r="42" spans="1:13" ht="27" customHeight="1" x14ac:dyDescent="0.45">
      <c r="A42" s="111" t="s">
        <v>62</v>
      </c>
      <c r="B42" s="196">
        <v>1</v>
      </c>
      <c r="C42" s="119" t="s">
        <v>63</v>
      </c>
      <c r="D42" s="177">
        <f>AVERAGE(D38:D41)</f>
        <v>387893060.33333331</v>
      </c>
      <c r="E42" s="143">
        <f>AVERAGE(E38:E41)</f>
        <v>379240609.96877384</v>
      </c>
      <c r="F42" s="120">
        <f>AVERAGE(F38:F41)</f>
        <v>333683687</v>
      </c>
      <c r="G42" s="121">
        <f>AVERAGE(G38:G41)</f>
        <v>380590386.48065907</v>
      </c>
      <c r="H42" s="172"/>
    </row>
    <row r="43" spans="1:13" ht="26.25" customHeight="1" x14ac:dyDescent="0.45">
      <c r="A43" s="111" t="s">
        <v>64</v>
      </c>
      <c r="B43" s="193">
        <v>1</v>
      </c>
      <c r="C43" s="178" t="s">
        <v>105</v>
      </c>
      <c r="D43" s="200">
        <v>27.03</v>
      </c>
      <c r="E43" s="117"/>
      <c r="F43" s="201">
        <v>23.17</v>
      </c>
      <c r="H43" s="172"/>
    </row>
    <row r="44" spans="1:13" ht="26.25" customHeight="1" x14ac:dyDescent="0.45">
      <c r="A44" s="111" t="s">
        <v>65</v>
      </c>
      <c r="B44" s="193">
        <v>1</v>
      </c>
      <c r="C44" s="179" t="s">
        <v>106</v>
      </c>
      <c r="D44" s="180">
        <f>D43*$B$34</f>
        <v>27.03</v>
      </c>
      <c r="E44" s="123"/>
      <c r="F44" s="122">
        <f>F43*$B$34</f>
        <v>23.17</v>
      </c>
      <c r="H44" s="172"/>
    </row>
    <row r="45" spans="1:13" ht="19.5" customHeight="1" x14ac:dyDescent="0.35">
      <c r="A45" s="111" t="s">
        <v>66</v>
      </c>
      <c r="B45" s="176">
        <f>(B44/B43)*(B42/B41)*(B40/B39)*(B38/B37)*B36</f>
        <v>25</v>
      </c>
      <c r="C45" s="179" t="s">
        <v>67</v>
      </c>
      <c r="D45" s="181">
        <f>D44*$B$30/100</f>
        <v>25.57038</v>
      </c>
      <c r="E45" s="125"/>
      <c r="F45" s="124">
        <f>F44*$B$30/100</f>
        <v>21.91882</v>
      </c>
      <c r="H45" s="172"/>
    </row>
    <row r="46" spans="1:13" ht="19.5" customHeight="1" x14ac:dyDescent="0.35">
      <c r="A46" s="294" t="s">
        <v>68</v>
      </c>
      <c r="B46" s="295"/>
      <c r="C46" s="179" t="s">
        <v>69</v>
      </c>
      <c r="D46" s="227">
        <f>D45/$B$45</f>
        <v>1.0228151999999999</v>
      </c>
      <c r="E46" s="125"/>
      <c r="F46" s="228">
        <f>F45/$B$45</f>
        <v>0.8767528</v>
      </c>
      <c r="H46" s="172"/>
    </row>
    <row r="47" spans="1:13" ht="27" customHeight="1" x14ac:dyDescent="0.45">
      <c r="A47" s="296"/>
      <c r="B47" s="297"/>
      <c r="C47" s="179" t="s">
        <v>96</v>
      </c>
      <c r="D47" s="229">
        <f>25/25</f>
        <v>1</v>
      </c>
      <c r="F47" s="127"/>
      <c r="H47" s="172"/>
    </row>
    <row r="48" spans="1:13" ht="18" x14ac:dyDescent="0.35">
      <c r="C48" s="179" t="s">
        <v>70</v>
      </c>
      <c r="D48" s="180">
        <f>D47*$B$45</f>
        <v>25</v>
      </c>
      <c r="F48" s="127"/>
      <c r="H48" s="172"/>
    </row>
    <row r="49" spans="1:11" ht="19.5" customHeight="1" x14ac:dyDescent="0.35">
      <c r="C49" s="182" t="s">
        <v>71</v>
      </c>
      <c r="D49" s="183">
        <f>D48/B34</f>
        <v>25</v>
      </c>
      <c r="F49" s="130"/>
      <c r="H49" s="172"/>
    </row>
    <row r="50" spans="1:11" ht="18" x14ac:dyDescent="0.35">
      <c r="C50" s="184" t="s">
        <v>72</v>
      </c>
      <c r="D50" s="185">
        <f>AVERAGE(E38:E41,G38:G41)</f>
        <v>379915498.22471648</v>
      </c>
      <c r="F50" s="130"/>
      <c r="H50" s="172"/>
    </row>
    <row r="51" spans="1:11" ht="18" x14ac:dyDescent="0.35">
      <c r="C51" s="126" t="s">
        <v>73</v>
      </c>
      <c r="D51" s="131">
        <f>STDEV(E38:E41,G38:G41)/D50</f>
        <v>2.9771543914412159E-3</v>
      </c>
      <c r="F51" s="130">
        <f>F62/$D$50*$D$47*$B$68</f>
        <v>103.0679995498339</v>
      </c>
    </row>
    <row r="52" spans="1:11" ht="19.5" customHeight="1" x14ac:dyDescent="0.35">
      <c r="C52" s="128" t="s">
        <v>15</v>
      </c>
      <c r="D52" s="132">
        <f>COUNT(E38:E41,G38:G41)</f>
        <v>6</v>
      </c>
      <c r="F52" s="130">
        <f>D60/B57*B56</f>
        <v>103.98325519562712</v>
      </c>
    </row>
    <row r="53" spans="1:11" x14ac:dyDescent="0.3">
      <c r="F53" s="267">
        <f>F51/F52</f>
        <v>0.99119804776190823</v>
      </c>
    </row>
    <row r="54" spans="1:11" ht="18" x14ac:dyDescent="0.35">
      <c r="A54" s="91" t="s">
        <v>1</v>
      </c>
      <c r="B54" s="133" t="s">
        <v>74</v>
      </c>
    </row>
    <row r="55" spans="1:11" ht="18" x14ac:dyDescent="0.35">
      <c r="A55" s="92" t="s">
        <v>75</v>
      </c>
      <c r="B55" s="95" t="str">
        <f>B21</f>
        <v>Each capsule contains Cefadroxil monohydrate BP equivalent to anhydrous Cefadroxil 500 mg</v>
      </c>
    </row>
    <row r="56" spans="1:11" ht="26.25" customHeight="1" x14ac:dyDescent="0.45">
      <c r="A56" s="94" t="s">
        <v>108</v>
      </c>
      <c r="B56" s="266">
        <v>500</v>
      </c>
      <c r="C56" s="92" t="str">
        <f>B20</f>
        <v>Cefadroxil (as monohydrate)</v>
      </c>
      <c r="H56" s="101"/>
    </row>
    <row r="57" spans="1:11" ht="22.8" customHeight="1" x14ac:dyDescent="0.35">
      <c r="A57" s="95" t="s">
        <v>110</v>
      </c>
      <c r="B57" s="230">
        <f>Uniformity!B47</f>
        <v>565.66800000000001</v>
      </c>
      <c r="H57" s="101"/>
    </row>
    <row r="58" spans="1:11" ht="19.5" customHeight="1" x14ac:dyDescent="0.35">
      <c r="H58" s="101"/>
    </row>
    <row r="59" spans="1:11" s="11" customFormat="1" ht="27" customHeight="1" x14ac:dyDescent="0.45">
      <c r="A59" s="110" t="s">
        <v>97</v>
      </c>
      <c r="B59" s="195">
        <v>100</v>
      </c>
      <c r="C59" s="92"/>
      <c r="D59" s="135" t="s">
        <v>76</v>
      </c>
      <c r="E59" s="134" t="s">
        <v>77</v>
      </c>
      <c r="F59" s="134" t="s">
        <v>56</v>
      </c>
      <c r="G59" s="134" t="s">
        <v>78</v>
      </c>
      <c r="H59" s="113" t="s">
        <v>79</v>
      </c>
      <c r="K59" s="102"/>
    </row>
    <row r="60" spans="1:11" s="11" customFormat="1" ht="22.5" customHeight="1" x14ac:dyDescent="0.45">
      <c r="A60" s="111" t="s">
        <v>80</v>
      </c>
      <c r="B60" s="196">
        <v>1</v>
      </c>
      <c r="C60" s="286" t="s">
        <v>81</v>
      </c>
      <c r="D60" s="290">
        <v>117.64</v>
      </c>
      <c r="E60" s="136">
        <v>1</v>
      </c>
      <c r="F60" s="203">
        <v>391383258</v>
      </c>
      <c r="G60" s="147">
        <f>IF(ISBLANK(F60),"-",(F60/$D$50*$D$47*$B$68)*($B$57/$D$60))</f>
        <v>495.36102019403245</v>
      </c>
      <c r="H60" s="149">
        <f>IF(ISBLANK(F60),"-",G60/$B$56)</f>
        <v>0.99072204038806488</v>
      </c>
      <c r="K60" s="102"/>
    </row>
    <row r="61" spans="1:11" s="11" customFormat="1" ht="26.25" customHeight="1" x14ac:dyDescent="0.45">
      <c r="A61" s="111" t="s">
        <v>82</v>
      </c>
      <c r="B61" s="196">
        <v>1</v>
      </c>
      <c r="C61" s="287"/>
      <c r="D61" s="291"/>
      <c r="E61" s="137">
        <v>2</v>
      </c>
      <c r="F61" s="198">
        <v>389533351</v>
      </c>
      <c r="G61" s="148">
        <f>IF(ISBLANK(F61),"-",(F61/$D$50*$D$47*$B$68)*($B$57/$D$60))</f>
        <v>493.01965326007917</v>
      </c>
      <c r="H61" s="150">
        <f>IF(ISBLANK(F61),"-",G61/$B$56)</f>
        <v>0.98603930652015837</v>
      </c>
      <c r="K61" s="102"/>
    </row>
    <row r="62" spans="1:11" s="11" customFormat="1" ht="26.25" customHeight="1" x14ac:dyDescent="0.45">
      <c r="A62" s="111" t="s">
        <v>83</v>
      </c>
      <c r="B62" s="196">
        <v>1</v>
      </c>
      <c r="C62" s="287"/>
      <c r="D62" s="291"/>
      <c r="E62" s="137">
        <v>3</v>
      </c>
      <c r="F62" s="198">
        <v>391571304</v>
      </c>
      <c r="G62" s="148">
        <f>IF(ISBLANK(F62),"-",(F62/$D$50*$D$47*$B$68)*($B$57/$D$60))</f>
        <v>495.59902388095406</v>
      </c>
      <c r="H62" s="150">
        <f>IF(ISBLANK(F62),"-",G62/$B$56)</f>
        <v>0.99119804776190812</v>
      </c>
      <c r="K62" s="102"/>
    </row>
    <row r="63" spans="1:11" ht="21" customHeight="1" x14ac:dyDescent="0.45">
      <c r="A63" s="111" t="s">
        <v>84</v>
      </c>
      <c r="B63" s="196">
        <v>1</v>
      </c>
      <c r="C63" s="288"/>
      <c r="D63" s="292"/>
      <c r="E63" s="138">
        <v>4</v>
      </c>
      <c r="F63" s="204"/>
      <c r="G63" s="148" t="str">
        <f>IF(ISBLANK(F63),"-",(F63/$D$50*$D$47*$B$68)*($B$57/$D$60))</f>
        <v>-</v>
      </c>
      <c r="H63" s="150" t="str">
        <f t="shared" ref="H63:H71" si="0">IF(ISBLANK(F63),"-",G63/$B$56)</f>
        <v>-</v>
      </c>
    </row>
    <row r="64" spans="1:11" ht="26.25" customHeight="1" x14ac:dyDescent="0.45">
      <c r="A64" s="111" t="s">
        <v>85</v>
      </c>
      <c r="B64" s="196">
        <v>1</v>
      </c>
      <c r="C64" s="286" t="s">
        <v>86</v>
      </c>
      <c r="D64" s="290">
        <v>106.35</v>
      </c>
      <c r="E64" s="136">
        <v>1</v>
      </c>
      <c r="F64" s="203">
        <v>350991479</v>
      </c>
      <c r="G64" s="169">
        <f>IF(ISBLANK(F64),"-",(F64/$D$50*$D$47*$B$68)*($B$57/$D$64))</f>
        <v>491.39833407710279</v>
      </c>
      <c r="H64" s="166">
        <f>IF(ISBLANK(F64),"-",G64/$B$56)</f>
        <v>0.98279666815420552</v>
      </c>
    </row>
    <row r="65" spans="1:8" ht="26.25" customHeight="1" x14ac:dyDescent="0.45">
      <c r="A65" s="111" t="s">
        <v>87</v>
      </c>
      <c r="B65" s="196">
        <v>1</v>
      </c>
      <c r="C65" s="287"/>
      <c r="D65" s="291"/>
      <c r="E65" s="137">
        <v>2</v>
      </c>
      <c r="F65" s="198">
        <v>350974669</v>
      </c>
      <c r="G65" s="170">
        <f>IF(ISBLANK(F65),"-",(F65/$D$50*$D$47*$B$68)*($B$57/$D$64))</f>
        <v>491.37479958555514</v>
      </c>
      <c r="H65" s="167">
        <f>IF(ISBLANK(F65),"-",G65/$B$56)</f>
        <v>0.98274959917111027</v>
      </c>
    </row>
    <row r="66" spans="1:8" ht="26.25" customHeight="1" x14ac:dyDescent="0.45">
      <c r="A66" s="111" t="s">
        <v>88</v>
      </c>
      <c r="B66" s="196">
        <v>1</v>
      </c>
      <c r="C66" s="287"/>
      <c r="D66" s="291"/>
      <c r="E66" s="137">
        <v>3</v>
      </c>
      <c r="F66" s="198">
        <v>350849695</v>
      </c>
      <c r="G66" s="170">
        <f>IF(ISBLANK(F66),"-",(F66/$D$50*$D$47*$B$68)*($B$57/$D$64))</f>
        <v>491.19983233114226</v>
      </c>
      <c r="H66" s="167">
        <f>IF(ISBLANK(F66),"-",G66/$B$56)</f>
        <v>0.98239966466228457</v>
      </c>
    </row>
    <row r="67" spans="1:8" ht="21" customHeight="1" x14ac:dyDescent="0.45">
      <c r="A67" s="111" t="s">
        <v>89</v>
      </c>
      <c r="B67" s="196">
        <v>1</v>
      </c>
      <c r="C67" s="288"/>
      <c r="D67" s="292"/>
      <c r="E67" s="138">
        <v>4</v>
      </c>
      <c r="F67" s="204"/>
      <c r="G67" s="171" t="str">
        <f>IF(ISBLANK(F67),"-",(F67/$D$50*$D$47*$B$68)*($B$57/$D$64))</f>
        <v>-</v>
      </c>
      <c r="H67" s="168" t="str">
        <f t="shared" si="0"/>
        <v>-</v>
      </c>
    </row>
    <row r="68" spans="1:8" ht="21.75" customHeight="1" x14ac:dyDescent="0.45">
      <c r="A68" s="111" t="s">
        <v>90</v>
      </c>
      <c r="B68" s="174">
        <f>(B67/B66)*(B65/B64)*(B63/B62)*(B61/B60)*B59</f>
        <v>100</v>
      </c>
      <c r="C68" s="286" t="s">
        <v>91</v>
      </c>
      <c r="D68" s="290">
        <v>122.75</v>
      </c>
      <c r="E68" s="136">
        <v>1</v>
      </c>
      <c r="F68" s="203">
        <v>407485615</v>
      </c>
      <c r="G68" s="169">
        <f>IF(ISBLANK(F68),"-",(F68/$D$50*$D$47*$B$68)*($B$57/$D$68))</f>
        <v>494.27128655649142</v>
      </c>
      <c r="H68" s="150">
        <f>IF(ISBLANK(F68),"-",G68/$B$56)</f>
        <v>0.98854257311298288</v>
      </c>
    </row>
    <row r="69" spans="1:8" ht="21.75" customHeight="1" x14ac:dyDescent="0.5">
      <c r="A69" s="186" t="s">
        <v>92</v>
      </c>
      <c r="B69" s="202">
        <f>D47*B68/B56*B57</f>
        <v>113.1336</v>
      </c>
      <c r="C69" s="287"/>
      <c r="D69" s="291"/>
      <c r="E69" s="137">
        <v>2</v>
      </c>
      <c r="F69" s="198">
        <v>406919501</v>
      </c>
      <c r="G69" s="170">
        <f>IF(ISBLANK(F69),"-",(F69/$D$50*$D$47*$B$68)*($B$57/$D$68))</f>
        <v>493.58460245080181</v>
      </c>
      <c r="H69" s="150">
        <f>IF(ISBLANK(F69),"-",G69/$B$56)</f>
        <v>0.98716920490160365</v>
      </c>
    </row>
    <row r="70" spans="1:8" ht="22.5" customHeight="1" x14ac:dyDescent="0.45">
      <c r="A70" s="298" t="s">
        <v>68</v>
      </c>
      <c r="B70" s="299"/>
      <c r="C70" s="287"/>
      <c r="D70" s="291"/>
      <c r="E70" s="137">
        <v>3</v>
      </c>
      <c r="F70" s="198">
        <v>408466710</v>
      </c>
      <c r="G70" s="170">
        <f>IF(ISBLANK(F70),"-",(F70/$D$50*$D$47*$B$68)*($B$57/$D$68))</f>
        <v>495.46133368952741</v>
      </c>
      <c r="H70" s="150">
        <f>IF(ISBLANK(F70),"-",G70/$B$56)</f>
        <v>0.99092266737905477</v>
      </c>
    </row>
    <row r="71" spans="1:8" ht="21.75" customHeight="1" x14ac:dyDescent="0.45">
      <c r="A71" s="300"/>
      <c r="B71" s="301"/>
      <c r="C71" s="289"/>
      <c r="D71" s="292"/>
      <c r="E71" s="138">
        <v>4</v>
      </c>
      <c r="F71" s="204"/>
      <c r="G71" s="171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5">
      <c r="A72" s="139"/>
      <c r="B72" s="139"/>
      <c r="C72" s="139"/>
      <c r="D72" s="139"/>
      <c r="E72" s="139"/>
      <c r="F72" s="140"/>
      <c r="G72" s="129" t="s">
        <v>63</v>
      </c>
      <c r="H72" s="205">
        <f>AVERAGE(H60:H71)</f>
        <v>0.98694886356126377</v>
      </c>
    </row>
    <row r="73" spans="1:8" ht="26.25" customHeight="1" x14ac:dyDescent="0.45">
      <c r="C73" s="139"/>
      <c r="D73" s="139"/>
      <c r="E73" s="139"/>
      <c r="F73" s="140"/>
      <c r="G73" s="126" t="s">
        <v>73</v>
      </c>
      <c r="H73" s="206">
        <f>STDEV(H60:H71)/H72</f>
        <v>3.706741919923102E-3</v>
      </c>
    </row>
    <row r="74" spans="1:8" ht="27" customHeight="1" x14ac:dyDescent="0.45">
      <c r="A74" s="139"/>
      <c r="B74" s="139"/>
      <c r="C74" s="140"/>
      <c r="D74" s="140"/>
      <c r="E74" s="141"/>
      <c r="F74" s="140"/>
      <c r="G74" s="128" t="s">
        <v>15</v>
      </c>
      <c r="H74" s="207">
        <f>COUNT(H60:H71)</f>
        <v>9</v>
      </c>
    </row>
    <row r="75" spans="1:8" ht="18" x14ac:dyDescent="0.35">
      <c r="A75" s="139"/>
      <c r="B75" s="139"/>
      <c r="C75" s="140"/>
      <c r="D75" s="140"/>
      <c r="E75" s="141"/>
      <c r="F75" s="140"/>
      <c r="G75" s="144"/>
      <c r="H75" s="175"/>
    </row>
    <row r="76" spans="1:8" ht="18.600000000000001" thickBot="1" x14ac:dyDescent="0.4">
      <c r="A76" s="98" t="s">
        <v>93</v>
      </c>
      <c r="B76" s="189" t="s">
        <v>94</v>
      </c>
      <c r="C76" s="302" t="str">
        <f>B20</f>
        <v>Cefadroxil (as monohydrate)</v>
      </c>
      <c r="D76" s="302"/>
      <c r="E76" s="190" t="s">
        <v>95</v>
      </c>
      <c r="F76" s="190"/>
      <c r="G76" s="191">
        <f>H72</f>
        <v>0.98694886356126377</v>
      </c>
      <c r="H76" s="175"/>
    </row>
    <row r="77" spans="1:8" ht="18" x14ac:dyDescent="0.35">
      <c r="B77" s="276" t="s">
        <v>21</v>
      </c>
      <c r="C77" s="277"/>
      <c r="E77" s="145" t="s">
        <v>22</v>
      </c>
      <c r="F77" s="164"/>
      <c r="G77" s="276" t="s">
        <v>23</v>
      </c>
      <c r="H77" s="276"/>
    </row>
    <row r="78" spans="1:8" ht="83.1" customHeight="1" x14ac:dyDescent="0.35">
      <c r="A78" s="165" t="s">
        <v>24</v>
      </c>
      <c r="B78" s="187"/>
      <c r="C78" s="187"/>
      <c r="E78" s="160"/>
      <c r="F78" s="142"/>
      <c r="G78" s="162"/>
      <c r="H78" s="162"/>
    </row>
    <row r="79" spans="1:8" ht="83.1" customHeight="1" x14ac:dyDescent="0.35">
      <c r="A79" s="165" t="s">
        <v>25</v>
      </c>
      <c r="B79" s="188"/>
      <c r="C79" s="188"/>
      <c r="E79" s="161"/>
      <c r="F79" s="142"/>
      <c r="G79" s="163"/>
      <c r="H79" s="163"/>
    </row>
    <row r="80" spans="1:8" ht="18" x14ac:dyDescent="0.35">
      <c r="A80" s="139"/>
      <c r="B80" s="139"/>
      <c r="C80" s="140"/>
      <c r="D80" s="140"/>
      <c r="E80" s="140"/>
      <c r="F80" s="141"/>
      <c r="G80" s="140"/>
      <c r="H80" s="140"/>
    </row>
    <row r="81" spans="1:8" ht="18" x14ac:dyDescent="0.35">
      <c r="A81" s="139"/>
      <c r="B81" s="139"/>
      <c r="C81" s="140"/>
      <c r="D81" s="140"/>
      <c r="E81" s="140"/>
      <c r="F81" s="141"/>
      <c r="G81" s="140"/>
      <c r="H81" s="140"/>
    </row>
    <row r="82" spans="1:8" ht="18" x14ac:dyDescent="0.35">
      <c r="A82" s="139"/>
      <c r="B82" s="139"/>
      <c r="C82" s="140"/>
      <c r="D82" s="140"/>
      <c r="E82" s="140"/>
      <c r="F82" s="141"/>
      <c r="G82" s="140"/>
      <c r="H82" s="140"/>
    </row>
    <row r="83" spans="1:8" ht="18" x14ac:dyDescent="0.35">
      <c r="A83" s="139"/>
      <c r="B83" s="139"/>
      <c r="C83" s="140"/>
      <c r="D83" s="140"/>
      <c r="E83" s="140"/>
      <c r="F83" s="141"/>
      <c r="G83" s="140"/>
      <c r="H83" s="140"/>
    </row>
    <row r="84" spans="1:8" ht="18" x14ac:dyDescent="0.35">
      <c r="A84" s="139"/>
      <c r="B84" s="139"/>
      <c r="C84" s="140"/>
      <c r="D84" s="140"/>
      <c r="E84" s="140"/>
      <c r="F84" s="141"/>
      <c r="G84" s="140"/>
      <c r="H84" s="140"/>
    </row>
    <row r="85" spans="1:8" ht="18" x14ac:dyDescent="0.35">
      <c r="A85" s="139"/>
      <c r="B85" s="139"/>
      <c r="C85" s="140"/>
      <c r="D85" s="140"/>
      <c r="E85" s="140"/>
      <c r="F85" s="141"/>
      <c r="G85" s="140"/>
      <c r="H85" s="140"/>
    </row>
    <row r="86" spans="1:8" ht="18" x14ac:dyDescent="0.35">
      <c r="A86" s="139"/>
      <c r="B86" s="139"/>
      <c r="C86" s="140"/>
      <c r="D86" s="140"/>
      <c r="E86" s="140"/>
      <c r="F86" s="141"/>
      <c r="G86" s="140"/>
      <c r="H86" s="140"/>
    </row>
    <row r="87" spans="1:8" ht="18" x14ac:dyDescent="0.35">
      <c r="A87" s="139"/>
      <c r="B87" s="139"/>
      <c r="C87" s="140"/>
      <c r="D87" s="140"/>
      <c r="E87" s="140"/>
      <c r="F87" s="141"/>
      <c r="G87" s="140"/>
      <c r="H87" s="140"/>
    </row>
    <row r="88" spans="1:8" ht="18" x14ac:dyDescent="0.35">
      <c r="A88" s="139"/>
      <c r="B88" s="139"/>
      <c r="C88" s="140"/>
      <c r="D88" s="140"/>
      <c r="E88" s="140"/>
      <c r="F88" s="141"/>
      <c r="G88" s="140"/>
      <c r="H88" s="140"/>
    </row>
    <row r="187" spans="1:1" x14ac:dyDescent="0.3">
      <c r="A187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6:H16"/>
    <mergeCell ref="B26:C26"/>
    <mergeCell ref="B18:C18"/>
    <mergeCell ref="B77:C77"/>
    <mergeCell ref="G77:H77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46:B47"/>
    <mergeCell ref="A70:B71"/>
    <mergeCell ref="C76:D76"/>
  </mergeCells>
  <printOptions horizont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Cefadroxil</vt:lpstr>
      <vt:lpstr>Cefadroxil!Print_Area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2016-03-28T11:46:56Z</cp:lastPrinted>
  <dcterms:created xsi:type="dcterms:W3CDTF">2005-07-05T10:19:27Z</dcterms:created>
  <dcterms:modified xsi:type="dcterms:W3CDTF">2016-03-28T11:48:39Z</dcterms:modified>
</cp:coreProperties>
</file>