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AMOXICILLIN" sheetId="3" r:id="rId3"/>
  </sheets>
  <definedNames>
    <definedName name="_xlnm.Print_Area" localSheetId="2">AMOXICILLIN!$A$1:$N$124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8" i="1" l="1"/>
  <c r="B19" i="1"/>
  <c r="B57" i="3" l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B69" i="3"/>
  <c r="I92" i="3"/>
  <c r="D101" i="3"/>
  <c r="D102" i="3" s="1"/>
  <c r="F44" i="3"/>
  <c r="F45" i="3" s="1"/>
  <c r="D45" i="3"/>
  <c r="D46" i="3" s="1"/>
  <c r="F98" i="3"/>
  <c r="F99" i="3" s="1"/>
  <c r="E27" i="2"/>
  <c r="E31" i="2"/>
  <c r="G93" i="3"/>
  <c r="E25" i="2"/>
  <c r="E37" i="2"/>
  <c r="D49" i="3"/>
  <c r="E40" i="3"/>
  <c r="E41" i="3"/>
  <c r="D43" i="2"/>
  <c r="D97" i="3"/>
  <c r="D98" i="3" s="1"/>
  <c r="D99" i="3" s="1"/>
  <c r="G94" i="3" l="1"/>
  <c r="G91" i="3"/>
  <c r="G92" i="3"/>
  <c r="E39" i="3"/>
  <c r="E38" i="3"/>
  <c r="F46" i="3"/>
  <c r="G40" i="3"/>
  <c r="G38" i="3"/>
  <c r="G41" i="3"/>
  <c r="G39" i="3"/>
  <c r="E93" i="3"/>
  <c r="D48" i="2"/>
  <c r="B47" i="2"/>
  <c r="C48" i="2"/>
  <c r="D47" i="2"/>
  <c r="E36" i="2"/>
  <c r="E28" i="2"/>
  <c r="C47" i="2"/>
  <c r="E38" i="2"/>
  <c r="E34" i="2"/>
  <c r="E30" i="2"/>
  <c r="E26" i="2"/>
  <c r="E22" i="2"/>
  <c r="E40" i="2"/>
  <c r="E32" i="2"/>
  <c r="E24" i="2"/>
  <c r="E33" i="2"/>
  <c r="E94" i="3"/>
  <c r="E39" i="2"/>
  <c r="E23" i="2"/>
  <c r="E21" i="2"/>
  <c r="E29" i="2"/>
  <c r="E91" i="3"/>
  <c r="E92" i="3"/>
  <c r="E35" i="2"/>
  <c r="E42" i="3" l="1"/>
  <c r="G95" i="3"/>
  <c r="D52" i="3"/>
  <c r="G42" i="3"/>
  <c r="D50" i="3"/>
  <c r="D51" i="3" s="1"/>
  <c r="E95" i="3"/>
  <c r="D105" i="3"/>
  <c r="D103" i="3"/>
  <c r="G71" i="3"/>
  <c r="H71" i="3" s="1"/>
  <c r="G63" i="3" l="1"/>
  <c r="H63" i="3" s="1"/>
  <c r="G70" i="3"/>
  <c r="H70" i="3" s="1"/>
  <c r="G66" i="3"/>
  <c r="H66" i="3" s="1"/>
  <c r="G69" i="3"/>
  <c r="H69" i="3" s="1"/>
  <c r="G61" i="3"/>
  <c r="H61" i="3" s="1"/>
  <c r="G68" i="3"/>
  <c r="H68" i="3" s="1"/>
  <c r="G67" i="3"/>
  <c r="H67" i="3" s="1"/>
  <c r="G64" i="3"/>
  <c r="H64" i="3" s="1"/>
  <c r="G62" i="3"/>
  <c r="H62" i="3" s="1"/>
  <c r="G65" i="3"/>
  <c r="H65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H74" i="3"/>
  <c r="H72" i="3"/>
  <c r="E115" i="3"/>
  <c r="E116" i="3" s="1"/>
  <c r="E117" i="3"/>
  <c r="F108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<sst xmlns="http://schemas.openxmlformats.org/spreadsheetml/2006/main" count="237" uniqueCount="133">
  <si>
    <t>HPLC System Suitability Report</t>
  </si>
  <si>
    <t>Analysis Data</t>
  </si>
  <si>
    <t>Assay</t>
  </si>
  <si>
    <t>Sample(s)</t>
  </si>
  <si>
    <t>Reference Substance:</t>
  </si>
  <si>
    <t>AMOXICILLIN CAPSULES B.P 250 mg</t>
  </si>
  <si>
    <t>% age Purity:</t>
  </si>
  <si>
    <t>NDQD201603779</t>
  </si>
  <si>
    <t>Weight (mg):</t>
  </si>
  <si>
    <t>Amoxicillin Trihydrate BP</t>
  </si>
  <si>
    <t>Standard Conc (mg/mL):</t>
  </si>
  <si>
    <t>Amoxicillin trihydrate B.P 250 mg</t>
  </si>
  <si>
    <t>2016-03-03 09:33:11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</si>
  <si>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</si>
  <si>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</si>
  <si>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</si>
  <si>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</si>
  <si>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</si>
  <si>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</si>
  <si>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</si>
  <si>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</si>
  <si>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</si>
  <si>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</si>
  <si>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</si>
  <si>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</si>
  <si>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</si>
  <si>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</si>
  <si>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</si>
  <si>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</si>
  <si>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</si>
  <si>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</si>
  <si>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</si>
  <si>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</si>
  <si>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</si>
  <si>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</si>
  <si>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</si>
  <si>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</si>
  <si>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</si>
  <si>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</si>
  <si>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2016-05-18 14:43:07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</si>
  <si>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</si>
  <si>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</si>
  <si>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</si>
  <si>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</si>
  <si>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</si>
  <si>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</si>
  <si>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</si>
  <si>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</si>
  <si>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</si>
  <si>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</si>
  <si>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</si>
  <si>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</si>
  <si>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</si>
  <si>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</si>
  <si>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</si>
  <si>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</si>
  <si>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</si>
  <si>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</si>
  <si>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</si>
  <si>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</si>
  <si>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</si>
  <si>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</si>
  <si>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</si>
  <si>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</si>
  <si>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</si>
  <si>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</si>
  <si>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</si>
  <si>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</si>
  <si>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</si>
  <si>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</si>
  <si>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</si>
  <si>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</si>
  <si>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</si>
  <si>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</si>
  <si>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</si>
  <si>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</si>
  <si>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</si>
  <si>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</si>
  <si>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</si>
  <si>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</si>
  <si>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</si>
  <si>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</si>
  <si>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</si>
  <si>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</si>
  <si>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</si>
  <si>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</si>
  <si>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</si>
  <si>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</si>
  <si>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</si>
  <si>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</si>
  <si>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</si>
  <si>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</si>
  <si>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</si>
  <si>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</si>
  <si>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</si>
  <si>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</si>
  <si>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</si>
  <si>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</si>
  <si>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</si>
  <si>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</si>
  <si>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</si>
  <si>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</si>
  <si>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</si>
  <si>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</si>
  <si>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</si>
  <si>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</si>
  <si>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</si>
  <si>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</si>
  <si>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</si>
  <si>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</si>
  <si>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</si>
  <si>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</si>
  <si>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</si>
  <si>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</si>
  <si>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</si>
  <si>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</si>
  <si>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</si>
  <si>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</si>
  <si>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</si>
  <si>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</si>
  <si>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</si>
  <si>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</si>
  <si>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</si>
  <si>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</si>
  <si>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</si>
  <si>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</si>
  <si>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</si>
  <si>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</si>
  <si>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 Trihydrate</t>
  </si>
  <si>
    <t>WRS/A1-2</t>
  </si>
  <si>
    <t>Joyfrida</t>
  </si>
  <si>
    <t>UV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</si>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</sst>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2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4" t="s">
        <v>0</v>
      </c>
      <c r="B15" s="304"/>
      <c r="C15" s="304"/>
      <c r="D15" s="304"/>
      <c r="E15" s="30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03" t="str">
        <f>AMOXICILLIN!B79</f>
        <v>Amoxicillin Trihydrate</v>
      </c>
      <c r="C18" s="10"/>
      <c r="D18" s="10"/>
      <c r="E18" s="10"/>
    </row>
    <row r="19" spans="1:6" ht="16.5" customHeight="1" x14ac:dyDescent="0.3">
      <c r="A19" s="11" t="s">
        <v>6</v>
      </c>
      <c r="B19" s="12">
        <f>AMOXICILLIN!B28</f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f>AMOXICILLIN!D43</f>
        <v>12.13</v>
      </c>
      <c r="C20" s="10"/>
      <c r="D20" s="10"/>
      <c r="E20" s="10"/>
    </row>
    <row r="21" spans="1:6" ht="16.5" customHeight="1" x14ac:dyDescent="0.3">
      <c r="A21" s="7" t="s">
        <v>10</v>
      </c>
      <c r="B21" s="302">
        <f>AMOXICILLIN!D46</f>
        <v>1.0237720000000001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53983255</v>
      </c>
      <c r="C24" s="18">
        <v>7333.24</v>
      </c>
      <c r="D24" s="19">
        <v>1.1100000000000001</v>
      </c>
      <c r="E24" s="20">
        <v>4.38</v>
      </c>
    </row>
    <row r="25" spans="1:6" ht="16.5" customHeight="1" x14ac:dyDescent="0.3">
      <c r="A25" s="17">
        <v>2</v>
      </c>
      <c r="B25" s="18">
        <v>55268147</v>
      </c>
      <c r="C25" s="18">
        <v>7299.65</v>
      </c>
      <c r="D25" s="19">
        <v>1.1299999999999999</v>
      </c>
      <c r="E25" s="19">
        <v>4.38</v>
      </c>
    </row>
    <row r="26" spans="1:6" ht="16.5" customHeight="1" x14ac:dyDescent="0.3">
      <c r="A26" s="17">
        <v>3</v>
      </c>
      <c r="B26" s="18">
        <v>54386213</v>
      </c>
      <c r="C26" s="19">
        <v>7434.7</v>
      </c>
      <c r="D26" s="19">
        <v>1.1200000000000001</v>
      </c>
      <c r="E26" s="19">
        <v>4.3899999999999997</v>
      </c>
    </row>
    <row r="27" spans="1:6" ht="16.5" customHeight="1" x14ac:dyDescent="0.3">
      <c r="A27" s="17">
        <v>4</v>
      </c>
      <c r="B27" s="18">
        <v>55418861</v>
      </c>
      <c r="C27" s="18">
        <v>7160.39</v>
      </c>
      <c r="D27" s="19">
        <v>1.1399999999999999</v>
      </c>
      <c r="E27" s="19">
        <v>4.3899999999999997</v>
      </c>
    </row>
    <row r="28" spans="1:6" ht="16.5" customHeight="1" x14ac:dyDescent="0.3">
      <c r="A28" s="17">
        <v>5</v>
      </c>
      <c r="B28" s="18">
        <v>55447477</v>
      </c>
      <c r="C28" s="18">
        <v>7312.25</v>
      </c>
      <c r="D28" s="19">
        <v>1.1299999999999999</v>
      </c>
      <c r="E28" s="19">
        <v>4.3899999999999997</v>
      </c>
    </row>
    <row r="29" spans="1:6" ht="16.5" customHeight="1" x14ac:dyDescent="0.3">
      <c r="A29" s="17">
        <v>6</v>
      </c>
      <c r="B29" s="21">
        <v>55209475</v>
      </c>
      <c r="C29" s="21">
        <v>7222.42</v>
      </c>
      <c r="D29" s="22">
        <v>1.1100000000000001</v>
      </c>
      <c r="E29" s="22">
        <v>4.38</v>
      </c>
    </row>
    <row r="30" spans="1:6" ht="16.5" customHeight="1" x14ac:dyDescent="0.3">
      <c r="A30" s="23" t="s">
        <v>18</v>
      </c>
      <c r="B30" s="24">
        <f>AVERAGE(B24:B29)</f>
        <v>54952238</v>
      </c>
      <c r="C30" s="25">
        <f>AVERAGE(C24:C29)</f>
        <v>7293.7749999999987</v>
      </c>
      <c r="D30" s="26">
        <f>AVERAGE(D24:D29)</f>
        <v>1.1233333333333333</v>
      </c>
      <c r="E30" s="26">
        <f>AVERAGE(E24:E29)</f>
        <v>4.3849999999999998</v>
      </c>
    </row>
    <row r="31" spans="1:6" ht="16.5" customHeight="1" x14ac:dyDescent="0.3">
      <c r="A31" s="27" t="s">
        <v>19</v>
      </c>
      <c r="B31" s="28">
        <f>(STDEV(B24:B29)/B30)</f>
        <v>1.1183116728606368E-2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  <c r="C38" s="4" t="s">
        <v>131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5" t="s">
        <v>26</v>
      </c>
      <c r="C59" s="305"/>
      <c r="E59" s="45" t="s">
        <v>27</v>
      </c>
      <c r="F59" s="46"/>
      <c r="G59" s="45" t="s">
        <v>28</v>
      </c>
    </row>
    <row r="60" spans="1:7" ht="30.75" customHeight="1" x14ac:dyDescent="0.3">
      <c r="A60" s="47" t="s">
        <v>29</v>
      </c>
      <c r="B60" s="48" t="s">
        <v>130</v>
      </c>
      <c r="C60" s="48"/>
      <c r="E60" s="48"/>
      <c r="F60" s="2"/>
      <c r="G60" s="49"/>
    </row>
    <row r="61" spans="1:7" ht="35.2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7" workbookViewId="0">
      <selection activeCell="C61" sqref="C6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1" t="s">
        <v>31</v>
      </c>
      <c r="B8" s="311"/>
      <c r="C8" s="311"/>
      <c r="D8" s="311"/>
      <c r="E8" s="311"/>
      <c r="F8" s="311"/>
      <c r="G8" s="31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2" t="s">
        <v>32</v>
      </c>
      <c r="B10" s="312"/>
      <c r="C10" s="312"/>
      <c r="D10" s="312"/>
      <c r="E10" s="312"/>
      <c r="F10" s="312"/>
      <c r="G10" s="31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6" t="s">
        <v>33</v>
      </c>
      <c r="B11" s="306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6" t="s">
        <v>34</v>
      </c>
      <c r="B12" s="306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6" t="s">
        <v>35</v>
      </c>
      <c r="B13" s="306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6" t="s">
        <v>36</v>
      </c>
      <c r="B14" s="306"/>
      <c r="C14" s="310" t="s">
        <v>11</v>
      </c>
      <c r="D14" s="310"/>
      <c r="E14" s="310"/>
      <c r="F14" s="310"/>
      <c r="G14" s="310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6" t="s">
        <v>37</v>
      </c>
      <c r="B15" s="306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6" t="s">
        <v>38</v>
      </c>
      <c r="B16" s="306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7" t="s">
        <v>1</v>
      </c>
      <c r="B18" s="307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370.57</v>
      </c>
      <c r="C21" s="83">
        <v>78.959999999999994</v>
      </c>
      <c r="D21" s="84">
        <f t="shared" ref="D21:D40" si="0">B21-C21</f>
        <v>291.61</v>
      </c>
      <c r="E21" s="85">
        <f t="shared" ref="E21:E40" si="1">(D21-$D$43)/$D$43</f>
        <v>-1.5073985132045022E-2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365.95</v>
      </c>
      <c r="C22" s="88">
        <v>82.19</v>
      </c>
      <c r="D22" s="89">
        <f t="shared" si="0"/>
        <v>283.76</v>
      </c>
      <c r="E22" s="85">
        <f t="shared" si="1"/>
        <v>-4.1587716542879592E-2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374.52</v>
      </c>
      <c r="C23" s="88">
        <v>78.650000000000006</v>
      </c>
      <c r="D23" s="89">
        <f t="shared" si="0"/>
        <v>295.87</v>
      </c>
      <c r="E23" s="85">
        <f t="shared" si="1"/>
        <v>-6.8564171673869126E-4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376.63</v>
      </c>
      <c r="C24" s="88">
        <v>78.48</v>
      </c>
      <c r="D24" s="89">
        <f t="shared" si="0"/>
        <v>298.14999999999998</v>
      </c>
      <c r="E24" s="85">
        <f t="shared" si="1"/>
        <v>7.0151618013125083E-3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384.49</v>
      </c>
      <c r="C25" s="88">
        <v>79.069999999999993</v>
      </c>
      <c r="D25" s="89">
        <f t="shared" si="0"/>
        <v>305.42</v>
      </c>
      <c r="E25" s="85">
        <f t="shared" si="1"/>
        <v>3.1569916878607766E-2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374.68</v>
      </c>
      <c r="C26" s="88">
        <v>78.34</v>
      </c>
      <c r="D26" s="89">
        <f t="shared" si="0"/>
        <v>296.34000000000003</v>
      </c>
      <c r="E26" s="85">
        <f t="shared" si="1"/>
        <v>9.0180462250881628E-4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373.34</v>
      </c>
      <c r="C27" s="88">
        <v>76.69</v>
      </c>
      <c r="D27" s="89">
        <f t="shared" si="0"/>
        <v>296.64999999999998</v>
      </c>
      <c r="E27" s="85">
        <f t="shared" si="1"/>
        <v>1.9488436973313953E-3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380.3</v>
      </c>
      <c r="C28" s="88">
        <v>78.52</v>
      </c>
      <c r="D28" s="89">
        <f t="shared" si="0"/>
        <v>301.78000000000003</v>
      </c>
      <c r="E28" s="85">
        <f t="shared" si="1"/>
        <v>1.9275651612946979E-2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373.38</v>
      </c>
      <c r="C29" s="88">
        <v>78.98</v>
      </c>
      <c r="D29" s="89">
        <f t="shared" si="0"/>
        <v>294.39999999999998</v>
      </c>
      <c r="E29" s="85">
        <f t="shared" si="1"/>
        <v>-5.6506334586402746E-3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379.64</v>
      </c>
      <c r="C30" s="88">
        <v>83.19</v>
      </c>
      <c r="D30" s="89">
        <f t="shared" si="0"/>
        <v>296.45</v>
      </c>
      <c r="E30" s="85">
        <f t="shared" si="1"/>
        <v>1.2733346168006187E-3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376.74</v>
      </c>
      <c r="C31" s="88">
        <v>81.569999999999993</v>
      </c>
      <c r="D31" s="89">
        <f t="shared" si="0"/>
        <v>295.17</v>
      </c>
      <c r="E31" s="85">
        <f t="shared" si="1"/>
        <v>-3.0499234985965056E-3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369.41</v>
      </c>
      <c r="C32" s="88">
        <v>78.06</v>
      </c>
      <c r="D32" s="89">
        <f t="shared" si="0"/>
        <v>291.35000000000002</v>
      </c>
      <c r="E32" s="85">
        <f t="shared" si="1"/>
        <v>-1.5952146936735051E-2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379.71</v>
      </c>
      <c r="C33" s="88">
        <v>80.59</v>
      </c>
      <c r="D33" s="89">
        <f t="shared" si="0"/>
        <v>299.12</v>
      </c>
      <c r="E33" s="85">
        <f t="shared" si="1"/>
        <v>1.0291380841887054E-2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371.78</v>
      </c>
      <c r="C34" s="88">
        <v>77.86</v>
      </c>
      <c r="D34" s="89">
        <f t="shared" si="0"/>
        <v>293.91999999999996</v>
      </c>
      <c r="E34" s="85">
        <f t="shared" si="1"/>
        <v>-7.2718552519142922E-3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375.89</v>
      </c>
      <c r="C35" s="88">
        <v>79.650000000000006</v>
      </c>
      <c r="D35" s="89">
        <f t="shared" si="0"/>
        <v>296.24</v>
      </c>
      <c r="E35" s="85">
        <f t="shared" si="1"/>
        <v>5.6405008224333201E-4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372.9</v>
      </c>
      <c r="C36" s="88">
        <v>80.92</v>
      </c>
      <c r="D36" s="89">
        <f t="shared" si="0"/>
        <v>291.97999999999996</v>
      </c>
      <c r="E36" s="85">
        <f t="shared" si="1"/>
        <v>-1.3824293333063191E-2</v>
      </c>
      <c r="G36" s="66"/>
      <c r="H36" s="66"/>
    </row>
    <row r="37" spans="1:15" ht="15" x14ac:dyDescent="0.3">
      <c r="A37" s="86">
        <v>17</v>
      </c>
      <c r="B37" s="90">
        <v>384.44</v>
      </c>
      <c r="C37" s="88">
        <v>78.27</v>
      </c>
      <c r="D37" s="89">
        <f t="shared" si="0"/>
        <v>306.17</v>
      </c>
      <c r="E37" s="85">
        <f t="shared" si="1"/>
        <v>3.4103075930598324E-2</v>
      </c>
    </row>
    <row r="38" spans="1:15" ht="15" x14ac:dyDescent="0.3">
      <c r="A38" s="86">
        <v>18</v>
      </c>
      <c r="B38" s="90">
        <v>373.2</v>
      </c>
      <c r="C38" s="88">
        <v>80.98</v>
      </c>
      <c r="D38" s="89">
        <f t="shared" si="0"/>
        <v>292.21999999999997</v>
      </c>
      <c r="E38" s="85">
        <f t="shared" si="1"/>
        <v>-1.3013682436426182E-2</v>
      </c>
    </row>
    <row r="39" spans="1:15" ht="15" x14ac:dyDescent="0.3">
      <c r="A39" s="86">
        <v>19</v>
      </c>
      <c r="B39" s="90">
        <v>369.75</v>
      </c>
      <c r="C39" s="88">
        <v>76.650000000000006</v>
      </c>
      <c r="D39" s="89">
        <f t="shared" si="0"/>
        <v>293.10000000000002</v>
      </c>
      <c r="E39" s="85">
        <f t="shared" si="1"/>
        <v>-1.0041442482090419E-2</v>
      </c>
    </row>
    <row r="40" spans="1:15" ht="14.25" customHeight="1" x14ac:dyDescent="0.3">
      <c r="A40" s="91">
        <v>20</v>
      </c>
      <c r="B40" s="92">
        <v>379.11</v>
      </c>
      <c r="C40" s="93">
        <v>77.349999999999994</v>
      </c>
      <c r="D40" s="94">
        <f t="shared" si="0"/>
        <v>301.76</v>
      </c>
      <c r="E40" s="95">
        <f t="shared" si="1"/>
        <v>1.9208100704893767E-2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7506.4299999999994</v>
      </c>
      <c r="C42" s="98">
        <f>SUM(C21:C40)</f>
        <v>1584.9699999999998</v>
      </c>
      <c r="D42" s="99">
        <f>SUM(D21:D40)</f>
        <v>5921.46</v>
      </c>
    </row>
    <row r="43" spans="1:15" ht="15.75" customHeight="1" x14ac:dyDescent="0.3">
      <c r="A43" s="100" t="s">
        <v>47</v>
      </c>
      <c r="B43" s="101">
        <f>AVERAGE(B21:B40)</f>
        <v>375.32149999999996</v>
      </c>
      <c r="C43" s="102">
        <f>AVERAGE(C21:C40)</f>
        <v>79.248499999999993</v>
      </c>
      <c r="D43" s="103">
        <f>AVERAGE(D21:D40)</f>
        <v>296.07299999999998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8">
        <f>D43</f>
        <v>296.07299999999998</v>
      </c>
      <c r="C47" s="107">
        <f>-(IF(D43&gt;300, 7.5%, 10%))</f>
        <v>-0.1</v>
      </c>
      <c r="D47" s="108">
        <f>IF(D43&lt;300, D43*0.9, D43*0.925)</f>
        <v>266.46569999999997</v>
      </c>
    </row>
    <row r="48" spans="1:15" ht="15.75" customHeight="1" x14ac:dyDescent="0.3">
      <c r="B48" s="309"/>
      <c r="C48" s="109">
        <f>+(IF(D43&gt;300, 7.5%, 10%))</f>
        <v>0.1</v>
      </c>
      <c r="D48" s="108">
        <f>IF(D43&lt;300, D43*1.1, D43*1.075)</f>
        <v>325.68029999999999</v>
      </c>
    </row>
    <row r="49" spans="1:7" ht="14.25" customHeight="1" x14ac:dyDescent="0.3">
      <c r="A49" s="110"/>
      <c r="D49" s="111"/>
    </row>
    <row r="50" spans="1:7" ht="15" customHeight="1" x14ac:dyDescent="0.3">
      <c r="B50" s="305" t="s">
        <v>26</v>
      </c>
      <c r="C50" s="305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8" zoomScale="55" zoomScaleNormal="60" zoomScaleSheetLayoutView="55" zoomScalePageLayoutView="55" workbookViewId="0">
      <selection activeCell="P163" sqref="P1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1" t="s">
        <v>49</v>
      </c>
      <c r="B1" s="341"/>
      <c r="C1" s="341"/>
      <c r="D1" s="341"/>
      <c r="E1" s="341"/>
      <c r="F1" s="341"/>
      <c r="G1" s="341"/>
      <c r="H1" s="341"/>
      <c r="I1" s="341"/>
    </row>
    <row r="2" spans="1:9" ht="18.75" customHeight="1" x14ac:dyDescent="0.25">
      <c r="A2" s="341"/>
      <c r="B2" s="341"/>
      <c r="C2" s="341"/>
      <c r="D2" s="341"/>
      <c r="E2" s="341"/>
      <c r="F2" s="341"/>
      <c r="G2" s="341"/>
      <c r="H2" s="341"/>
      <c r="I2" s="341"/>
    </row>
    <row r="3" spans="1:9" ht="18.75" customHeight="1" x14ac:dyDescent="0.25">
      <c r="A3" s="341"/>
      <c r="B3" s="341"/>
      <c r="C3" s="341"/>
      <c r="D3" s="341"/>
      <c r="E3" s="341"/>
      <c r="F3" s="341"/>
      <c r="G3" s="341"/>
      <c r="H3" s="341"/>
      <c r="I3" s="341"/>
    </row>
    <row r="4" spans="1:9" ht="18.75" customHeight="1" x14ac:dyDescent="0.25">
      <c r="A4" s="341"/>
      <c r="B4" s="341"/>
      <c r="C4" s="341"/>
      <c r="D4" s="341"/>
      <c r="E4" s="341"/>
      <c r="F4" s="341"/>
      <c r="G4" s="341"/>
      <c r="H4" s="341"/>
      <c r="I4" s="341"/>
    </row>
    <row r="5" spans="1:9" ht="18.75" customHeight="1" x14ac:dyDescent="0.25">
      <c r="A5" s="341"/>
      <c r="B5" s="341"/>
      <c r="C5" s="341"/>
      <c r="D5" s="341"/>
      <c r="E5" s="341"/>
      <c r="F5" s="341"/>
      <c r="G5" s="341"/>
      <c r="H5" s="341"/>
      <c r="I5" s="341"/>
    </row>
    <row r="6" spans="1:9" ht="18.75" customHeight="1" x14ac:dyDescent="0.25">
      <c r="A6" s="341"/>
      <c r="B6" s="341"/>
      <c r="C6" s="341"/>
      <c r="D6" s="341"/>
      <c r="E6" s="341"/>
      <c r="F6" s="341"/>
      <c r="G6" s="341"/>
      <c r="H6" s="341"/>
      <c r="I6" s="341"/>
    </row>
    <row r="7" spans="1:9" ht="18.75" customHeight="1" x14ac:dyDescent="0.25">
      <c r="A7" s="341"/>
      <c r="B7" s="341"/>
      <c r="C7" s="341"/>
      <c r="D7" s="341"/>
      <c r="E7" s="341"/>
      <c r="F7" s="341"/>
      <c r="G7" s="341"/>
      <c r="H7" s="341"/>
      <c r="I7" s="341"/>
    </row>
    <row r="8" spans="1:9" x14ac:dyDescent="0.25">
      <c r="A8" s="342" t="s">
        <v>50</v>
      </c>
      <c r="B8" s="342"/>
      <c r="C8" s="342"/>
      <c r="D8" s="342"/>
      <c r="E8" s="342"/>
      <c r="F8" s="342"/>
      <c r="G8" s="342"/>
      <c r="H8" s="342"/>
      <c r="I8" s="342"/>
    </row>
    <row r="9" spans="1:9" x14ac:dyDescent="0.25">
      <c r="A9" s="342"/>
      <c r="B9" s="342"/>
      <c r="C9" s="342"/>
      <c r="D9" s="342"/>
      <c r="E9" s="342"/>
      <c r="F9" s="342"/>
      <c r="G9" s="342"/>
      <c r="H9" s="342"/>
      <c r="I9" s="342"/>
    </row>
    <row r="10" spans="1:9" x14ac:dyDescent="0.25">
      <c r="A10" s="342"/>
      <c r="B10" s="342"/>
      <c r="C10" s="342"/>
      <c r="D10" s="342"/>
      <c r="E10" s="342"/>
      <c r="F10" s="342"/>
      <c r="G10" s="342"/>
      <c r="H10" s="342"/>
      <c r="I10" s="342"/>
    </row>
    <row r="11" spans="1:9" x14ac:dyDescent="0.25">
      <c r="A11" s="342"/>
      <c r="B11" s="342"/>
      <c r="C11" s="342"/>
      <c r="D11" s="342"/>
      <c r="E11" s="342"/>
      <c r="F11" s="342"/>
      <c r="G11" s="342"/>
      <c r="H11" s="342"/>
      <c r="I11" s="342"/>
    </row>
    <row r="12" spans="1:9" x14ac:dyDescent="0.25">
      <c r="A12" s="342"/>
      <c r="B12" s="342"/>
      <c r="C12" s="342"/>
      <c r="D12" s="342"/>
      <c r="E12" s="342"/>
      <c r="F12" s="342"/>
      <c r="G12" s="342"/>
      <c r="H12" s="342"/>
      <c r="I12" s="342"/>
    </row>
    <row r="13" spans="1:9" x14ac:dyDescent="0.25">
      <c r="A13" s="342"/>
      <c r="B13" s="342"/>
      <c r="C13" s="342"/>
      <c r="D13" s="342"/>
      <c r="E13" s="342"/>
      <c r="F13" s="342"/>
      <c r="G13" s="342"/>
      <c r="H13" s="342"/>
      <c r="I13" s="342"/>
    </row>
    <row r="14" spans="1:9" x14ac:dyDescent="0.25">
      <c r="A14" s="342"/>
      <c r="B14" s="342"/>
      <c r="C14" s="342"/>
      <c r="D14" s="342"/>
      <c r="E14" s="342"/>
      <c r="F14" s="342"/>
      <c r="G14" s="342"/>
      <c r="H14" s="342"/>
      <c r="I14" s="342"/>
    </row>
    <row r="15" spans="1:9" ht="19.5" customHeight="1" x14ac:dyDescent="0.3">
      <c r="A15" s="119"/>
    </row>
    <row r="16" spans="1:9" ht="19.5" customHeight="1" x14ac:dyDescent="0.3">
      <c r="A16" s="314" t="s">
        <v>31</v>
      </c>
      <c r="B16" s="315"/>
      <c r="C16" s="315"/>
      <c r="D16" s="315"/>
      <c r="E16" s="315"/>
      <c r="F16" s="315"/>
      <c r="G16" s="315"/>
      <c r="H16" s="316"/>
    </row>
    <row r="17" spans="1:14" ht="20.25" customHeight="1" x14ac:dyDescent="0.25">
      <c r="A17" s="317" t="s">
        <v>51</v>
      </c>
      <c r="B17" s="317"/>
      <c r="C17" s="317"/>
      <c r="D17" s="317"/>
      <c r="E17" s="317"/>
      <c r="F17" s="317"/>
      <c r="G17" s="317"/>
      <c r="H17" s="317"/>
    </row>
    <row r="18" spans="1:14" ht="26.25" customHeight="1" x14ac:dyDescent="0.4">
      <c r="A18" s="121" t="s">
        <v>33</v>
      </c>
      <c r="B18" s="313" t="s">
        <v>5</v>
      </c>
      <c r="C18" s="313"/>
      <c r="D18" s="288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18" t="s">
        <v>9</v>
      </c>
      <c r="C20" s="318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18" t="s">
        <v>11</v>
      </c>
      <c r="C21" s="318"/>
      <c r="D21" s="318"/>
      <c r="E21" s="318"/>
      <c r="F21" s="318"/>
      <c r="G21" s="318"/>
      <c r="H21" s="318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3" t="s">
        <v>128</v>
      </c>
      <c r="C26" s="313"/>
    </row>
    <row r="27" spans="1:14" ht="26.25" customHeight="1" x14ac:dyDescent="0.4">
      <c r="A27" s="130" t="s">
        <v>52</v>
      </c>
      <c r="B27" s="319" t="s">
        <v>129</v>
      </c>
      <c r="C27" s="319"/>
    </row>
    <row r="28" spans="1:14" ht="27" customHeight="1" x14ac:dyDescent="0.4">
      <c r="A28" s="130" t="s">
        <v>6</v>
      </c>
      <c r="B28" s="131">
        <v>84.4</v>
      </c>
    </row>
    <row r="29" spans="1:14" s="14" customFormat="1" ht="27" customHeight="1" x14ac:dyDescent="0.4">
      <c r="A29" s="130" t="s">
        <v>53</v>
      </c>
      <c r="B29" s="132">
        <v>0</v>
      </c>
      <c r="C29" s="320" t="s">
        <v>54</v>
      </c>
      <c r="D29" s="321"/>
      <c r="E29" s="321"/>
      <c r="F29" s="321"/>
      <c r="G29" s="322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84.4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3" t="s">
        <v>57</v>
      </c>
      <c r="D31" s="324"/>
      <c r="E31" s="324"/>
      <c r="F31" s="324"/>
      <c r="G31" s="324"/>
      <c r="H31" s="325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3" t="s">
        <v>59</v>
      </c>
      <c r="D32" s="324"/>
      <c r="E32" s="324"/>
      <c r="F32" s="324"/>
      <c r="G32" s="324"/>
      <c r="H32" s="325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10</v>
      </c>
      <c r="C36" s="120"/>
      <c r="D36" s="326" t="s">
        <v>63</v>
      </c>
      <c r="E36" s="327"/>
      <c r="F36" s="326" t="s">
        <v>64</v>
      </c>
      <c r="G36" s="328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55289214</v>
      </c>
      <c r="E38" s="154">
        <f>IF(ISBLANK(D38),"-",$D$48/$D$45*D38)</f>
        <v>54005397.686203562</v>
      </c>
      <c r="F38" s="153">
        <v>60896927</v>
      </c>
      <c r="G38" s="155">
        <f>IF(ISBLANK(F38),"-",$D$48/$F$45*F38)</f>
        <v>54496040.112541333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55287295</v>
      </c>
      <c r="E39" s="159">
        <f>IF(ISBLANK(D39),"-",$D$48/$D$45*D39)</f>
        <v>54003523.2454101</v>
      </c>
      <c r="F39" s="158">
        <v>60806545</v>
      </c>
      <c r="G39" s="160">
        <f>IF(ISBLANK(F39),"-",$D$48/$F$45*F39)</f>
        <v>54415158.180724777</v>
      </c>
      <c r="I39" s="330">
        <f>ABS((F43/D43*D42)-F42)/D42</f>
        <v>8.9221605807583617E-3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55462975</v>
      </c>
      <c r="E40" s="159">
        <f>IF(ISBLANK(D40),"-",$D$48/$D$45*D40)</f>
        <v>54175123.953380235</v>
      </c>
      <c r="F40" s="158">
        <v>61011493</v>
      </c>
      <c r="G40" s="160">
        <f>IF(ISBLANK(F40),"-",$D$48/$F$45*F40)</f>
        <v>54598564.059792951</v>
      </c>
      <c r="I40" s="330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55346494.666666664</v>
      </c>
      <c r="E42" s="169">
        <f>AVERAGE(E38:E41)</f>
        <v>54061348.29499796</v>
      </c>
      <c r="F42" s="168">
        <f>AVERAGE(F38:F41)</f>
        <v>60904988.333333336</v>
      </c>
      <c r="G42" s="170">
        <f>AVERAGE(G38:G41)</f>
        <v>54503254.117686354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12.13</v>
      </c>
      <c r="E43" s="161"/>
      <c r="F43" s="173">
        <v>13.24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12.13</v>
      </c>
      <c r="E44" s="176"/>
      <c r="F44" s="175">
        <f>F43*$B$34</f>
        <v>13.24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10</v>
      </c>
      <c r="C45" s="174" t="s">
        <v>81</v>
      </c>
      <c r="D45" s="178">
        <f>D44*$B$30/100</f>
        <v>10.237720000000001</v>
      </c>
      <c r="E45" s="179"/>
      <c r="F45" s="178">
        <f>F44*$B$30/100</f>
        <v>11.174560000000001</v>
      </c>
      <c r="H45" s="171"/>
    </row>
    <row r="46" spans="1:14" ht="19.5" customHeight="1" x14ac:dyDescent="0.3">
      <c r="A46" s="331" t="s">
        <v>82</v>
      </c>
      <c r="B46" s="332"/>
      <c r="C46" s="174" t="s">
        <v>83</v>
      </c>
      <c r="D46" s="180">
        <f>D45/$B$45</f>
        <v>1.0237720000000001</v>
      </c>
      <c r="E46" s="181"/>
      <c r="F46" s="182">
        <f>F45/$B$45</f>
        <v>1.1174560000000002</v>
      </c>
      <c r="H46" s="171"/>
    </row>
    <row r="47" spans="1:14" ht="27" customHeight="1" x14ac:dyDescent="0.4">
      <c r="A47" s="333"/>
      <c r="B47" s="334"/>
      <c r="C47" s="183" t="s">
        <v>84</v>
      </c>
      <c r="D47" s="184">
        <v>1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10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54282301.206342161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4.7272783216392392E-3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Amoxicillin trihydrate B.P 250 mg</v>
      </c>
    </row>
    <row r="56" spans="1:12" ht="26.25" customHeight="1" x14ac:dyDescent="0.4">
      <c r="A56" s="198" t="s">
        <v>91</v>
      </c>
      <c r="B56" s="199">
        <v>250</v>
      </c>
      <c r="C56" s="120" t="str">
        <f>B20</f>
        <v>Amoxicillin Trihydrate BP</v>
      </c>
      <c r="H56" s="200"/>
    </row>
    <row r="57" spans="1:12" ht="18.75" x14ac:dyDescent="0.3">
      <c r="A57" s="197" t="s">
        <v>92</v>
      </c>
      <c r="B57" s="289">
        <f>Uniformity!B47</f>
        <v>296.07299999999998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335" t="s">
        <v>98</v>
      </c>
      <c r="D60" s="338">
        <v>114.16</v>
      </c>
      <c r="E60" s="203">
        <v>1</v>
      </c>
      <c r="F60" s="204">
        <v>50967925</v>
      </c>
      <c r="G60" s="290">
        <f>IF(ISBLANK(F60),"-",(F60/$D$50*$D$47*$B$68)*($B$57/$D$60))</f>
        <v>243.51378248132141</v>
      </c>
      <c r="H60" s="205">
        <f t="shared" ref="H60:H71" si="0">IF(ISBLANK(F60),"-",G60/$B$56)</f>
        <v>0.97405512992528565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336"/>
      <c r="D61" s="339"/>
      <c r="E61" s="206">
        <v>2</v>
      </c>
      <c r="F61" s="158">
        <v>51065821</v>
      </c>
      <c r="G61" s="291">
        <f>IF(ISBLANK(F61),"-",(F61/$D$50*$D$47*$B$68)*($B$57/$D$60))</f>
        <v>243.98150851195325</v>
      </c>
      <c r="H61" s="207">
        <f t="shared" si="0"/>
        <v>0.97592603404781297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6"/>
      <c r="D62" s="339"/>
      <c r="E62" s="206">
        <v>3</v>
      </c>
      <c r="F62" s="208">
        <v>50885470</v>
      </c>
      <c r="G62" s="291">
        <f>IF(ISBLANK(F62),"-",(F62/$D$50*$D$47*$B$68)*($B$57/$D$60))</f>
        <v>243.11983022734017</v>
      </c>
      <c r="H62" s="207">
        <f t="shared" si="0"/>
        <v>0.97247932090936073</v>
      </c>
      <c r="L62" s="133"/>
    </row>
    <row r="63" spans="1:12" ht="27" customHeight="1" x14ac:dyDescent="0.4">
      <c r="A63" s="145" t="s">
        <v>101</v>
      </c>
      <c r="B63" s="146">
        <v>1</v>
      </c>
      <c r="C63" s="337"/>
      <c r="D63" s="340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5" t="s">
        <v>103</v>
      </c>
      <c r="D64" s="338">
        <v>117.03</v>
      </c>
      <c r="E64" s="203">
        <v>1</v>
      </c>
      <c r="F64" s="204">
        <v>52586269</v>
      </c>
      <c r="G64" s="292">
        <f>IF(ISBLANK(F64),"-",(F64/$D$50*$D$47*$B$68)*($B$57/$D$64))</f>
        <v>245.08442185845715</v>
      </c>
      <c r="H64" s="211">
        <f t="shared" si="0"/>
        <v>0.98033768743382854</v>
      </c>
    </row>
    <row r="65" spans="1:8" ht="26.25" customHeight="1" x14ac:dyDescent="0.4">
      <c r="A65" s="145" t="s">
        <v>104</v>
      </c>
      <c r="B65" s="146">
        <v>1</v>
      </c>
      <c r="C65" s="336"/>
      <c r="D65" s="339"/>
      <c r="E65" s="206">
        <v>2</v>
      </c>
      <c r="F65" s="158">
        <v>52738237</v>
      </c>
      <c r="G65" s="293">
        <f>IF(ISBLANK(F65),"-",(F65/$D$50*$D$47*$B$68)*($B$57/$D$64))</f>
        <v>245.79268639460412</v>
      </c>
      <c r="H65" s="212">
        <f t="shared" si="0"/>
        <v>0.98317074557841644</v>
      </c>
    </row>
    <row r="66" spans="1:8" ht="26.25" customHeight="1" x14ac:dyDescent="0.4">
      <c r="A66" s="145" t="s">
        <v>105</v>
      </c>
      <c r="B66" s="146">
        <v>1</v>
      </c>
      <c r="C66" s="336"/>
      <c r="D66" s="339"/>
      <c r="E66" s="206">
        <v>3</v>
      </c>
      <c r="F66" s="158">
        <v>52795469</v>
      </c>
      <c r="G66" s="293">
        <f>IF(ISBLANK(F66),"-",(F66/$D$50*$D$47*$B$68)*($B$57/$D$64))</f>
        <v>246.05942278603365</v>
      </c>
      <c r="H66" s="212">
        <f t="shared" si="0"/>
        <v>0.98423769114413462</v>
      </c>
    </row>
    <row r="67" spans="1:8" ht="27" customHeight="1" x14ac:dyDescent="0.4">
      <c r="A67" s="145" t="s">
        <v>106</v>
      </c>
      <c r="B67" s="146">
        <v>1</v>
      </c>
      <c r="C67" s="337"/>
      <c r="D67" s="340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100</v>
      </c>
      <c r="C68" s="335" t="s">
        <v>108</v>
      </c>
      <c r="D68" s="338">
        <v>116.79</v>
      </c>
      <c r="E68" s="203">
        <v>1</v>
      </c>
      <c r="F68" s="204">
        <v>52642276</v>
      </c>
      <c r="G68" s="292">
        <f>IF(ISBLANK(F68),"-",(F68/$D$50*$D$47*$B$68)*($B$57/$D$68))</f>
        <v>245.84962664506401</v>
      </c>
      <c r="H68" s="207">
        <f t="shared" si="0"/>
        <v>0.98339850658025607</v>
      </c>
    </row>
    <row r="69" spans="1:8" ht="27" customHeight="1" x14ac:dyDescent="0.4">
      <c r="A69" s="193" t="s">
        <v>109</v>
      </c>
      <c r="B69" s="215">
        <f>(D47*B68)/B56*B57</f>
        <v>118.42919999999999</v>
      </c>
      <c r="C69" s="336"/>
      <c r="D69" s="339"/>
      <c r="E69" s="206">
        <v>2</v>
      </c>
      <c r="F69" s="158">
        <v>52546866</v>
      </c>
      <c r="G69" s="293">
        <f>IF(ISBLANK(F69),"-",(F69/$D$50*$D$47*$B$68)*($B$57/$D$68))</f>
        <v>245.40404346248641</v>
      </c>
      <c r="H69" s="207">
        <f t="shared" si="0"/>
        <v>0.98161617384994571</v>
      </c>
    </row>
    <row r="70" spans="1:8" ht="26.25" customHeight="1" x14ac:dyDescent="0.4">
      <c r="A70" s="348" t="s">
        <v>82</v>
      </c>
      <c r="B70" s="349"/>
      <c r="C70" s="336"/>
      <c r="D70" s="339"/>
      <c r="E70" s="206">
        <v>3</v>
      </c>
      <c r="F70" s="158">
        <v>51654424</v>
      </c>
      <c r="G70" s="293">
        <f>IF(ISBLANK(F70),"-",(F70/$D$50*$D$47*$B$68)*($B$57/$D$68))</f>
        <v>241.23616644093869</v>
      </c>
      <c r="H70" s="207">
        <f t="shared" si="0"/>
        <v>0.96494466576375471</v>
      </c>
    </row>
    <row r="71" spans="1:8" ht="27" customHeight="1" x14ac:dyDescent="0.4">
      <c r="A71" s="350"/>
      <c r="B71" s="351"/>
      <c r="C71" s="347"/>
      <c r="D71" s="340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9">
        <f>AVERAGE(G60:G71)</f>
        <v>244.44905431202213</v>
      </c>
      <c r="H72" s="220">
        <f>AVERAGE(H60:H71)</f>
        <v>0.97779621724808841</v>
      </c>
    </row>
    <row r="73" spans="1:8" ht="26.25" customHeight="1" x14ac:dyDescent="0.4">
      <c r="C73" s="217"/>
      <c r="D73" s="217"/>
      <c r="E73" s="217"/>
      <c r="F73" s="221" t="s">
        <v>88</v>
      </c>
      <c r="G73" s="295">
        <f>STDEV(G60:G71)/G72</f>
        <v>6.6055774551358618E-3</v>
      </c>
      <c r="H73" s="295">
        <f>STDEV(H60:H71)/H72</f>
        <v>6.6055774551358783E-3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43" t="str">
        <f>B20</f>
        <v>Amoxicillin Trihydrate BP</v>
      </c>
      <c r="D76" s="343"/>
      <c r="E76" s="226" t="s">
        <v>112</v>
      </c>
      <c r="F76" s="226"/>
      <c r="G76" s="227">
        <f>H72</f>
        <v>0.97779621724808841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9" t="str">
        <f>B26</f>
        <v>Amoxicillin Trihydrate</v>
      </c>
      <c r="C79" s="329"/>
    </row>
    <row r="80" spans="1:8" ht="26.25" customHeight="1" x14ac:dyDescent="0.4">
      <c r="A80" s="130" t="s">
        <v>52</v>
      </c>
      <c r="B80" s="329" t="str">
        <f>B27</f>
        <v>WRS/A1-2</v>
      </c>
      <c r="C80" s="329"/>
    </row>
    <row r="81" spans="1:12" ht="27" customHeight="1" x14ac:dyDescent="0.4">
      <c r="A81" s="130" t="s">
        <v>6</v>
      </c>
      <c r="B81" s="229">
        <f>B28</f>
        <v>84.4</v>
      </c>
    </row>
    <row r="82" spans="1:12" s="14" customFormat="1" ht="27" customHeight="1" x14ac:dyDescent="0.4">
      <c r="A82" s="130" t="s">
        <v>53</v>
      </c>
      <c r="B82" s="132">
        <v>0</v>
      </c>
      <c r="C82" s="320" t="s">
        <v>54</v>
      </c>
      <c r="D82" s="321"/>
      <c r="E82" s="321"/>
      <c r="F82" s="321"/>
      <c r="G82" s="322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84.4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3" t="s">
        <v>115</v>
      </c>
      <c r="D84" s="324"/>
      <c r="E84" s="324"/>
      <c r="F84" s="324"/>
      <c r="G84" s="324"/>
      <c r="H84" s="325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3" t="s">
        <v>116</v>
      </c>
      <c r="D85" s="324"/>
      <c r="E85" s="324"/>
      <c r="F85" s="324"/>
      <c r="G85" s="324"/>
      <c r="H85" s="325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50</v>
      </c>
      <c r="D89" s="230" t="s">
        <v>63</v>
      </c>
      <c r="E89" s="231"/>
      <c r="F89" s="326" t="s">
        <v>64</v>
      </c>
      <c r="G89" s="328"/>
    </row>
    <row r="90" spans="1:12" ht="27" customHeight="1" x14ac:dyDescent="0.4">
      <c r="A90" s="145" t="s">
        <v>65</v>
      </c>
      <c r="B90" s="146">
        <v>5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20</v>
      </c>
      <c r="C91" s="234">
        <v>1</v>
      </c>
      <c r="D91" s="153">
        <v>0.47749999999999998</v>
      </c>
      <c r="E91" s="154">
        <f>IF(ISBLANK(D91),"-",$D$101/$D$98*D91)</f>
        <v>0.58017565896412082</v>
      </c>
      <c r="F91" s="153">
        <v>0.47210000000000002</v>
      </c>
      <c r="G91" s="155">
        <f>IF(ISBLANK(F91),"-",$D$101/$F$98*F91)</f>
        <v>0.5757399923559875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0.47349999999999998</v>
      </c>
      <c r="E92" s="159">
        <f>IF(ISBLANK(D92),"-",$D$101/$D$98*D92)</f>
        <v>0.57531554873196056</v>
      </c>
      <c r="F92" s="158">
        <v>0.47360000000000002</v>
      </c>
      <c r="G92" s="160">
        <f>IF(ISBLANK(F92),"-",$D$101/$F$98*F92)</f>
        <v>0.57756928697266618</v>
      </c>
      <c r="I92" s="330">
        <f>ABS((F96/D96*D95)-F95)/D95</f>
        <v>4.5773562732572192E-3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0.47599999999999998</v>
      </c>
      <c r="E93" s="159">
        <f>IF(ISBLANK(D93),"-",$D$101/$D$98*D93)</f>
        <v>0.57835311762706076</v>
      </c>
      <c r="F93" s="158">
        <v>0.46949999999999997</v>
      </c>
      <c r="G93" s="160">
        <f>IF(ISBLANK(F93),"-",$D$101/$F$98*F93)</f>
        <v>0.57256921502041114</v>
      </c>
      <c r="I93" s="330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0.47566666666666668</v>
      </c>
      <c r="E95" s="169">
        <f>AVERAGE(E91:E94)</f>
        <v>0.57794810844104738</v>
      </c>
      <c r="F95" s="239">
        <f>AVERAGE(F91:F94)</f>
        <v>0.47173333333333334</v>
      </c>
      <c r="G95" s="240">
        <f>AVERAGE(G91:G94)</f>
        <v>0.57529283144968824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21.67</v>
      </c>
      <c r="E96" s="161"/>
      <c r="F96" s="173">
        <v>21.59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21.67</v>
      </c>
      <c r="E97" s="176"/>
      <c r="F97" s="175">
        <f>F96*$B$87</f>
        <v>21.59</v>
      </c>
    </row>
    <row r="98" spans="1:10" ht="19.5" customHeight="1" x14ac:dyDescent="0.3">
      <c r="A98" s="145" t="s">
        <v>80</v>
      </c>
      <c r="B98" s="245">
        <f>(B97/B96)*(B95/B94)*(B93/B92)*(B91/B90)*B89</f>
        <v>200</v>
      </c>
      <c r="C98" s="243" t="s">
        <v>119</v>
      </c>
      <c r="D98" s="246">
        <f>D97*$B$83/100</f>
        <v>18.289480000000005</v>
      </c>
      <c r="E98" s="179"/>
      <c r="F98" s="178">
        <f>F97*$B$83/100</f>
        <v>18.221960000000003</v>
      </c>
    </row>
    <row r="99" spans="1:10" ht="19.5" customHeight="1" x14ac:dyDescent="0.3">
      <c r="A99" s="331" t="s">
        <v>82</v>
      </c>
      <c r="B99" s="345"/>
      <c r="C99" s="243" t="s">
        <v>120</v>
      </c>
      <c r="D99" s="247">
        <f>D98/$B$98</f>
        <v>9.1447400000000026E-2</v>
      </c>
      <c r="E99" s="179"/>
      <c r="F99" s="182">
        <f>F98/$B$98</f>
        <v>9.1109800000000019E-2</v>
      </c>
      <c r="G99" s="248"/>
      <c r="H99" s="171"/>
    </row>
    <row r="100" spans="1:10" ht="19.5" customHeight="1" x14ac:dyDescent="0.3">
      <c r="A100" s="333"/>
      <c r="B100" s="346"/>
      <c r="C100" s="243" t="s">
        <v>84</v>
      </c>
      <c r="D100" s="249">
        <f>$B$56/$B$116</f>
        <v>0.1111111111111111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22.222222222222221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22.222222222222221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0.57662046994536775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4.6166328057431457E-3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41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4</v>
      </c>
      <c r="C108" s="264">
        <v>1</v>
      </c>
      <c r="D108" s="265">
        <v>0.51349999999999996</v>
      </c>
      <c r="E108" s="296">
        <f t="shared" ref="E108:E113" si="1">IF(ISBLANK(D108),"-",D108/$D$103*$D$100*$B$116)</f>
        <v>222.63344208394636</v>
      </c>
      <c r="F108" s="266">
        <f t="shared" ref="F108:F113" si="2">IF(ISBLANK(D108), "-", E108/$B$56)</f>
        <v>0.89053376833578546</v>
      </c>
    </row>
    <row r="109" spans="1:10" ht="26.25" customHeight="1" x14ac:dyDescent="0.4">
      <c r="A109" s="145" t="s">
        <v>99</v>
      </c>
      <c r="B109" s="146">
        <v>10</v>
      </c>
      <c r="C109" s="264">
        <v>2</v>
      </c>
      <c r="D109" s="265">
        <v>0.51970000000000005</v>
      </c>
      <c r="E109" s="297">
        <f t="shared" si="1"/>
        <v>225.32151869722875</v>
      </c>
      <c r="F109" s="267">
        <f t="shared" si="2"/>
        <v>0.90128607478891498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0.53649999999999998</v>
      </c>
      <c r="E110" s="297">
        <f t="shared" si="1"/>
        <v>232.60533919773562</v>
      </c>
      <c r="F110" s="267">
        <f t="shared" si="2"/>
        <v>0.93042135679094251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0.54110000000000003</v>
      </c>
      <c r="E111" s="297">
        <f t="shared" si="1"/>
        <v>234.59971862049349</v>
      </c>
      <c r="F111" s="267">
        <f t="shared" si="2"/>
        <v>0.93839887448197401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0.54279999999999995</v>
      </c>
      <c r="E112" s="297">
        <f t="shared" si="1"/>
        <v>235.33677188542569</v>
      </c>
      <c r="F112" s="267">
        <f t="shared" si="2"/>
        <v>0.94134708754170271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0.51670000000000005</v>
      </c>
      <c r="E113" s="298">
        <f t="shared" si="1"/>
        <v>224.02083646499537</v>
      </c>
      <c r="F113" s="270">
        <f t="shared" si="2"/>
        <v>0.89608334585998151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 t="s">
        <v>75</v>
      </c>
      <c r="E115" s="300">
        <f>AVERAGE(E108:E113)</f>
        <v>229.08627115830424</v>
      </c>
      <c r="F115" s="273">
        <f>AVERAGE(F108:F113)</f>
        <v>0.91634508463321696</v>
      </c>
    </row>
    <row r="116" spans="1:10" ht="27" customHeight="1" x14ac:dyDescent="0.4">
      <c r="A116" s="145" t="s">
        <v>107</v>
      </c>
      <c r="B116" s="177">
        <f>(B115/B114)*(B113/B112)*(B111/B110)*(B109/B108)*B107</f>
        <v>2250</v>
      </c>
      <c r="C116" s="274"/>
      <c r="D116" s="237" t="s">
        <v>88</v>
      </c>
      <c r="E116" s="275">
        <f>STDEV(E108:E113)/E115</f>
        <v>2.4948122836091002E-2</v>
      </c>
      <c r="F116" s="275">
        <f>STDEV(F108:F113)/F115</f>
        <v>2.4948122836091002E-2</v>
      </c>
      <c r="I116" s="119"/>
    </row>
    <row r="117" spans="1:10" ht="27" customHeight="1" x14ac:dyDescent="0.4">
      <c r="A117" s="331" t="s">
        <v>82</v>
      </c>
      <c r="B117" s="332"/>
      <c r="C117" s="276"/>
      <c r="D117" s="277" t="s">
        <v>20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33"/>
      <c r="B118" s="334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43" t="str">
        <f>B20</f>
        <v>Amoxicillin Trihydrate BP</v>
      </c>
      <c r="D120" s="343"/>
      <c r="E120" s="226" t="s">
        <v>127</v>
      </c>
      <c r="F120" s="226"/>
      <c r="G120" s="227">
        <f>F115</f>
        <v>0.91634508463321696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44" t="s">
        <v>26</v>
      </c>
      <c r="C122" s="344"/>
      <c r="E122" s="232" t="s">
        <v>27</v>
      </c>
      <c r="F122" s="281"/>
      <c r="G122" s="344" t="s">
        <v>28</v>
      </c>
      <c r="H122" s="344"/>
    </row>
    <row r="123" spans="1:10" ht="47.25" customHeight="1" x14ac:dyDescent="0.3">
      <c r="A123" s="282" t="s">
        <v>29</v>
      </c>
      <c r="B123" s="283"/>
      <c r="C123" s="283"/>
      <c r="E123" s="283"/>
      <c r="F123" s="119"/>
      <c r="G123" s="284"/>
      <c r="H123" s="284"/>
    </row>
    <row r="124" spans="1:10" ht="45.75" customHeight="1" x14ac:dyDescent="0.3">
      <c r="A124" s="282" t="s">
        <v>30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AMOXICILLIN</vt:lpstr>
      <vt:lpstr>AMOXICILLIN!Print_Area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2016-05-31T10:24:29Z</cp:lastPrinted>
  <dcterms:created xsi:type="dcterms:W3CDTF">2005-07-05T10:19:27Z</dcterms:created>
  <dcterms:modified xsi:type="dcterms:W3CDTF">2016-05-31T10:27:59Z</dcterms:modified>
  <cp:category/>
</cp:coreProperties>
</file>