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510" yWindow="585" windowWidth="14055" windowHeight="6090" activeTab="2"/>
  </bookViews>
  <sheets>
    <sheet name="ART SST" sheetId="5" r:id="rId1"/>
    <sheet name="AM SST" sheetId="1" r:id="rId2"/>
    <sheet name="Uniformity (2)" sheetId="7" r:id="rId3"/>
    <sheet name="Artesunate" sheetId="3" r:id="rId4"/>
  </sheets>
  <definedNames>
    <definedName name="_xlnm.Print_Area" localSheetId="2">'Uniformity (2)'!$A$1:$F$54</definedName>
  </definedNames>
  <calcPr calcId="152511"/>
</workbook>
</file>

<file path=xl/calcChain.xml><?xml version="1.0" encoding="utf-8"?>
<calcChain xmlns="http://schemas.openxmlformats.org/spreadsheetml/2006/main">
  <c r="C46" i="7" l="1"/>
  <c r="D50" i="7" s="1"/>
  <c r="C45" i="7"/>
  <c r="C19" i="7"/>
  <c r="D29" i="7" l="1"/>
  <c r="D33" i="7"/>
  <c r="B57" i="3"/>
  <c r="D25" i="7"/>
  <c r="D41" i="7"/>
  <c r="D37" i="7"/>
  <c r="D27" i="7"/>
  <c r="D31" i="7"/>
  <c r="D35" i="7"/>
  <c r="D39" i="7"/>
  <c r="D43" i="7"/>
  <c r="C49" i="7"/>
  <c r="D24" i="7"/>
  <c r="D28" i="7"/>
  <c r="D32" i="7"/>
  <c r="D36" i="7"/>
  <c r="D40" i="7"/>
  <c r="D49" i="7"/>
  <c r="C50" i="7"/>
  <c r="D26" i="7"/>
  <c r="D30" i="7"/>
  <c r="D34" i="7"/>
  <c r="D38" i="7"/>
  <c r="D42" i="7"/>
  <c r="B49" i="7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D101" i="3"/>
  <c r="D102" i="3" s="1"/>
  <c r="I92" i="3"/>
  <c r="D49" i="3"/>
  <c r="D45" i="3"/>
  <c r="E39" i="3" s="1"/>
  <c r="E38" i="3"/>
  <c r="D98" i="3"/>
  <c r="F98" i="3"/>
  <c r="F44" i="3"/>
  <c r="F45" i="3" s="1"/>
  <c r="F46" i="3" s="1"/>
  <c r="B69" i="3"/>
  <c r="E91" i="3" l="1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E95" i="3" l="1"/>
  <c r="D103" i="3"/>
  <c r="E113" i="3" s="1"/>
  <c r="F113" i="3" s="1"/>
  <c r="E42" i="3"/>
  <c r="D50" i="3"/>
  <c r="G68" i="3" s="1"/>
  <c r="H68" i="3" s="1"/>
  <c r="G42" i="3"/>
  <c r="D105" i="3"/>
  <c r="D52" i="3"/>
  <c r="G95" i="3"/>
  <c r="E112" i="3" l="1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<sst xmlns="http://schemas.openxmlformats.org/spreadsheetml/2006/main" count="274" uniqueCount="131">
  <si>
    <t>HPLC System Suitability Report</t>
  </si>
  <si>
    <t>Analysis Data</t>
  </si>
  <si>
    <t>Assay</t>
  </si>
  <si>
    <t>Sample(s)</t>
  </si>
  <si>
    <t>Reference Substance:</t>
  </si>
  <si>
    <t>ARTESUNATE AMODIAQUINE WINTHROP 100MG/270MG TABLETS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</si>
  <si>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</si>
  <si>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</si>
  <si>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</si>
  <si>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</si>
  <si>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</si>
  <si>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</si>
  <si>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</si>
  <si>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</si>
  <si>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</si>
  <si>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</si>
  <si>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</si>
  <si>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</si>
  <si>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</si>
  <si>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</si>
  <si>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</si>
  <si>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</si>
  <si>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</si>
  <si>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</si>
  <si>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</si>
  <si>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</si>
  <si>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</si>
  <si>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</si>
  <si>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</si>
  <si>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</si>
  <si>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</si>
  <si>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</si>
  <si>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</si>
  <si>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</si>
  <si>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</si>
  <si>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</si>
  <si>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</si>
  <si>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</si>
  <si>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</si>
  <si>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</si>
  <si>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</si>
  <si>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</si>
  <si>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</si>
  <si>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</si>
  <si>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</si>
  <si>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</si>
  <si>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</si>
  <si>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</si>
  <si>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</si>
  <si>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</si>
  <si>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</si>
  <si>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</si>
  <si>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</si>
  <si>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</si>
  <si>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</si>
  <si>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</si>
  <si>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</si>
  <si>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</si>
  <si>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</si>
  <si>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</si>
  <si>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</si>
  <si>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</si>
  <si>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</si>
  <si>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</si>
  <si>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</si>
  <si>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</si>
  <si>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</si>
  <si>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</si>
  <si>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</si>
  <si>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</si>
  <si>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</si>
  <si>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</si>
  <si>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</si>
  <si>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</si>
  <si>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</si>
  <si>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</si>
  <si>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</si>
  <si>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</si>
  <si>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</si>
  <si>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</si>
  <si>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</si>
  <si>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</si>
  <si>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</si>
  <si>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</si>
  <si>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</si>
  <si>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</si>
  <si>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</si>
  <si>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</si>
  <si>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</si>
  <si>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</si>
  <si>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</si>
  <si>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</si>
  <si>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</si>
  <si>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</si>
  <si>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</si>
  <si>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</si>
  <si>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</si>
  <si>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</si>
  <si>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</si>
  <si>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</si>
  <si>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</si>
  <si>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</si>
  <si>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</si>
  <si>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</si>
  <si>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</si>
  <si>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</si>
  <si>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</si>
  <si>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</si>
  <si>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</si>
  <si>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</si>
  <si>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</si>
  <si>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</si>
  <si>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</si>
  <si>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</si>
  <si>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</si>
  <si>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</si>
  <si>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</si>
  <si>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</si>
  <si>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</si>
  <si>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</si>
  <si>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</si>
  <si>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Artesunate</t>
  </si>
  <si>
    <t>A15 1</t>
  </si>
  <si>
    <t>ARTECOSPE TABLETS</t>
  </si>
  <si>
    <t>NDQD201603780</t>
  </si>
  <si>
    <t xml:space="preserve">Each tablet contains: Artesunate  sulfadoxine     Pyrimethamine  </t>
  </si>
  <si>
    <t>Each tablet contains: Artesunate 50 mg;
Each tablet contains: sulfadoxine  500 mmg, Pyrimethamine 25 mg</t>
  </si>
  <si>
    <t>2016-03-04 11:31:45</t>
  </si>
  <si>
    <t>ARTESCOPE</t>
  </si>
  <si>
    <t xml:space="preserve">ARTESUNATE </t>
  </si>
  <si>
    <t>Artesunate 50 mg
Amodiaquine  270 mg (IN THE FORM OF AMODIAQUINE HYDROCHLORIDE 88.16mg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</si>
</sst>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1" applyFont="1" applyFill="1"/>
    <xf numFmtId="0" fontId="24" fillId="2" borderId="0" xfId="1" applyFill="1"/>
    <xf numFmtId="0" fontId="10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G26" sqref="G26"/>
    </sheetView>
  </sheetViews>
  <sheetFormatPr defaultRowHeight="13.5" x14ac:dyDescent="0.25"/>
  <cols>
    <col min="1" max="1" width="27.5703125" style="241" customWidth="1"/>
    <col min="2" max="2" width="20.42578125" style="241" customWidth="1"/>
    <col min="3" max="3" width="31.85546875" style="241" customWidth="1"/>
    <col min="4" max="4" width="25.85546875" style="241" customWidth="1"/>
    <col min="5" max="5" width="25.7109375" style="241" customWidth="1"/>
    <col min="6" max="6" width="23.140625" style="241" customWidth="1"/>
    <col min="7" max="7" width="28.42578125" style="241" customWidth="1"/>
    <col min="8" max="8" width="21.5703125" style="241" customWidth="1"/>
    <col min="9" max="9" width="9.140625" style="24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C18" s="53"/>
      <c r="D18" s="53"/>
      <c r="E18" s="53"/>
    </row>
    <row r="19" spans="1:5" ht="16.5" customHeight="1" x14ac:dyDescent="0.3">
      <c r="A19" s="55" t="s">
        <v>6</v>
      </c>
      <c r="B19" s="12"/>
      <c r="C19" s="53"/>
      <c r="D19" s="53"/>
      <c r="E19" s="53"/>
    </row>
    <row r="20" spans="1:5" ht="16.5" customHeight="1" x14ac:dyDescent="0.3">
      <c r="A20" s="8" t="s">
        <v>7</v>
      </c>
      <c r="B20" s="12"/>
      <c r="C20" s="53"/>
      <c r="D20" s="53"/>
      <c r="E20" s="53"/>
    </row>
    <row r="21" spans="1:5" ht="16.5" customHeight="1" x14ac:dyDescent="0.3">
      <c r="A21" s="8" t="s">
        <v>8</v>
      </c>
      <c r="B21" s="13"/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9</v>
      </c>
      <c r="B23" s="15" t="s">
        <v>10</v>
      </c>
      <c r="C23" s="16" t="s">
        <v>11</v>
      </c>
      <c r="D23" s="16" t="s">
        <v>12</v>
      </c>
      <c r="E23" s="16" t="s">
        <v>13</v>
      </c>
    </row>
    <row r="24" spans="1:5" ht="16.5" customHeight="1" x14ac:dyDescent="0.3">
      <c r="A24" s="17">
        <v>1</v>
      </c>
      <c r="B24" s="18">
        <v>23390109</v>
      </c>
      <c r="C24" s="18">
        <v>9329.2999999999993</v>
      </c>
      <c r="D24" s="19">
        <v>1.1000000000000001</v>
      </c>
      <c r="E24" s="20">
        <v>13.9</v>
      </c>
    </row>
    <row r="25" spans="1:5" ht="16.5" customHeight="1" x14ac:dyDescent="0.3">
      <c r="A25" s="17">
        <v>2</v>
      </c>
      <c r="B25" s="18">
        <v>23446585</v>
      </c>
      <c r="C25" s="18">
        <v>9332.1</v>
      </c>
      <c r="D25" s="19">
        <v>1.1000000000000001</v>
      </c>
      <c r="E25" s="19">
        <v>13.9</v>
      </c>
    </row>
    <row r="26" spans="1:5" ht="16.5" customHeight="1" x14ac:dyDescent="0.3">
      <c r="A26" s="17">
        <v>3</v>
      </c>
      <c r="B26" s="18">
        <v>23338688</v>
      </c>
      <c r="C26" s="18">
        <v>9377</v>
      </c>
      <c r="D26" s="19">
        <v>1.1000000000000001</v>
      </c>
      <c r="E26" s="19">
        <v>13.9</v>
      </c>
    </row>
    <row r="27" spans="1:5" ht="16.5" customHeight="1" x14ac:dyDescent="0.3">
      <c r="A27" s="17">
        <v>4</v>
      </c>
      <c r="B27" s="18">
        <v>23355142</v>
      </c>
      <c r="C27" s="18">
        <v>9383</v>
      </c>
      <c r="D27" s="19">
        <v>1.1000000000000001</v>
      </c>
      <c r="E27" s="19">
        <v>13.9</v>
      </c>
    </row>
    <row r="28" spans="1:5" ht="16.5" customHeight="1" x14ac:dyDescent="0.3">
      <c r="A28" s="17">
        <v>5</v>
      </c>
      <c r="B28" s="18">
        <v>23415918</v>
      </c>
      <c r="C28" s="18">
        <v>9335.7999999999993</v>
      </c>
      <c r="D28" s="19">
        <v>1.1000000000000001</v>
      </c>
      <c r="E28" s="19">
        <v>13.9</v>
      </c>
    </row>
    <row r="29" spans="1:5" ht="16.5" customHeight="1" x14ac:dyDescent="0.3">
      <c r="A29" s="17">
        <v>6</v>
      </c>
      <c r="B29" s="21">
        <v>23403916</v>
      </c>
      <c r="C29" s="21">
        <v>9327.2999999999993</v>
      </c>
      <c r="D29" s="22">
        <v>1.1000000000000001</v>
      </c>
      <c r="E29" s="22">
        <v>13.9</v>
      </c>
    </row>
    <row r="30" spans="1:5" ht="16.5" customHeight="1" x14ac:dyDescent="0.3">
      <c r="A30" s="23" t="s">
        <v>14</v>
      </c>
      <c r="B30" s="24">
        <f>AVERAGE(B24:B29)</f>
        <v>23391726.333333332</v>
      </c>
      <c r="C30" s="25">
        <f>AVERAGE(C24:C29)</f>
        <v>9347.4166666666661</v>
      </c>
      <c r="D30" s="26">
        <f>AVERAGE(D24:D29)</f>
        <v>1.0999999999999999</v>
      </c>
      <c r="E30" s="26">
        <f>AVERAGE(E24:E29)</f>
        <v>13.9</v>
      </c>
    </row>
    <row r="31" spans="1:5" ht="16.5" customHeight="1" x14ac:dyDescent="0.3">
      <c r="A31" s="27" t="s">
        <v>15</v>
      </c>
      <c r="B31" s="28">
        <f>(STDEV(B24:B29)/B30)</f>
        <v>1.6990046680863192E-3</v>
      </c>
      <c r="C31" s="29"/>
      <c r="D31" s="29"/>
      <c r="E31" s="30"/>
    </row>
    <row r="32" spans="1:5" s="241" customFormat="1" ht="16.5" customHeight="1" x14ac:dyDescent="0.3">
      <c r="A32" s="31" t="s">
        <v>16</v>
      </c>
      <c r="B32" s="32">
        <f>COUNT(B24:B29)</f>
        <v>6</v>
      </c>
      <c r="C32" s="33"/>
      <c r="D32" s="54"/>
      <c r="E32" s="35"/>
    </row>
    <row r="33" spans="1:5" s="241" customFormat="1" ht="15.75" customHeight="1" x14ac:dyDescent="0.25">
      <c r="A33" s="53"/>
      <c r="B33" s="53"/>
      <c r="C33" s="53"/>
      <c r="D33" s="53"/>
      <c r="E33" s="53"/>
    </row>
    <row r="34" spans="1:5" s="241" customFormat="1" ht="16.5" customHeight="1" x14ac:dyDescent="0.3">
      <c r="A34" s="55" t="s">
        <v>17</v>
      </c>
      <c r="B34" s="40" t="s">
        <v>18</v>
      </c>
      <c r="C34" s="39"/>
      <c r="D34" s="39"/>
      <c r="E34" s="39"/>
    </row>
    <row r="35" spans="1:5" ht="16.5" customHeight="1" x14ac:dyDescent="0.3">
      <c r="A35" s="55"/>
      <c r="B35" s="40" t="s">
        <v>19</v>
      </c>
      <c r="C35" s="39"/>
      <c r="D35" s="39"/>
      <c r="E35" s="39"/>
    </row>
    <row r="36" spans="1:5" ht="16.5" customHeight="1" x14ac:dyDescent="0.3">
      <c r="A36" s="55"/>
      <c r="B36" s="40" t="s">
        <v>20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21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7</v>
      </c>
      <c r="B41" s="12"/>
      <c r="C41" s="53"/>
      <c r="D41" s="53"/>
      <c r="E41" s="53"/>
    </row>
    <row r="42" spans="1:5" ht="16.5" customHeight="1" x14ac:dyDescent="0.3">
      <c r="A42" s="8" t="s">
        <v>8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9</v>
      </c>
      <c r="B44" s="15" t="s">
        <v>10</v>
      </c>
      <c r="C44" s="16" t="s">
        <v>11</v>
      </c>
      <c r="D44" s="16" t="s">
        <v>12</v>
      </c>
      <c r="E44" s="16" t="s">
        <v>13</v>
      </c>
    </row>
    <row r="45" spans="1:5" ht="16.5" customHeight="1" x14ac:dyDescent="0.3">
      <c r="A45" s="17">
        <v>1</v>
      </c>
      <c r="B45" s="18">
        <v>23390109</v>
      </c>
      <c r="C45" s="18">
        <v>9329.2999999999993</v>
      </c>
      <c r="D45" s="19">
        <v>1.1000000000000001</v>
      </c>
      <c r="E45" s="20">
        <v>13.9</v>
      </c>
    </row>
    <row r="46" spans="1:5" ht="16.5" customHeight="1" x14ac:dyDescent="0.3">
      <c r="A46" s="17">
        <v>2</v>
      </c>
      <c r="B46" s="18">
        <v>23446585</v>
      </c>
      <c r="C46" s="18">
        <v>9332.1</v>
      </c>
      <c r="D46" s="19">
        <v>1.1000000000000001</v>
      </c>
      <c r="E46" s="19">
        <v>13.9</v>
      </c>
    </row>
    <row r="47" spans="1:5" ht="16.5" customHeight="1" x14ac:dyDescent="0.3">
      <c r="A47" s="17">
        <v>3</v>
      </c>
      <c r="B47" s="18">
        <v>23338688</v>
      </c>
      <c r="C47" s="18">
        <v>9377</v>
      </c>
      <c r="D47" s="19">
        <v>1.1000000000000001</v>
      </c>
      <c r="E47" s="19">
        <v>13.9</v>
      </c>
    </row>
    <row r="48" spans="1:5" ht="16.5" customHeight="1" x14ac:dyDescent="0.3">
      <c r="A48" s="17">
        <v>4</v>
      </c>
      <c r="B48" s="18">
        <v>23355142</v>
      </c>
      <c r="C48" s="18">
        <v>9383</v>
      </c>
      <c r="D48" s="19">
        <v>1.1000000000000001</v>
      </c>
      <c r="E48" s="19">
        <v>13.9</v>
      </c>
    </row>
    <row r="49" spans="1:7" ht="16.5" customHeight="1" x14ac:dyDescent="0.3">
      <c r="A49" s="17">
        <v>5</v>
      </c>
      <c r="B49" s="18">
        <v>23415918</v>
      </c>
      <c r="C49" s="18">
        <v>9335.7999999999993</v>
      </c>
      <c r="D49" s="19">
        <v>1.1000000000000001</v>
      </c>
      <c r="E49" s="19">
        <v>13.9</v>
      </c>
    </row>
    <row r="50" spans="1:7" ht="16.5" customHeight="1" x14ac:dyDescent="0.3">
      <c r="A50" s="17">
        <v>6</v>
      </c>
      <c r="B50" s="21">
        <v>23403916</v>
      </c>
      <c r="C50" s="21">
        <v>9327.2999999999993</v>
      </c>
      <c r="D50" s="22">
        <v>1.1000000000000001</v>
      </c>
      <c r="E50" s="22">
        <v>13.9</v>
      </c>
    </row>
    <row r="51" spans="1:7" ht="16.5" customHeight="1" x14ac:dyDescent="0.3">
      <c r="A51" s="23" t="s">
        <v>14</v>
      </c>
      <c r="B51" s="24">
        <f>AVERAGE(B45:B50)</f>
        <v>23391726.333333332</v>
      </c>
      <c r="C51" s="25">
        <f>AVERAGE(C45:C50)</f>
        <v>9347.4166666666661</v>
      </c>
      <c r="D51" s="26">
        <f>AVERAGE(D45:D50)</f>
        <v>1.0999999999999999</v>
      </c>
      <c r="E51" s="26">
        <f>AVERAGE(E45:E50)</f>
        <v>13.9</v>
      </c>
    </row>
    <row r="52" spans="1:7" ht="16.5" customHeight="1" x14ac:dyDescent="0.3">
      <c r="A52" s="27" t="s">
        <v>15</v>
      </c>
      <c r="B52" s="28">
        <f>(STDEV(B45:B50)/B51)</f>
        <v>1.6990046680863192E-3</v>
      </c>
      <c r="C52" s="29"/>
      <c r="D52" s="29"/>
      <c r="E52" s="30"/>
    </row>
    <row r="53" spans="1:7" s="241" customFormat="1" ht="16.5" customHeight="1" x14ac:dyDescent="0.3">
      <c r="A53" s="31" t="s">
        <v>16</v>
      </c>
      <c r="B53" s="32">
        <f>COUNT(B45:B50)</f>
        <v>6</v>
      </c>
      <c r="C53" s="33"/>
      <c r="D53" s="54"/>
      <c r="E53" s="35"/>
    </row>
    <row r="54" spans="1:7" s="241" customFormat="1" ht="15.75" customHeight="1" x14ac:dyDescent="0.25">
      <c r="A54" s="53"/>
      <c r="B54" s="53"/>
      <c r="C54" s="53"/>
      <c r="D54" s="53"/>
      <c r="E54" s="53"/>
    </row>
    <row r="55" spans="1:7" s="241" customFormat="1" ht="16.5" customHeight="1" x14ac:dyDescent="0.3">
      <c r="A55" s="55" t="s">
        <v>17</v>
      </c>
      <c r="B55" s="40" t="s">
        <v>18</v>
      </c>
      <c r="C55" s="39"/>
      <c r="D55" s="39"/>
      <c r="E55" s="39"/>
    </row>
    <row r="56" spans="1:7" ht="16.5" customHeight="1" x14ac:dyDescent="0.3">
      <c r="A56" s="55"/>
      <c r="B56" s="40" t="s">
        <v>19</v>
      </c>
      <c r="C56" s="39"/>
      <c r="D56" s="39"/>
      <c r="E56" s="39"/>
    </row>
    <row r="57" spans="1:7" ht="16.5" customHeight="1" x14ac:dyDescent="0.3">
      <c r="A57" s="55"/>
      <c r="B57" s="40" t="s">
        <v>20</v>
      </c>
      <c r="C57" s="39"/>
      <c r="D57" s="39"/>
      <c r="E57" s="39"/>
    </row>
    <row r="58" spans="1:7" ht="14.25" customHeight="1" thickBot="1" x14ac:dyDescent="0.3">
      <c r="A58" s="41"/>
      <c r="B58" s="240"/>
      <c r="D58" s="43"/>
      <c r="F58" s="44"/>
      <c r="G58" s="44"/>
    </row>
    <row r="59" spans="1:7" ht="15" customHeight="1" x14ac:dyDescent="0.3">
      <c r="B59" s="287" t="s">
        <v>22</v>
      </c>
      <c r="C59" s="287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9"/>
      <c r="C60" s="49"/>
      <c r="E60" s="49"/>
      <c r="G60" s="49"/>
    </row>
    <row r="61" spans="1:7" ht="15" customHeight="1" x14ac:dyDescent="0.3">
      <c r="A61" s="47" t="s">
        <v>26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G48" sqref="G4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7</v>
      </c>
      <c r="B20" s="12"/>
      <c r="C20" s="10"/>
      <c r="D20" s="10"/>
      <c r="E20" s="10"/>
    </row>
    <row r="21" spans="1:6" ht="16.5" customHeight="1" x14ac:dyDescent="0.3">
      <c r="A21" s="7" t="s">
        <v>8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9</v>
      </c>
      <c r="B23" s="15" t="s">
        <v>10</v>
      </c>
      <c r="C23" s="14" t="s">
        <v>11</v>
      </c>
      <c r="D23" s="14" t="s">
        <v>12</v>
      </c>
      <c r="E23" s="16" t="s">
        <v>13</v>
      </c>
    </row>
    <row r="24" spans="1:6" ht="16.5" customHeight="1" x14ac:dyDescent="0.3">
      <c r="A24" s="17">
        <v>1</v>
      </c>
      <c r="B24" s="18">
        <v>31113183</v>
      </c>
      <c r="C24" s="18">
        <v>5311.2</v>
      </c>
      <c r="D24" s="19">
        <v>1.3</v>
      </c>
      <c r="E24" s="20">
        <v>2.1</v>
      </c>
    </row>
    <row r="25" spans="1:6" ht="16.5" customHeight="1" x14ac:dyDescent="0.3">
      <c r="A25" s="17">
        <v>2</v>
      </c>
      <c r="B25" s="18">
        <v>31347195</v>
      </c>
      <c r="C25" s="18">
        <v>5332.1</v>
      </c>
      <c r="D25" s="19">
        <v>1.3</v>
      </c>
      <c r="E25" s="19">
        <v>2.1</v>
      </c>
    </row>
    <row r="26" spans="1:6" ht="16.5" customHeight="1" x14ac:dyDescent="0.3">
      <c r="A26" s="17">
        <v>3</v>
      </c>
      <c r="B26" s="18">
        <v>30489068</v>
      </c>
      <c r="C26" s="18">
        <v>5307.9</v>
      </c>
      <c r="D26" s="19">
        <v>1.3</v>
      </c>
      <c r="E26" s="19">
        <v>2.1</v>
      </c>
    </row>
    <row r="27" spans="1:6" ht="16.5" customHeight="1" x14ac:dyDescent="0.3">
      <c r="A27" s="17">
        <v>4</v>
      </c>
      <c r="B27" s="18">
        <v>30178683</v>
      </c>
      <c r="C27" s="18">
        <v>5320.6</v>
      </c>
      <c r="D27" s="19">
        <v>1.3</v>
      </c>
      <c r="E27" s="19">
        <v>2.1</v>
      </c>
    </row>
    <row r="28" spans="1:6" ht="16.5" customHeight="1" x14ac:dyDescent="0.3">
      <c r="A28" s="17">
        <v>5</v>
      </c>
      <c r="B28" s="18">
        <v>30276304</v>
      </c>
      <c r="C28" s="18">
        <v>5293.8</v>
      </c>
      <c r="D28" s="19">
        <v>1.3</v>
      </c>
      <c r="E28" s="19">
        <v>2.1</v>
      </c>
    </row>
    <row r="29" spans="1:6" ht="16.5" customHeight="1" x14ac:dyDescent="0.3">
      <c r="A29" s="17">
        <v>6</v>
      </c>
      <c r="B29" s="21">
        <v>30657419</v>
      </c>
      <c r="C29" s="21">
        <v>5295.9</v>
      </c>
      <c r="D29" s="22">
        <v>1.3</v>
      </c>
      <c r="E29" s="22">
        <v>2.1</v>
      </c>
    </row>
    <row r="30" spans="1:6" ht="16.5" customHeight="1" x14ac:dyDescent="0.3">
      <c r="A30" s="23" t="s">
        <v>14</v>
      </c>
      <c r="B30" s="24">
        <f>AVERAGE(B24:B29)</f>
        <v>30676975.333333332</v>
      </c>
      <c r="C30" s="25">
        <f>AVERAGE(C24:C29)</f>
        <v>5310.25</v>
      </c>
      <c r="D30" s="26">
        <f>AVERAGE(D24:D29)</f>
        <v>1.3</v>
      </c>
      <c r="E30" s="26">
        <f>AVERAGE(E24:E29)</f>
        <v>2.1</v>
      </c>
    </row>
    <row r="31" spans="1:6" ht="16.5" customHeight="1" x14ac:dyDescent="0.3">
      <c r="A31" s="27" t="s">
        <v>15</v>
      </c>
      <c r="B31" s="28">
        <f>(STDEV(B24:B29)/B30)</f>
        <v>1.5178060621827938E-2</v>
      </c>
      <c r="C31" s="29"/>
      <c r="D31" s="29"/>
      <c r="E31" s="30"/>
      <c r="F31" s="2"/>
    </row>
    <row r="32" spans="1:6" s="2" customFormat="1" ht="16.5" customHeight="1" x14ac:dyDescent="0.3">
      <c r="A32" s="31" t="s">
        <v>16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17</v>
      </c>
      <c r="B34" s="37" t="s">
        <v>18</v>
      </c>
      <c r="C34" s="38"/>
      <c r="D34" s="38"/>
      <c r="E34" s="39"/>
    </row>
    <row r="35" spans="1:6" ht="16.5" customHeight="1" x14ac:dyDescent="0.3">
      <c r="A35" s="11"/>
      <c r="B35" s="37" t="s">
        <v>19</v>
      </c>
      <c r="C35" s="38"/>
      <c r="D35" s="38"/>
      <c r="E35" s="39"/>
      <c r="F35" s="2"/>
    </row>
    <row r="36" spans="1:6" ht="16.5" customHeight="1" x14ac:dyDescent="0.3">
      <c r="A36" s="11"/>
      <c r="B36" s="40" t="s">
        <v>20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21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9</v>
      </c>
      <c r="B44" s="15" t="s">
        <v>10</v>
      </c>
      <c r="C44" s="14" t="s">
        <v>11</v>
      </c>
      <c r="D44" s="14" t="s">
        <v>12</v>
      </c>
      <c r="E44" s="16" t="s">
        <v>13</v>
      </c>
    </row>
    <row r="45" spans="1:6" ht="16.5" customHeight="1" x14ac:dyDescent="0.3">
      <c r="A45" s="17">
        <v>1</v>
      </c>
      <c r="B45" s="18">
        <v>31113183</v>
      </c>
      <c r="C45" s="18">
        <v>5311.2</v>
      </c>
      <c r="D45" s="19">
        <v>1.3</v>
      </c>
      <c r="E45" s="20">
        <v>2.1</v>
      </c>
    </row>
    <row r="46" spans="1:6" ht="16.5" customHeight="1" x14ac:dyDescent="0.3">
      <c r="A46" s="17">
        <v>2</v>
      </c>
      <c r="B46" s="18">
        <v>31347195</v>
      </c>
      <c r="C46" s="18">
        <v>5332.1</v>
      </c>
      <c r="D46" s="19">
        <v>1.3</v>
      </c>
      <c r="E46" s="19">
        <v>2.1</v>
      </c>
    </row>
    <row r="47" spans="1:6" ht="16.5" customHeight="1" x14ac:dyDescent="0.3">
      <c r="A47" s="17">
        <v>3</v>
      </c>
      <c r="B47" s="18">
        <v>30489068</v>
      </c>
      <c r="C47" s="18">
        <v>5307.9</v>
      </c>
      <c r="D47" s="19">
        <v>1.3</v>
      </c>
      <c r="E47" s="19">
        <v>2.1</v>
      </c>
    </row>
    <row r="48" spans="1:6" ht="16.5" customHeight="1" x14ac:dyDescent="0.3">
      <c r="A48" s="17">
        <v>4</v>
      </c>
      <c r="B48" s="18">
        <v>30178683</v>
      </c>
      <c r="C48" s="18">
        <v>5320.6</v>
      </c>
      <c r="D48" s="19">
        <v>1.3</v>
      </c>
      <c r="E48" s="19">
        <v>2.1</v>
      </c>
    </row>
    <row r="49" spans="1:7" ht="16.5" customHeight="1" x14ac:dyDescent="0.3">
      <c r="A49" s="17">
        <v>5</v>
      </c>
      <c r="B49" s="18">
        <v>30276304</v>
      </c>
      <c r="C49" s="18">
        <v>5293.8</v>
      </c>
      <c r="D49" s="19">
        <v>1.3</v>
      </c>
      <c r="E49" s="19">
        <v>2.1</v>
      </c>
    </row>
    <row r="50" spans="1:7" ht="16.5" customHeight="1" x14ac:dyDescent="0.3">
      <c r="A50" s="17">
        <v>6</v>
      </c>
      <c r="B50" s="21">
        <v>30657419</v>
      </c>
      <c r="C50" s="21">
        <v>5295.9</v>
      </c>
      <c r="D50" s="22">
        <v>1.3</v>
      </c>
      <c r="E50" s="22">
        <v>2.1</v>
      </c>
    </row>
    <row r="51" spans="1:7" ht="16.5" customHeight="1" x14ac:dyDescent="0.3">
      <c r="A51" s="23" t="s">
        <v>14</v>
      </c>
      <c r="B51" s="24">
        <f>AVERAGE(B45:B50)</f>
        <v>30676975.333333332</v>
      </c>
      <c r="C51" s="25">
        <f>AVERAGE(C45:C50)</f>
        <v>5310.25</v>
      </c>
      <c r="D51" s="26">
        <f>AVERAGE(D45:D50)</f>
        <v>1.3</v>
      </c>
      <c r="E51" s="26">
        <f>AVERAGE(E45:E50)</f>
        <v>2.1</v>
      </c>
    </row>
    <row r="52" spans="1:7" ht="16.5" customHeight="1" x14ac:dyDescent="0.3">
      <c r="A52" s="27" t="s">
        <v>15</v>
      </c>
      <c r="B52" s="28">
        <f>(STDEV(B45:B50)/B51)</f>
        <v>1.5178060621827938E-2</v>
      </c>
      <c r="C52" s="29"/>
      <c r="D52" s="29"/>
      <c r="E52" s="30"/>
      <c r="F52" s="2"/>
    </row>
    <row r="53" spans="1:7" s="2" customFormat="1" ht="16.5" customHeight="1" x14ac:dyDescent="0.3">
      <c r="A53" s="31" t="s">
        <v>16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17</v>
      </c>
      <c r="B55" s="37" t="s">
        <v>18</v>
      </c>
      <c r="C55" s="38"/>
      <c r="D55" s="38"/>
      <c r="E55" s="39"/>
    </row>
    <row r="56" spans="1:7" ht="16.5" customHeight="1" x14ac:dyDescent="0.3">
      <c r="A56" s="11"/>
      <c r="B56" s="37" t="s">
        <v>19</v>
      </c>
      <c r="C56" s="38"/>
      <c r="D56" s="38"/>
      <c r="E56" s="39"/>
      <c r="F56" s="2"/>
    </row>
    <row r="57" spans="1:7" ht="16.5" customHeight="1" x14ac:dyDescent="0.3">
      <c r="A57" s="11"/>
      <c r="B57" s="40" t="s">
        <v>20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22</v>
      </c>
      <c r="C59" s="287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8"/>
      <c r="C60" s="48"/>
      <c r="E60" s="48"/>
      <c r="F60" s="2"/>
      <c r="G60" s="49"/>
    </row>
    <row r="61" spans="1:7" ht="15" customHeight="1" x14ac:dyDescent="0.3">
      <c r="A61" s="47" t="s">
        <v>26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24" workbookViewId="0">
      <selection activeCell="F29" sqref="F29"/>
    </sheetView>
  </sheetViews>
  <sheetFormatPr defaultRowHeight="15" x14ac:dyDescent="0.3"/>
  <cols>
    <col min="1" max="1" width="15.5703125" style="242" customWidth="1"/>
    <col min="2" max="2" width="18.42578125" style="242" customWidth="1"/>
    <col min="3" max="3" width="14.28515625" style="242" customWidth="1"/>
    <col min="4" max="4" width="15" style="242" customWidth="1"/>
    <col min="5" max="5" width="9.140625" style="242" customWidth="1"/>
    <col min="6" max="6" width="27.85546875" style="242" customWidth="1"/>
    <col min="7" max="7" width="12.28515625" style="242" customWidth="1"/>
    <col min="8" max="8" width="9.140625" style="242" customWidth="1"/>
    <col min="9" max="16384" width="9.140625" style="243"/>
  </cols>
  <sheetData>
    <row r="10" spans="1:7" ht="13.5" customHeight="1" thickBot="1" x14ac:dyDescent="0.35"/>
    <row r="11" spans="1:7" ht="13.5" customHeight="1" thickBot="1" x14ac:dyDescent="0.35">
      <c r="A11" s="290" t="s">
        <v>27</v>
      </c>
      <c r="B11" s="291"/>
      <c r="C11" s="291"/>
      <c r="D11" s="291"/>
      <c r="E11" s="291"/>
      <c r="F11" s="292"/>
      <c r="G11" s="244"/>
    </row>
    <row r="12" spans="1:7" ht="16.5" customHeight="1" x14ac:dyDescent="0.3">
      <c r="A12" s="293" t="s">
        <v>28</v>
      </c>
      <c r="B12" s="293"/>
      <c r="C12" s="293"/>
      <c r="D12" s="293"/>
      <c r="E12" s="293"/>
      <c r="F12" s="293"/>
      <c r="G12" s="245"/>
    </row>
    <row r="14" spans="1:7" ht="16.5" customHeight="1" x14ac:dyDescent="0.3">
      <c r="A14" s="294" t="s">
        <v>29</v>
      </c>
      <c r="B14" s="294"/>
      <c r="C14" s="246" t="s">
        <v>123</v>
      </c>
    </row>
    <row r="15" spans="1:7" ht="16.5" customHeight="1" x14ac:dyDescent="0.3">
      <c r="A15" s="294" t="s">
        <v>30</v>
      </c>
      <c r="B15" s="294"/>
      <c r="C15" s="246" t="s">
        <v>124</v>
      </c>
    </row>
    <row r="16" spans="1:7" ht="16.5" customHeight="1" x14ac:dyDescent="0.3">
      <c r="A16" s="294" t="s">
        <v>31</v>
      </c>
      <c r="B16" s="294"/>
      <c r="C16" s="246" t="s">
        <v>125</v>
      </c>
    </row>
    <row r="17" spans="1:5" ht="16.5" customHeight="1" x14ac:dyDescent="0.3">
      <c r="A17" s="294" t="s">
        <v>32</v>
      </c>
      <c r="B17" s="294"/>
      <c r="C17" s="246" t="s">
        <v>126</v>
      </c>
    </row>
    <row r="18" spans="1:5" ht="16.5" customHeight="1" x14ac:dyDescent="0.3">
      <c r="A18" s="294" t="s">
        <v>33</v>
      </c>
      <c r="B18" s="294"/>
      <c r="C18" s="247" t="s">
        <v>127</v>
      </c>
    </row>
    <row r="19" spans="1:5" ht="16.5" customHeight="1" x14ac:dyDescent="0.3">
      <c r="A19" s="294" t="s">
        <v>34</v>
      </c>
      <c r="B19" s="294"/>
      <c r="C19" s="247" t="e">
        <f>#REF!</f>
        <v>#REF!</v>
      </c>
    </row>
    <row r="20" spans="1:5" ht="16.5" customHeight="1" x14ac:dyDescent="0.3">
      <c r="A20" s="248"/>
      <c r="B20" s="248"/>
      <c r="C20" s="249"/>
    </row>
    <row r="21" spans="1:5" ht="16.5" customHeight="1" x14ac:dyDescent="0.3">
      <c r="A21" s="293" t="s">
        <v>1</v>
      </c>
      <c r="B21" s="293"/>
      <c r="C21" s="250" t="s">
        <v>35</v>
      </c>
      <c r="D21" s="251"/>
    </row>
    <row r="22" spans="1:5" ht="15.75" customHeight="1" thickBot="1" x14ac:dyDescent="0.35">
      <c r="A22" s="295"/>
      <c r="B22" s="295"/>
      <c r="C22" s="252"/>
      <c r="D22" s="295"/>
      <c r="E22" s="295"/>
    </row>
    <row r="23" spans="1:5" ht="33.75" customHeight="1" thickBot="1" x14ac:dyDescent="0.35">
      <c r="C23" s="253" t="s">
        <v>36</v>
      </c>
      <c r="D23" s="254" t="s">
        <v>37</v>
      </c>
      <c r="E23" s="255"/>
    </row>
    <row r="24" spans="1:5" ht="15.75" customHeight="1" x14ac:dyDescent="0.3">
      <c r="C24" s="256">
        <v>265.10000000000002</v>
      </c>
      <c r="D24" s="257">
        <f t="shared" ref="D24:D43" si="0">(C24-$C$46)/$C$46</f>
        <v>-3.0723872486528021E-3</v>
      </c>
      <c r="E24" s="258"/>
    </row>
    <row r="25" spans="1:5" ht="15.75" customHeight="1" x14ac:dyDescent="0.3">
      <c r="C25" s="256">
        <v>266.77</v>
      </c>
      <c r="D25" s="259">
        <f t="shared" si="0"/>
        <v>3.20776783733252E-3</v>
      </c>
      <c r="E25" s="258"/>
    </row>
    <row r="26" spans="1:5" ht="15.75" customHeight="1" x14ac:dyDescent="0.3">
      <c r="C26" s="256">
        <v>267.95</v>
      </c>
      <c r="D26" s="259">
        <f t="shared" si="0"/>
        <v>7.6452426885079122E-3</v>
      </c>
      <c r="E26" s="258"/>
    </row>
    <row r="27" spans="1:5" ht="15.75" customHeight="1" x14ac:dyDescent="0.3">
      <c r="C27" s="256">
        <v>262.27999999999997</v>
      </c>
      <c r="D27" s="259">
        <f t="shared" si="0"/>
        <v>-1.367720002858056E-2</v>
      </c>
      <c r="E27" s="258"/>
    </row>
    <row r="28" spans="1:5" ht="15.75" customHeight="1" x14ac:dyDescent="0.3">
      <c r="C28" s="256">
        <v>268.33999999999997</v>
      </c>
      <c r="D28" s="259">
        <f t="shared" si="0"/>
        <v>9.1118657325403966E-3</v>
      </c>
      <c r="E28" s="258"/>
    </row>
    <row r="29" spans="1:5" ht="15.75" customHeight="1" x14ac:dyDescent="0.3">
      <c r="C29" s="256">
        <v>267.68</v>
      </c>
      <c r="D29" s="259">
        <f t="shared" si="0"/>
        <v>6.6298882734085324E-3</v>
      </c>
      <c r="E29" s="258"/>
    </row>
    <row r="30" spans="1:5" ht="15.75" customHeight="1" x14ac:dyDescent="0.3">
      <c r="C30" s="256">
        <v>263.19</v>
      </c>
      <c r="D30" s="259">
        <f t="shared" si="0"/>
        <v>-1.0255079592504549E-2</v>
      </c>
      <c r="E30" s="258"/>
    </row>
    <row r="31" spans="1:5" ht="15.75" customHeight="1" x14ac:dyDescent="0.3">
      <c r="C31" s="256">
        <v>264.49</v>
      </c>
      <c r="D31" s="259">
        <f t="shared" si="0"/>
        <v>-5.366336112396051E-3</v>
      </c>
      <c r="E31" s="258"/>
    </row>
    <row r="32" spans="1:5" ht="15.75" customHeight="1" x14ac:dyDescent="0.3">
      <c r="C32" s="256">
        <v>267.11</v>
      </c>
      <c r="D32" s="259">
        <f t="shared" si="0"/>
        <v>4.4863622859763891E-3</v>
      </c>
      <c r="E32" s="258"/>
    </row>
    <row r="33" spans="1:7" ht="15.75" customHeight="1" x14ac:dyDescent="0.3">
      <c r="C33" s="256">
        <v>267.92</v>
      </c>
      <c r="D33" s="259">
        <f t="shared" si="0"/>
        <v>7.5324255312747427E-3</v>
      </c>
      <c r="E33" s="258"/>
    </row>
    <row r="34" spans="1:7" ht="15.75" customHeight="1" x14ac:dyDescent="0.3">
      <c r="C34" s="256">
        <v>263.95999999999998</v>
      </c>
      <c r="D34" s="259">
        <f t="shared" si="0"/>
        <v>-7.3594392235173016E-3</v>
      </c>
      <c r="E34" s="258"/>
    </row>
    <row r="35" spans="1:7" ht="15.75" customHeight="1" x14ac:dyDescent="0.3">
      <c r="C35" s="256">
        <v>265.51</v>
      </c>
      <c r="D35" s="259">
        <f t="shared" si="0"/>
        <v>-1.5305527664648709E-3</v>
      </c>
      <c r="E35" s="258"/>
    </row>
    <row r="36" spans="1:7" ht="15.75" customHeight="1" x14ac:dyDescent="0.3">
      <c r="C36" s="256">
        <v>267.32</v>
      </c>
      <c r="D36" s="259">
        <f t="shared" si="0"/>
        <v>5.2760823866092165E-3</v>
      </c>
      <c r="E36" s="258"/>
    </row>
    <row r="37" spans="1:7" ht="15.75" customHeight="1" x14ac:dyDescent="0.3">
      <c r="C37" s="256">
        <v>266.61</v>
      </c>
      <c r="D37" s="259">
        <f t="shared" si="0"/>
        <v>2.6060763320885222E-3</v>
      </c>
      <c r="E37" s="258"/>
    </row>
    <row r="38" spans="1:7" ht="15.75" customHeight="1" x14ac:dyDescent="0.3">
      <c r="C38" s="256">
        <v>266.18</v>
      </c>
      <c r="D38" s="259">
        <f t="shared" si="0"/>
        <v>9.890304117449308E-4</v>
      </c>
      <c r="E38" s="258"/>
    </row>
    <row r="39" spans="1:7" ht="15.75" customHeight="1" x14ac:dyDescent="0.3">
      <c r="C39" s="256">
        <v>260.26</v>
      </c>
      <c r="D39" s="259">
        <f t="shared" si="0"/>
        <v>-2.1273555282287474E-2</v>
      </c>
      <c r="E39" s="258"/>
    </row>
    <row r="40" spans="1:7" ht="15.75" customHeight="1" x14ac:dyDescent="0.3">
      <c r="C40" s="256">
        <v>268.64999999999998</v>
      </c>
      <c r="D40" s="259">
        <f t="shared" si="0"/>
        <v>1.0277643023950882E-2</v>
      </c>
      <c r="E40" s="258"/>
    </row>
    <row r="41" spans="1:7" ht="15.75" customHeight="1" x14ac:dyDescent="0.3">
      <c r="C41" s="256">
        <v>269.89999999999998</v>
      </c>
      <c r="D41" s="259">
        <f t="shared" si="0"/>
        <v>1.4978357908670551E-2</v>
      </c>
      <c r="E41" s="258"/>
    </row>
    <row r="42" spans="1:7" ht="15.75" customHeight="1" x14ac:dyDescent="0.3">
      <c r="C42" s="256">
        <v>266.81</v>
      </c>
      <c r="D42" s="259">
        <f t="shared" si="0"/>
        <v>3.3581907136436264E-3</v>
      </c>
      <c r="E42" s="258"/>
    </row>
    <row r="43" spans="1:7" ht="16.5" customHeight="1" thickBot="1" x14ac:dyDescent="0.35">
      <c r="C43" s="260">
        <v>262.31</v>
      </c>
      <c r="D43" s="261">
        <f t="shared" si="0"/>
        <v>-1.3564382871347177E-2</v>
      </c>
      <c r="E43" s="258"/>
    </row>
    <row r="44" spans="1:7" ht="16.5" customHeight="1" thickBot="1" x14ac:dyDescent="0.35">
      <c r="C44" s="262"/>
      <c r="D44" s="258"/>
      <c r="E44" s="263"/>
    </row>
    <row r="45" spans="1:7" ht="16.5" customHeight="1" thickBot="1" x14ac:dyDescent="0.35">
      <c r="B45" s="264" t="s">
        <v>38</v>
      </c>
      <c r="C45" s="265">
        <f>SUM(C24:C44)</f>
        <v>5318.34</v>
      </c>
      <c r="D45" s="266"/>
      <c r="E45" s="262"/>
    </row>
    <row r="46" spans="1:7" ht="17.25" customHeight="1" thickBot="1" x14ac:dyDescent="0.35">
      <c r="B46" s="264" t="s">
        <v>39</v>
      </c>
      <c r="C46" s="267">
        <f>AVERAGE(C24:C44)</f>
        <v>265.91700000000003</v>
      </c>
      <c r="E46" s="268"/>
    </row>
    <row r="47" spans="1:7" ht="17.25" customHeight="1" thickBot="1" x14ac:dyDescent="0.35">
      <c r="A47" s="246"/>
      <c r="B47" s="269"/>
      <c r="D47" s="270"/>
      <c r="E47" s="268"/>
    </row>
    <row r="48" spans="1:7" ht="33.75" customHeight="1" thickBot="1" x14ac:dyDescent="0.35">
      <c r="B48" s="271" t="s">
        <v>39</v>
      </c>
      <c r="C48" s="254" t="s">
        <v>40</v>
      </c>
      <c r="D48" s="272"/>
      <c r="G48" s="270"/>
    </row>
    <row r="49" spans="1:6" ht="17.25" customHeight="1" thickBot="1" x14ac:dyDescent="0.35">
      <c r="B49" s="288">
        <f>C46</f>
        <v>265.91700000000003</v>
      </c>
      <c r="C49" s="273">
        <f>-IF(C46&lt;=80,10%,IF(C46&lt;250,7.5%,5%))</f>
        <v>-0.05</v>
      </c>
      <c r="D49" s="274">
        <f>IF(C46&lt;=80,C46*0.9,IF(C46&lt;250,C46*0.925,C46*0.95))</f>
        <v>252.62115000000003</v>
      </c>
    </row>
    <row r="50" spans="1:6" ht="17.25" customHeight="1" thickBot="1" x14ac:dyDescent="0.35">
      <c r="B50" s="289"/>
      <c r="C50" s="275">
        <f>IF(C46&lt;=80, 10%, IF(C46&lt;250, 7.5%, 5%))</f>
        <v>0.05</v>
      </c>
      <c r="D50" s="274">
        <f>IF(C46&lt;=80, C46*1.1, IF(C46&lt;250, C46*1.075, C46*1.05))</f>
        <v>279.21285000000006</v>
      </c>
    </row>
    <row r="51" spans="1:6" ht="16.5" customHeight="1" thickBot="1" x14ac:dyDescent="0.35">
      <c r="A51" s="276"/>
      <c r="B51" s="277"/>
      <c r="C51" s="246"/>
      <c r="D51" s="278"/>
      <c r="E51" s="246"/>
      <c r="F51" s="251"/>
    </row>
    <row r="52" spans="1:6" ht="16.5" customHeight="1" x14ac:dyDescent="0.3">
      <c r="A52" s="246"/>
      <c r="B52" s="279" t="s">
        <v>22</v>
      </c>
      <c r="C52" s="279"/>
      <c r="D52" s="280" t="s">
        <v>23</v>
      </c>
      <c r="E52" s="281"/>
      <c r="F52" s="280" t="s">
        <v>24</v>
      </c>
    </row>
    <row r="53" spans="1:6" ht="34.5" customHeight="1" x14ac:dyDescent="0.3">
      <c r="A53" s="248" t="s">
        <v>25</v>
      </c>
      <c r="B53" s="282"/>
      <c r="C53" s="246"/>
      <c r="D53" s="282"/>
      <c r="E53" s="246"/>
      <c r="F53" s="282"/>
    </row>
    <row r="54" spans="1:6" ht="34.5" customHeight="1" x14ac:dyDescent="0.3">
      <c r="A54" s="248" t="s">
        <v>26</v>
      </c>
      <c r="B54" s="283"/>
      <c r="C54" s="284"/>
      <c r="D54" s="283"/>
      <c r="E54" s="246"/>
      <c r="F54" s="28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97" zoomScale="50" zoomScaleNormal="40" zoomScalePageLayoutView="5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6" t="s">
        <v>41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42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57"/>
    </row>
    <row r="16" spans="1:9" ht="19.5" customHeight="1" x14ac:dyDescent="0.3">
      <c r="A16" s="330" t="s">
        <v>27</v>
      </c>
      <c r="B16" s="331"/>
      <c r="C16" s="331"/>
      <c r="D16" s="331"/>
      <c r="E16" s="331"/>
      <c r="F16" s="331"/>
      <c r="G16" s="331"/>
      <c r="H16" s="332"/>
    </row>
    <row r="17" spans="1:14" ht="20.25" customHeight="1" x14ac:dyDescent="0.25">
      <c r="A17" s="333" t="s">
        <v>43</v>
      </c>
      <c r="B17" s="333"/>
      <c r="C17" s="333"/>
      <c r="D17" s="333"/>
      <c r="E17" s="333"/>
      <c r="F17" s="333"/>
      <c r="G17" s="333"/>
      <c r="H17" s="333"/>
    </row>
    <row r="18" spans="1:14" ht="26.25" customHeight="1" x14ac:dyDescent="0.4">
      <c r="A18" s="59" t="s">
        <v>29</v>
      </c>
      <c r="B18" s="329" t="s">
        <v>128</v>
      </c>
      <c r="C18" s="329"/>
      <c r="D18" s="226"/>
      <c r="E18" s="60"/>
      <c r="F18" s="61"/>
      <c r="G18" s="61"/>
      <c r="H18" s="61"/>
    </row>
    <row r="19" spans="1:14" ht="26.25" customHeight="1" x14ac:dyDescent="0.4">
      <c r="A19" s="59" t="s">
        <v>30</v>
      </c>
      <c r="B19" s="62" t="s">
        <v>124</v>
      </c>
      <c r="C19" s="239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31</v>
      </c>
      <c r="B20" s="334" t="s">
        <v>129</v>
      </c>
      <c r="C20" s="334"/>
      <c r="D20" s="61"/>
      <c r="E20" s="61"/>
      <c r="F20" s="61"/>
      <c r="G20" s="61"/>
      <c r="H20" s="61"/>
    </row>
    <row r="21" spans="1:14" ht="26.25" customHeight="1" x14ac:dyDescent="0.4">
      <c r="A21" s="59" t="s">
        <v>32</v>
      </c>
      <c r="B21" s="334" t="s">
        <v>130</v>
      </c>
      <c r="C21" s="334"/>
      <c r="D21" s="334"/>
      <c r="E21" s="334"/>
      <c r="F21" s="334"/>
      <c r="G21" s="334"/>
      <c r="H21" s="334"/>
      <c r="I21" s="63"/>
    </row>
    <row r="22" spans="1:14" ht="26.25" customHeight="1" x14ac:dyDescent="0.4">
      <c r="A22" s="59" t="s">
        <v>33</v>
      </c>
      <c r="B22" s="64">
        <v>42478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34</v>
      </c>
      <c r="B23" s="64">
        <v>42513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5"/>
    </row>
    <row r="25" spans="1:14" ht="18.75" x14ac:dyDescent="0.3">
      <c r="A25" s="66" t="s">
        <v>1</v>
      </c>
      <c r="B25" s="65"/>
    </row>
    <row r="26" spans="1:14" ht="26.25" customHeight="1" x14ac:dyDescent="0.4">
      <c r="A26" s="67" t="s">
        <v>4</v>
      </c>
      <c r="B26" s="329" t="s">
        <v>121</v>
      </c>
      <c r="C26" s="329"/>
    </row>
    <row r="27" spans="1:14" ht="26.25" customHeight="1" x14ac:dyDescent="0.4">
      <c r="A27" s="68" t="s">
        <v>44</v>
      </c>
      <c r="B27" s="327" t="s">
        <v>122</v>
      </c>
      <c r="C27" s="327"/>
    </row>
    <row r="28" spans="1:14" ht="27" customHeight="1" x14ac:dyDescent="0.4">
      <c r="A28" s="68" t="s">
        <v>6</v>
      </c>
      <c r="B28" s="69">
        <v>99.7</v>
      </c>
    </row>
    <row r="29" spans="1:14" s="14" customFormat="1" ht="27" customHeight="1" x14ac:dyDescent="0.4">
      <c r="A29" s="68" t="s">
        <v>45</v>
      </c>
      <c r="B29" s="70">
        <v>0</v>
      </c>
      <c r="C29" s="304" t="s">
        <v>46</v>
      </c>
      <c r="D29" s="305"/>
      <c r="E29" s="305"/>
      <c r="F29" s="305"/>
      <c r="G29" s="306"/>
      <c r="I29" s="71"/>
      <c r="J29" s="71"/>
      <c r="K29" s="71"/>
      <c r="L29" s="71"/>
    </row>
    <row r="30" spans="1:14" s="14" customFormat="1" ht="19.5" customHeight="1" x14ac:dyDescent="0.3">
      <c r="A30" s="68" t="s">
        <v>47</v>
      </c>
      <c r="B30" s="72">
        <f>B28-B29</f>
        <v>99.7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">
      <c r="A31" s="68" t="s">
        <v>48</v>
      </c>
      <c r="B31" s="75">
        <v>1</v>
      </c>
      <c r="C31" s="307" t="s">
        <v>49</v>
      </c>
      <c r="D31" s="308"/>
      <c r="E31" s="308"/>
      <c r="F31" s="308"/>
      <c r="G31" s="308"/>
      <c r="H31" s="309"/>
      <c r="I31" s="71"/>
      <c r="J31" s="71"/>
      <c r="K31" s="71"/>
      <c r="L31" s="71"/>
    </row>
    <row r="32" spans="1:14" s="14" customFormat="1" ht="27" customHeight="1" x14ac:dyDescent="0.4">
      <c r="A32" s="68" t="s">
        <v>50</v>
      </c>
      <c r="B32" s="75">
        <v>1</v>
      </c>
      <c r="C32" s="307" t="s">
        <v>51</v>
      </c>
      <c r="D32" s="308"/>
      <c r="E32" s="308"/>
      <c r="F32" s="308"/>
      <c r="G32" s="308"/>
      <c r="H32" s="309"/>
      <c r="I32" s="71"/>
      <c r="J32" s="71"/>
      <c r="K32" s="71"/>
      <c r="L32" s="76"/>
      <c r="M32" s="76"/>
      <c r="N32" s="77"/>
    </row>
    <row r="33" spans="1:14" s="14" customFormat="1" ht="17.25" customHeight="1" x14ac:dyDescent="0.3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.75" x14ac:dyDescent="0.3">
      <c r="A34" s="68" t="s">
        <v>52</v>
      </c>
      <c r="B34" s="80">
        <f>B31/B32</f>
        <v>1</v>
      </c>
      <c r="C34" s="58" t="s">
        <v>53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">
      <c r="A36" s="81" t="s">
        <v>54</v>
      </c>
      <c r="B36" s="82">
        <v>5</v>
      </c>
      <c r="C36" s="58"/>
      <c r="D36" s="310" t="s">
        <v>55</v>
      </c>
      <c r="E36" s="328"/>
      <c r="F36" s="310" t="s">
        <v>56</v>
      </c>
      <c r="G36" s="311"/>
      <c r="J36" s="71"/>
      <c r="K36" s="71"/>
      <c r="L36" s="76"/>
      <c r="M36" s="76"/>
      <c r="N36" s="77"/>
    </row>
    <row r="37" spans="1:14" s="14" customFormat="1" ht="27" customHeight="1" x14ac:dyDescent="0.4">
      <c r="A37" s="83" t="s">
        <v>57</v>
      </c>
      <c r="B37" s="84">
        <v>1</v>
      </c>
      <c r="C37" s="85" t="s">
        <v>58</v>
      </c>
      <c r="D37" s="86" t="s">
        <v>59</v>
      </c>
      <c r="E37" s="87" t="s">
        <v>60</v>
      </c>
      <c r="F37" s="86" t="s">
        <v>59</v>
      </c>
      <c r="G37" s="88" t="s">
        <v>60</v>
      </c>
      <c r="I37" s="89" t="s">
        <v>61</v>
      </c>
      <c r="J37" s="71"/>
      <c r="K37" s="71"/>
      <c r="L37" s="76"/>
      <c r="M37" s="76"/>
      <c r="N37" s="77"/>
    </row>
    <row r="38" spans="1:14" s="14" customFormat="1" ht="26.25" customHeight="1" x14ac:dyDescent="0.4">
      <c r="A38" s="83" t="s">
        <v>62</v>
      </c>
      <c r="B38" s="84">
        <v>1</v>
      </c>
      <c r="C38" s="90">
        <v>1</v>
      </c>
      <c r="D38" s="91">
        <v>23444196</v>
      </c>
      <c r="E38" s="92">
        <f>IF(ISBLANK(D38),"-",$D$48/$D$45*D38)</f>
        <v>20271327.776432749</v>
      </c>
      <c r="F38" s="91">
        <v>21397682</v>
      </c>
      <c r="G38" s="93">
        <f>IF(ISBLANK(F38),"-",$D$48/$F$45*F38)</f>
        <v>20152176.717947271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">
      <c r="A39" s="83" t="s">
        <v>63</v>
      </c>
      <c r="B39" s="84">
        <v>1</v>
      </c>
      <c r="C39" s="95">
        <v>2</v>
      </c>
      <c r="D39" s="96">
        <v>23437322</v>
      </c>
      <c r="E39" s="97">
        <f>IF(ISBLANK(D39),"-",$D$48/$D$45*D39)</f>
        <v>20265384.083284337</v>
      </c>
      <c r="F39" s="96">
        <v>21448377</v>
      </c>
      <c r="G39" s="98">
        <f>IF(ISBLANK(F39),"-",$D$48/$F$45*F39)</f>
        <v>20199920.88942885</v>
      </c>
      <c r="I39" s="312">
        <f>ABS((F43/D43*D42)-F42)/D42</f>
        <v>4.0937305782419008E-3</v>
      </c>
      <c r="J39" s="71"/>
      <c r="K39" s="71"/>
      <c r="L39" s="76"/>
      <c r="M39" s="76"/>
      <c r="N39" s="77"/>
    </row>
    <row r="40" spans="1:14" ht="26.25" customHeight="1" x14ac:dyDescent="0.4">
      <c r="A40" s="83" t="s">
        <v>64</v>
      </c>
      <c r="B40" s="84">
        <v>1</v>
      </c>
      <c r="C40" s="95">
        <v>3</v>
      </c>
      <c r="D40" s="96">
        <v>23461070</v>
      </c>
      <c r="E40" s="97">
        <f>IF(ISBLANK(D40),"-",$D$48/$D$45*D40)</f>
        <v>20285918.099124964</v>
      </c>
      <c r="F40" s="96">
        <v>21447750</v>
      </c>
      <c r="G40" s="98">
        <f>IF(ISBLANK(F40),"-",$D$48/$F$45*F40)</f>
        <v>20199330.385522764</v>
      </c>
      <c r="I40" s="312"/>
      <c r="L40" s="76"/>
      <c r="M40" s="76"/>
      <c r="N40" s="99"/>
    </row>
    <row r="41" spans="1:14" ht="27" customHeight="1" x14ac:dyDescent="0.4">
      <c r="A41" s="83" t="s">
        <v>65</v>
      </c>
      <c r="B41" s="84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I41" s="104"/>
      <c r="L41" s="76"/>
      <c r="M41" s="76"/>
      <c r="N41" s="99"/>
    </row>
    <row r="42" spans="1:14" ht="27" customHeight="1" x14ac:dyDescent="0.4">
      <c r="A42" s="83" t="s">
        <v>66</v>
      </c>
      <c r="B42" s="84">
        <v>1</v>
      </c>
      <c r="C42" s="105" t="s">
        <v>67</v>
      </c>
      <c r="D42" s="106">
        <f>AVERAGE(D38:D41)</f>
        <v>23447529.333333332</v>
      </c>
      <c r="E42" s="107">
        <f>AVERAGE(E38:E41)</f>
        <v>20274209.986280683</v>
      </c>
      <c r="F42" s="106">
        <f>AVERAGE(F38:F41)</f>
        <v>21431269.666666668</v>
      </c>
      <c r="G42" s="108">
        <f>AVERAGE(G38:G41)</f>
        <v>20183809.330966294</v>
      </c>
      <c r="H42" s="109"/>
    </row>
    <row r="43" spans="1:14" ht="26.25" customHeight="1" x14ac:dyDescent="0.4">
      <c r="A43" s="83" t="s">
        <v>68</v>
      </c>
      <c r="B43" s="84">
        <v>1</v>
      </c>
      <c r="C43" s="110" t="s">
        <v>69</v>
      </c>
      <c r="D43" s="111">
        <v>23.2</v>
      </c>
      <c r="E43" s="99"/>
      <c r="F43" s="111">
        <v>21.3</v>
      </c>
      <c r="H43" s="109"/>
    </row>
    <row r="44" spans="1:14" ht="26.25" customHeight="1" x14ac:dyDescent="0.4">
      <c r="A44" s="83" t="s">
        <v>70</v>
      </c>
      <c r="B44" s="84">
        <v>1</v>
      </c>
      <c r="C44" s="112" t="s">
        <v>71</v>
      </c>
      <c r="D44" s="113">
        <f>D43*$B$34</f>
        <v>23.2</v>
      </c>
      <c r="E44" s="114"/>
      <c r="F44" s="113">
        <f>F43*$B$34</f>
        <v>21.3</v>
      </c>
      <c r="H44" s="109"/>
    </row>
    <row r="45" spans="1:14" ht="19.5" customHeight="1" x14ac:dyDescent="0.3">
      <c r="A45" s="83" t="s">
        <v>72</v>
      </c>
      <c r="B45" s="115">
        <f>(B44/B43)*(B42/B41)*(B40/B39)*(B38/B37)*B36</f>
        <v>5</v>
      </c>
      <c r="C45" s="112" t="s">
        <v>73</v>
      </c>
      <c r="D45" s="116">
        <f>D44*$B$30/100</f>
        <v>23.130399999999998</v>
      </c>
      <c r="E45" s="117"/>
      <c r="F45" s="116">
        <f>F44*$B$30/100</f>
        <v>21.2361</v>
      </c>
      <c r="H45" s="109"/>
    </row>
    <row r="46" spans="1:14" ht="19.5" customHeight="1" x14ac:dyDescent="0.3">
      <c r="A46" s="298" t="s">
        <v>74</v>
      </c>
      <c r="B46" s="299"/>
      <c r="C46" s="112" t="s">
        <v>75</v>
      </c>
      <c r="D46" s="118">
        <f>D45/$B$45</f>
        <v>4.62608</v>
      </c>
      <c r="E46" s="119"/>
      <c r="F46" s="120">
        <f>F45/$B$45</f>
        <v>4.2472200000000004</v>
      </c>
      <c r="H46" s="109"/>
    </row>
    <row r="47" spans="1:14" ht="27" customHeight="1" x14ac:dyDescent="0.4">
      <c r="A47" s="300"/>
      <c r="B47" s="301"/>
      <c r="C47" s="121" t="s">
        <v>76</v>
      </c>
      <c r="D47" s="122">
        <v>4</v>
      </c>
      <c r="E47" s="123"/>
      <c r="F47" s="119"/>
      <c r="H47" s="109"/>
    </row>
    <row r="48" spans="1:14" ht="18.75" x14ac:dyDescent="0.3">
      <c r="C48" s="124" t="s">
        <v>77</v>
      </c>
      <c r="D48" s="116">
        <f>D47*$B$45</f>
        <v>20</v>
      </c>
      <c r="F48" s="125"/>
      <c r="H48" s="109"/>
    </row>
    <row r="49" spans="1:12" ht="19.5" customHeight="1" x14ac:dyDescent="0.3">
      <c r="C49" s="126" t="s">
        <v>78</v>
      </c>
      <c r="D49" s="127">
        <f>D48/B34</f>
        <v>20</v>
      </c>
      <c r="F49" s="125"/>
      <c r="H49" s="109"/>
    </row>
    <row r="50" spans="1:12" ht="18.75" x14ac:dyDescent="0.3">
      <c r="C50" s="81" t="s">
        <v>79</v>
      </c>
      <c r="D50" s="128">
        <f>AVERAGE(E38:E41,G38:G41)</f>
        <v>20229009.65862349</v>
      </c>
      <c r="F50" s="129"/>
      <c r="H50" s="109"/>
    </row>
    <row r="51" spans="1:12" ht="18.75" x14ac:dyDescent="0.3">
      <c r="C51" s="83" t="s">
        <v>80</v>
      </c>
      <c r="D51" s="130">
        <f>STDEV(E38:E41,G38:G41)/D50</f>
        <v>2.6141926453772217E-3</v>
      </c>
      <c r="F51" s="129"/>
      <c r="H51" s="109"/>
    </row>
    <row r="52" spans="1:12" ht="19.5" customHeight="1" x14ac:dyDescent="0.3">
      <c r="C52" s="131" t="s">
        <v>16</v>
      </c>
      <c r="D52" s="132">
        <f>COUNT(E38:E41,G38:G41)</f>
        <v>6</v>
      </c>
      <c r="F52" s="129"/>
    </row>
    <row r="54" spans="1:12" ht="18.75" x14ac:dyDescent="0.3">
      <c r="A54" s="133" t="s">
        <v>1</v>
      </c>
      <c r="B54" s="134" t="s">
        <v>81</v>
      </c>
    </row>
    <row r="55" spans="1:12" ht="18.75" x14ac:dyDescent="0.3">
      <c r="A55" s="58" t="s">
        <v>82</v>
      </c>
      <c r="B55" s="135" t="str">
        <f>B21</f>
        <v>Artesunate 50 mg
Amodiaquine  270 mg (IN THE FORM OF AMODIAQUINE HYDROCHLORIDE 88.16mg</v>
      </c>
    </row>
    <row r="56" spans="1:12" ht="26.25" customHeight="1" x14ac:dyDescent="0.4">
      <c r="A56" s="136" t="s">
        <v>83</v>
      </c>
      <c r="B56" s="137">
        <v>50</v>
      </c>
      <c r="C56" s="58" t="str">
        <f>B20</f>
        <v xml:space="preserve">ARTESUNATE </v>
      </c>
      <c r="H56" s="138"/>
    </row>
    <row r="57" spans="1:12" ht="18.75" x14ac:dyDescent="0.3">
      <c r="A57" s="135" t="s">
        <v>84</v>
      </c>
      <c r="B57" s="227">
        <f>'Uniformity (2)'!C46</f>
        <v>265.91700000000003</v>
      </c>
      <c r="H57" s="138"/>
    </row>
    <row r="58" spans="1:12" ht="19.5" customHeight="1" x14ac:dyDescent="0.3">
      <c r="H58" s="138"/>
    </row>
    <row r="59" spans="1:12" s="14" customFormat="1" ht="27" customHeight="1" x14ac:dyDescent="0.4">
      <c r="A59" s="81" t="s">
        <v>85</v>
      </c>
      <c r="B59" s="82">
        <v>10</v>
      </c>
      <c r="C59" s="58"/>
      <c r="D59" s="139" t="s">
        <v>86</v>
      </c>
      <c r="E59" s="140" t="s">
        <v>58</v>
      </c>
      <c r="F59" s="140" t="s">
        <v>59</v>
      </c>
      <c r="G59" s="140" t="s">
        <v>87</v>
      </c>
      <c r="H59" s="85" t="s">
        <v>88</v>
      </c>
      <c r="L59" s="71"/>
    </row>
    <row r="60" spans="1:12" s="14" customFormat="1" ht="26.25" customHeight="1" x14ac:dyDescent="0.4">
      <c r="A60" s="83" t="s">
        <v>89</v>
      </c>
      <c r="B60" s="84">
        <v>4</v>
      </c>
      <c r="C60" s="315" t="s">
        <v>90</v>
      </c>
      <c r="D60" s="318">
        <v>266.8</v>
      </c>
      <c r="E60" s="141">
        <v>1</v>
      </c>
      <c r="F60" s="142">
        <v>19880053</v>
      </c>
      <c r="G60" s="228">
        <f>IF(ISBLANK(F60),"-",(F60/$D$50*$D$47*$B$68)*($B$57/$D$60))</f>
        <v>48.974859388435469</v>
      </c>
      <c r="H60" s="143">
        <f t="shared" ref="H60:H71" si="0">IF(ISBLANK(F60),"-",G60/$B$56)</f>
        <v>0.97949718776870942</v>
      </c>
      <c r="L60" s="71"/>
    </row>
    <row r="61" spans="1:12" s="14" customFormat="1" ht="26.25" customHeight="1" x14ac:dyDescent="0.4">
      <c r="A61" s="83" t="s">
        <v>91</v>
      </c>
      <c r="B61" s="84">
        <v>5</v>
      </c>
      <c r="C61" s="316"/>
      <c r="D61" s="319"/>
      <c r="E61" s="144">
        <v>2</v>
      </c>
      <c r="F61" s="96">
        <v>19893582</v>
      </c>
      <c r="G61" s="229">
        <f>IF(ISBLANK(F61),"-",(F61/$D$50*$D$47*$B$68)*($B$57/$D$60))</f>
        <v>49.008188317320425</v>
      </c>
      <c r="H61" s="145">
        <f t="shared" si="0"/>
        <v>0.98016376634640845</v>
      </c>
      <c r="L61" s="71"/>
    </row>
    <row r="62" spans="1:12" s="14" customFormat="1" ht="26.25" customHeight="1" x14ac:dyDescent="0.4">
      <c r="A62" s="83" t="s">
        <v>92</v>
      </c>
      <c r="B62" s="84">
        <v>1</v>
      </c>
      <c r="C62" s="316"/>
      <c r="D62" s="319"/>
      <c r="E62" s="144">
        <v>3</v>
      </c>
      <c r="F62" s="146">
        <v>19983086</v>
      </c>
      <c r="G62" s="229">
        <f>IF(ISBLANK(F62),"-",(F62/$D$50*$D$47*$B$68)*($B$57/$D$60))</f>
        <v>49.228682991791487</v>
      </c>
      <c r="H62" s="145">
        <f t="shared" si="0"/>
        <v>0.98457365983582978</v>
      </c>
      <c r="L62" s="71"/>
    </row>
    <row r="63" spans="1:12" ht="27" customHeight="1" x14ac:dyDescent="0.4">
      <c r="A63" s="83" t="s">
        <v>93</v>
      </c>
      <c r="B63" s="84">
        <v>1</v>
      </c>
      <c r="C63" s="326"/>
      <c r="D63" s="320"/>
      <c r="E63" s="147">
        <v>4</v>
      </c>
      <c r="F63" s="148"/>
      <c r="G63" s="229" t="str">
        <f>IF(ISBLANK(F63),"-",(F63/$D$50*$D$47*$B$68)*($B$57/$D$60))</f>
        <v>-</v>
      </c>
      <c r="H63" s="145" t="str">
        <f t="shared" si="0"/>
        <v>-</v>
      </c>
    </row>
    <row r="64" spans="1:12" ht="26.25" customHeight="1" x14ac:dyDescent="0.4">
      <c r="A64" s="83" t="s">
        <v>94</v>
      </c>
      <c r="B64" s="84">
        <v>1</v>
      </c>
      <c r="C64" s="315" t="s">
        <v>95</v>
      </c>
      <c r="D64" s="318">
        <v>260.38</v>
      </c>
      <c r="E64" s="141">
        <v>1</v>
      </c>
      <c r="F64" s="142">
        <v>19257916</v>
      </c>
      <c r="G64" s="230">
        <f>IF(ISBLANK(F64),"-",(F64/$D$50*$D$47*$B$68)*($B$57/$D$64))</f>
        <v>48.611962085844283</v>
      </c>
      <c r="H64" s="149">
        <f t="shared" si="0"/>
        <v>0.97223924171688569</v>
      </c>
    </row>
    <row r="65" spans="1:8" ht="26.25" customHeight="1" x14ac:dyDescent="0.4">
      <c r="A65" s="83" t="s">
        <v>96</v>
      </c>
      <c r="B65" s="84">
        <v>1</v>
      </c>
      <c r="C65" s="316"/>
      <c r="D65" s="319"/>
      <c r="E65" s="144">
        <v>2</v>
      </c>
      <c r="F65" s="96">
        <v>19303986</v>
      </c>
      <c r="G65" s="231">
        <f>IF(ISBLANK(F65),"-",(F65/$D$50*$D$47*$B$68)*($B$57/$D$64))</f>
        <v>48.728254684342204</v>
      </c>
      <c r="H65" s="150">
        <f t="shared" si="0"/>
        <v>0.97456509368684408</v>
      </c>
    </row>
    <row r="66" spans="1:8" ht="26.25" customHeight="1" x14ac:dyDescent="0.4">
      <c r="A66" s="83" t="s">
        <v>97</v>
      </c>
      <c r="B66" s="84">
        <v>1</v>
      </c>
      <c r="C66" s="316"/>
      <c r="D66" s="319"/>
      <c r="E66" s="144">
        <v>3</v>
      </c>
      <c r="F66" s="96">
        <v>19298649</v>
      </c>
      <c r="G66" s="231">
        <f>IF(ISBLANK(F66),"-",(F66/$D$50*$D$47*$B$68)*($B$57/$D$64))</f>
        <v>48.714782715638414</v>
      </c>
      <c r="H66" s="150">
        <f t="shared" si="0"/>
        <v>0.97429565431276832</v>
      </c>
    </row>
    <row r="67" spans="1:8" ht="27" customHeight="1" x14ac:dyDescent="0.4">
      <c r="A67" s="83" t="s">
        <v>98</v>
      </c>
      <c r="B67" s="84">
        <v>1</v>
      </c>
      <c r="C67" s="326"/>
      <c r="D67" s="320"/>
      <c r="E67" s="147">
        <v>4</v>
      </c>
      <c r="F67" s="148"/>
      <c r="G67" s="232" t="str">
        <f>IF(ISBLANK(F67),"-",(F67/$D$50*$D$47*$B$68)*($B$57/$D$64))</f>
        <v>-</v>
      </c>
      <c r="H67" s="151" t="str">
        <f t="shared" si="0"/>
        <v>-</v>
      </c>
    </row>
    <row r="68" spans="1:8" ht="26.25" customHeight="1" x14ac:dyDescent="0.4">
      <c r="A68" s="83" t="s">
        <v>99</v>
      </c>
      <c r="B68" s="152">
        <f>(B67/B66)*(B65/B64)*(B63/B62)*(B61/B60)*B59</f>
        <v>12.5</v>
      </c>
      <c r="C68" s="315" t="s">
        <v>100</v>
      </c>
      <c r="D68" s="318">
        <v>267.02</v>
      </c>
      <c r="E68" s="141">
        <v>1</v>
      </c>
      <c r="F68" s="142">
        <v>19099148</v>
      </c>
      <c r="G68" s="230">
        <f>IF(ISBLANK(F68),"-",(F68/$D$50*$D$47*$B$68)*($B$57/$D$68))</f>
        <v>47.012320437410601</v>
      </c>
      <c r="H68" s="145">
        <f t="shared" si="0"/>
        <v>0.94024640874821197</v>
      </c>
    </row>
    <row r="69" spans="1:8" ht="27" customHeight="1" x14ac:dyDescent="0.4">
      <c r="A69" s="131" t="s">
        <v>101</v>
      </c>
      <c r="B69" s="153">
        <f>(D47*B68)/B56*B57</f>
        <v>265.91700000000003</v>
      </c>
      <c r="C69" s="316"/>
      <c r="D69" s="319"/>
      <c r="E69" s="144">
        <v>2</v>
      </c>
      <c r="F69" s="96">
        <v>19262267</v>
      </c>
      <c r="G69" s="231">
        <f>IF(ISBLANK(F69),"-",(F69/$D$50*$D$47*$B$68)*($B$57/$D$68))</f>
        <v>47.41383587136766</v>
      </c>
      <c r="H69" s="145">
        <f t="shared" si="0"/>
        <v>0.9482767174273532</v>
      </c>
    </row>
    <row r="70" spans="1:8" ht="26.25" customHeight="1" x14ac:dyDescent="0.4">
      <c r="A70" s="321" t="s">
        <v>74</v>
      </c>
      <c r="B70" s="322"/>
      <c r="C70" s="316"/>
      <c r="D70" s="319"/>
      <c r="E70" s="144">
        <v>3</v>
      </c>
      <c r="F70" s="96">
        <v>19470197</v>
      </c>
      <c r="G70" s="231">
        <f>IF(ISBLANK(F70),"-",(F70/$D$50*$D$47*$B$68)*($B$57/$D$68))</f>
        <v>47.925653036643865</v>
      </c>
      <c r="H70" s="145">
        <f t="shared" si="0"/>
        <v>0.95851306073287734</v>
      </c>
    </row>
    <row r="71" spans="1:8" ht="27" customHeight="1" x14ac:dyDescent="0.4">
      <c r="A71" s="323"/>
      <c r="B71" s="324"/>
      <c r="C71" s="317"/>
      <c r="D71" s="320"/>
      <c r="E71" s="147">
        <v>4</v>
      </c>
      <c r="F71" s="148"/>
      <c r="G71" s="232" t="str">
        <f>IF(ISBLANK(F71),"-",(F71/$D$50*$D$47*$B$68)*($B$57/$D$68))</f>
        <v>-</v>
      </c>
      <c r="H71" s="154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57" t="s">
        <v>67</v>
      </c>
      <c r="G72" s="237">
        <f>AVERAGE(G60:G71)</f>
        <v>48.402059947643821</v>
      </c>
      <c r="H72" s="158">
        <f>AVERAGE(H60:H71)</f>
        <v>0.96804119895287655</v>
      </c>
    </row>
    <row r="73" spans="1:8" ht="26.25" customHeight="1" x14ac:dyDescent="0.4">
      <c r="C73" s="155"/>
      <c r="D73" s="155"/>
      <c r="E73" s="155"/>
      <c r="F73" s="159" t="s">
        <v>80</v>
      </c>
      <c r="G73" s="233">
        <f>STDEV(G60:G71)/G72</f>
        <v>1.5939876524028705E-2</v>
      </c>
      <c r="H73" s="233">
        <f>STDEV(H60:H71)/H72</f>
        <v>1.5939876524028715E-2</v>
      </c>
    </row>
    <row r="74" spans="1:8" ht="27" customHeight="1" x14ac:dyDescent="0.4">
      <c r="A74" s="155"/>
      <c r="B74" s="155"/>
      <c r="C74" s="156"/>
      <c r="D74" s="156"/>
      <c r="E74" s="160"/>
      <c r="F74" s="161" t="s">
        <v>16</v>
      </c>
      <c r="G74" s="162">
        <f>COUNT(G60:G71)</f>
        <v>9</v>
      </c>
      <c r="H74" s="162">
        <f>COUNT(H60:H71)</f>
        <v>9</v>
      </c>
    </row>
    <row r="76" spans="1:8" ht="26.25" customHeight="1" x14ac:dyDescent="0.4">
      <c r="A76" s="67" t="s">
        <v>102</v>
      </c>
      <c r="B76" s="163" t="s">
        <v>103</v>
      </c>
      <c r="C76" s="302" t="str">
        <f>B20</f>
        <v xml:space="preserve">ARTESUNATE </v>
      </c>
      <c r="D76" s="302"/>
      <c r="E76" s="164" t="s">
        <v>104</v>
      </c>
      <c r="F76" s="164"/>
      <c r="G76" s="165">
        <f>H72</f>
        <v>0.96804119895287655</v>
      </c>
      <c r="H76" s="166"/>
    </row>
    <row r="77" spans="1:8" ht="18.75" x14ac:dyDescent="0.3">
      <c r="A77" s="66" t="s">
        <v>105</v>
      </c>
      <c r="B77" s="66" t="s">
        <v>106</v>
      </c>
    </row>
    <row r="78" spans="1:8" ht="18.75" x14ac:dyDescent="0.3">
      <c r="A78" s="66"/>
      <c r="B78" s="66"/>
    </row>
    <row r="79" spans="1:8" ht="26.25" customHeight="1" x14ac:dyDescent="0.4">
      <c r="A79" s="67" t="s">
        <v>4</v>
      </c>
      <c r="B79" s="325" t="str">
        <f>B26</f>
        <v>Artesunate</v>
      </c>
      <c r="C79" s="325"/>
    </row>
    <row r="80" spans="1:8" ht="26.25" customHeight="1" x14ac:dyDescent="0.4">
      <c r="A80" s="68" t="s">
        <v>44</v>
      </c>
      <c r="B80" s="325" t="str">
        <f>B27</f>
        <v>A15 1</v>
      </c>
      <c r="C80" s="325"/>
    </row>
    <row r="81" spans="1:12" ht="27" customHeight="1" x14ac:dyDescent="0.4">
      <c r="A81" s="68" t="s">
        <v>6</v>
      </c>
      <c r="B81" s="167">
        <f>B28</f>
        <v>99.7</v>
      </c>
    </row>
    <row r="82" spans="1:12" s="14" customFormat="1" ht="27" customHeight="1" x14ac:dyDescent="0.4">
      <c r="A82" s="68" t="s">
        <v>45</v>
      </c>
      <c r="B82" s="70">
        <v>0</v>
      </c>
      <c r="C82" s="304" t="s">
        <v>46</v>
      </c>
      <c r="D82" s="305"/>
      <c r="E82" s="305"/>
      <c r="F82" s="305"/>
      <c r="G82" s="306"/>
      <c r="I82" s="71"/>
      <c r="J82" s="71"/>
      <c r="K82" s="71"/>
      <c r="L82" s="71"/>
    </row>
    <row r="83" spans="1:12" s="14" customFormat="1" ht="19.5" customHeight="1" x14ac:dyDescent="0.3">
      <c r="A83" s="68" t="s">
        <v>47</v>
      </c>
      <c r="B83" s="72">
        <f>B81-B82</f>
        <v>99.7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">
      <c r="A84" s="68" t="s">
        <v>48</v>
      </c>
      <c r="B84" s="75">
        <v>1</v>
      </c>
      <c r="C84" s="307" t="s">
        <v>107</v>
      </c>
      <c r="D84" s="308"/>
      <c r="E84" s="308"/>
      <c r="F84" s="308"/>
      <c r="G84" s="308"/>
      <c r="H84" s="309"/>
      <c r="I84" s="71"/>
      <c r="J84" s="71"/>
      <c r="K84" s="71"/>
      <c r="L84" s="71"/>
    </row>
    <row r="85" spans="1:12" s="14" customFormat="1" ht="27" customHeight="1" x14ac:dyDescent="0.4">
      <c r="A85" s="68" t="s">
        <v>50</v>
      </c>
      <c r="B85" s="75">
        <v>1</v>
      </c>
      <c r="C85" s="307" t="s">
        <v>108</v>
      </c>
      <c r="D85" s="308"/>
      <c r="E85" s="308"/>
      <c r="F85" s="308"/>
      <c r="G85" s="308"/>
      <c r="H85" s="309"/>
      <c r="I85" s="71"/>
      <c r="J85" s="71"/>
      <c r="K85" s="71"/>
      <c r="L85" s="71"/>
    </row>
    <row r="86" spans="1:12" s="14" customFormat="1" ht="18.75" x14ac:dyDescent="0.3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.75" x14ac:dyDescent="0.3">
      <c r="A87" s="68" t="s">
        <v>52</v>
      </c>
      <c r="B87" s="80">
        <f>B84/B85</f>
        <v>1</v>
      </c>
      <c r="C87" s="58" t="s">
        <v>53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">
      <c r="A88" s="66"/>
      <c r="B88" s="66"/>
    </row>
    <row r="89" spans="1:12" ht="27" customHeight="1" x14ac:dyDescent="0.4">
      <c r="A89" s="81" t="s">
        <v>54</v>
      </c>
      <c r="B89" s="82">
        <v>5</v>
      </c>
      <c r="D89" s="168" t="s">
        <v>55</v>
      </c>
      <c r="E89" s="169"/>
      <c r="F89" s="310" t="s">
        <v>56</v>
      </c>
      <c r="G89" s="311"/>
    </row>
    <row r="90" spans="1:12" ht="27" customHeight="1" x14ac:dyDescent="0.4">
      <c r="A90" s="83" t="s">
        <v>57</v>
      </c>
      <c r="B90" s="84">
        <v>0.5</v>
      </c>
      <c r="C90" s="170" t="s">
        <v>58</v>
      </c>
      <c r="D90" s="86" t="s">
        <v>59</v>
      </c>
      <c r="E90" s="87" t="s">
        <v>60</v>
      </c>
      <c r="F90" s="86" t="s">
        <v>59</v>
      </c>
      <c r="G90" s="171" t="s">
        <v>60</v>
      </c>
      <c r="I90" s="89" t="s">
        <v>61</v>
      </c>
    </row>
    <row r="91" spans="1:12" ht="26.25" customHeight="1" x14ac:dyDescent="0.4">
      <c r="A91" s="83" t="s">
        <v>62</v>
      </c>
      <c r="B91" s="84">
        <v>20</v>
      </c>
      <c r="C91" s="172">
        <v>1</v>
      </c>
      <c r="D91" s="91">
        <v>4700073</v>
      </c>
      <c r="E91" s="92">
        <f>IF(ISBLANK(D91),"-",$D$101/$D$98*D91)</f>
        <v>4063979.0059834681</v>
      </c>
      <c r="F91" s="91">
        <v>4285064</v>
      </c>
      <c r="G91" s="93">
        <f>IF(ISBLANK(F91),"-",$D$101/$F$98*F91)</f>
        <v>4035641.1958881337</v>
      </c>
      <c r="I91" s="94"/>
    </row>
    <row r="92" spans="1:12" ht="26.25" customHeight="1" x14ac:dyDescent="0.4">
      <c r="A92" s="83" t="s">
        <v>63</v>
      </c>
      <c r="B92" s="84">
        <v>1</v>
      </c>
      <c r="C92" s="156">
        <v>2</v>
      </c>
      <c r="D92" s="96">
        <v>4759658</v>
      </c>
      <c r="E92" s="97">
        <f>IF(ISBLANK(D92),"-",$D$101/$D$98*D92)</f>
        <v>4115499.9481202234</v>
      </c>
      <c r="F92" s="96">
        <v>4335670</v>
      </c>
      <c r="G92" s="98">
        <f>IF(ISBLANK(F92),"-",$D$101/$F$98*F92)</f>
        <v>4083301.5478359964</v>
      </c>
      <c r="I92" s="312">
        <f>ABS((F96/D96*D95)-F95)/D95</f>
        <v>8.4571650190101415E-3</v>
      </c>
    </row>
    <row r="93" spans="1:12" ht="26.25" customHeight="1" x14ac:dyDescent="0.4">
      <c r="A93" s="83" t="s">
        <v>64</v>
      </c>
      <c r="B93" s="84">
        <v>1</v>
      </c>
      <c r="C93" s="156">
        <v>3</v>
      </c>
      <c r="D93" s="96">
        <v>4743470</v>
      </c>
      <c r="E93" s="97">
        <f>IF(ISBLANK(D93),"-",$D$101/$D$98*D93)</f>
        <v>4101502.7842147136</v>
      </c>
      <c r="F93" s="96">
        <v>4299155</v>
      </c>
      <c r="G93" s="98">
        <f>IF(ISBLANK(F93),"-",$D$101/$F$98*F93)</f>
        <v>4048911.9941985579</v>
      </c>
      <c r="I93" s="312"/>
    </row>
    <row r="94" spans="1:12" ht="27" customHeight="1" x14ac:dyDescent="0.4">
      <c r="A94" s="83" t="s">
        <v>65</v>
      </c>
      <c r="B94" s="84">
        <v>1</v>
      </c>
      <c r="C94" s="173">
        <v>4</v>
      </c>
      <c r="D94" s="101"/>
      <c r="E94" s="102" t="str">
        <f>IF(ISBLANK(D94),"-",$D$101/$D$98*D94)</f>
        <v>-</v>
      </c>
      <c r="F94" s="174"/>
      <c r="G94" s="103" t="str">
        <f>IF(ISBLANK(F94),"-",$D$101/$F$98*F94)</f>
        <v>-</v>
      </c>
      <c r="I94" s="104"/>
    </row>
    <row r="95" spans="1:12" ht="27" customHeight="1" x14ac:dyDescent="0.4">
      <c r="A95" s="83" t="s">
        <v>66</v>
      </c>
      <c r="B95" s="84">
        <v>1</v>
      </c>
      <c r="C95" s="175" t="s">
        <v>67</v>
      </c>
      <c r="D95" s="176">
        <f>AVERAGE(D91:D94)</f>
        <v>4734400.333333333</v>
      </c>
      <c r="E95" s="107">
        <f>AVERAGE(E91:E94)</f>
        <v>4093660.5794394687</v>
      </c>
      <c r="F95" s="177">
        <f>AVERAGE(F91:F94)</f>
        <v>4306629.666666667</v>
      </c>
      <c r="G95" s="178">
        <f>AVERAGE(G91:G94)</f>
        <v>4055951.5793075622</v>
      </c>
    </row>
    <row r="96" spans="1:12" ht="26.25" customHeight="1" x14ac:dyDescent="0.4">
      <c r="A96" s="83" t="s">
        <v>68</v>
      </c>
      <c r="B96" s="69">
        <v>1</v>
      </c>
      <c r="C96" s="179" t="s">
        <v>109</v>
      </c>
      <c r="D96" s="180">
        <v>23.2</v>
      </c>
      <c r="E96" s="99"/>
      <c r="F96" s="111">
        <v>21.3</v>
      </c>
    </row>
    <row r="97" spans="1:10" ht="26.25" customHeight="1" x14ac:dyDescent="0.4">
      <c r="A97" s="83" t="s">
        <v>70</v>
      </c>
      <c r="B97" s="69">
        <v>1</v>
      </c>
      <c r="C97" s="181" t="s">
        <v>110</v>
      </c>
      <c r="D97" s="182">
        <f>D96*$B$87</f>
        <v>23.2</v>
      </c>
      <c r="E97" s="114"/>
      <c r="F97" s="113">
        <f>F96*$B$87</f>
        <v>21.3</v>
      </c>
    </row>
    <row r="98" spans="1:10" ht="19.5" customHeight="1" x14ac:dyDescent="0.3">
      <c r="A98" s="83" t="s">
        <v>72</v>
      </c>
      <c r="B98" s="183">
        <f>(B97/B96)*(B95/B94)*(B93/B92)*(B91/B90)*B89</f>
        <v>200</v>
      </c>
      <c r="C98" s="181" t="s">
        <v>111</v>
      </c>
      <c r="D98" s="184">
        <f>D97*$B$83/100</f>
        <v>23.130399999999998</v>
      </c>
      <c r="E98" s="117"/>
      <c r="F98" s="116">
        <f>F97*$B$83/100</f>
        <v>21.2361</v>
      </c>
    </row>
    <row r="99" spans="1:10" ht="19.5" customHeight="1" x14ac:dyDescent="0.3">
      <c r="A99" s="298" t="s">
        <v>74</v>
      </c>
      <c r="B99" s="313"/>
      <c r="C99" s="181" t="s">
        <v>112</v>
      </c>
      <c r="D99" s="185">
        <f>D98/$B$98</f>
        <v>0.11565199999999999</v>
      </c>
      <c r="E99" s="117"/>
      <c r="F99" s="120">
        <f>F98/$B$98</f>
        <v>0.1061805</v>
      </c>
      <c r="G99" s="186"/>
      <c r="H99" s="109"/>
    </row>
    <row r="100" spans="1:10" ht="19.5" customHeight="1" x14ac:dyDescent="0.3">
      <c r="A100" s="300"/>
      <c r="B100" s="314"/>
      <c r="C100" s="181" t="s">
        <v>76</v>
      </c>
      <c r="D100" s="187">
        <f>$B$56/$B$116</f>
        <v>0.1</v>
      </c>
      <c r="F100" s="125"/>
      <c r="G100" s="188"/>
      <c r="H100" s="109"/>
    </row>
    <row r="101" spans="1:10" ht="18.75" x14ac:dyDescent="0.3">
      <c r="C101" s="181" t="s">
        <v>77</v>
      </c>
      <c r="D101" s="182">
        <f>D100*$B$98</f>
        <v>20</v>
      </c>
      <c r="F101" s="125"/>
      <c r="G101" s="186"/>
      <c r="H101" s="109"/>
    </row>
    <row r="102" spans="1:10" ht="19.5" customHeight="1" x14ac:dyDescent="0.3">
      <c r="C102" s="189" t="s">
        <v>78</v>
      </c>
      <c r="D102" s="190">
        <f>D101/B34</f>
        <v>20</v>
      </c>
      <c r="F102" s="129"/>
      <c r="G102" s="186"/>
      <c r="H102" s="109"/>
      <c r="J102" s="191"/>
    </row>
    <row r="103" spans="1:10" ht="18.75" x14ac:dyDescent="0.3">
      <c r="C103" s="192" t="s">
        <v>113</v>
      </c>
      <c r="D103" s="193">
        <f>AVERAGE(E91:E94,G91:G94)</f>
        <v>4074806.0793735157</v>
      </c>
      <c r="F103" s="129"/>
      <c r="G103" s="194"/>
      <c r="H103" s="109"/>
      <c r="J103" s="195"/>
    </row>
    <row r="104" spans="1:10" ht="18.75" x14ac:dyDescent="0.3">
      <c r="C104" s="159" t="s">
        <v>80</v>
      </c>
      <c r="D104" s="196">
        <f>STDEV(E91:E94,G91:G94)/D103</f>
        <v>7.5740005132348132E-3</v>
      </c>
      <c r="F104" s="129"/>
      <c r="G104" s="186"/>
      <c r="H104" s="109"/>
      <c r="J104" s="195"/>
    </row>
    <row r="105" spans="1:10" ht="19.5" customHeight="1" x14ac:dyDescent="0.3">
      <c r="C105" s="161" t="s">
        <v>16</v>
      </c>
      <c r="D105" s="197">
        <f>COUNT(E91:E94,G91:G94)</f>
        <v>6</v>
      </c>
      <c r="F105" s="129"/>
      <c r="G105" s="186"/>
      <c r="H105" s="109"/>
      <c r="J105" s="195"/>
    </row>
    <row r="106" spans="1:10" ht="19.5" customHeight="1" x14ac:dyDescent="0.3">
      <c r="A106" s="133"/>
      <c r="B106" s="133"/>
      <c r="C106" s="133"/>
      <c r="D106" s="133"/>
      <c r="E106" s="133"/>
    </row>
    <row r="107" spans="1:10" ht="26.25" customHeight="1" x14ac:dyDescent="0.4">
      <c r="A107" s="81" t="s">
        <v>114</v>
      </c>
      <c r="B107" s="82">
        <v>500</v>
      </c>
      <c r="C107" s="198" t="s">
        <v>115</v>
      </c>
      <c r="D107" s="199" t="s">
        <v>59</v>
      </c>
      <c r="E107" s="200" t="s">
        <v>116</v>
      </c>
      <c r="F107" s="201" t="s">
        <v>117</v>
      </c>
    </row>
    <row r="108" spans="1:10" ht="26.25" customHeight="1" x14ac:dyDescent="0.4">
      <c r="A108" s="83" t="s">
        <v>118</v>
      </c>
      <c r="B108" s="84">
        <v>1</v>
      </c>
      <c r="C108" s="202">
        <v>1</v>
      </c>
      <c r="D108" s="203">
        <v>3817103</v>
      </c>
      <c r="E108" s="234">
        <f t="shared" ref="E108:E113" si="1">IF(ISBLANK(D108),"-",D108/$D$103*$D$100*$B$116)</f>
        <v>46.837848545995882</v>
      </c>
      <c r="F108" s="204">
        <f t="shared" ref="F108:F113" si="2">IF(ISBLANK(D108), "-", E108/$B$56)</f>
        <v>0.93675697091991761</v>
      </c>
    </row>
    <row r="109" spans="1:10" ht="26.25" customHeight="1" x14ac:dyDescent="0.4">
      <c r="A109" s="83" t="s">
        <v>91</v>
      </c>
      <c r="B109" s="84">
        <v>1</v>
      </c>
      <c r="C109" s="202">
        <v>2</v>
      </c>
      <c r="D109" s="203">
        <v>3792673</v>
      </c>
      <c r="E109" s="235">
        <f t="shared" si="1"/>
        <v>46.538079679402905</v>
      </c>
      <c r="F109" s="205">
        <f t="shared" si="2"/>
        <v>0.9307615935880581</v>
      </c>
    </row>
    <row r="110" spans="1:10" ht="26.25" customHeight="1" x14ac:dyDescent="0.4">
      <c r="A110" s="83" t="s">
        <v>92</v>
      </c>
      <c r="B110" s="84">
        <v>1</v>
      </c>
      <c r="C110" s="202">
        <v>3</v>
      </c>
      <c r="D110" s="203">
        <v>3911901</v>
      </c>
      <c r="E110" s="235">
        <f t="shared" si="1"/>
        <v>48.00106954539342</v>
      </c>
      <c r="F110" s="205">
        <f t="shared" si="2"/>
        <v>0.96002139090786842</v>
      </c>
    </row>
    <row r="111" spans="1:10" ht="26.25" customHeight="1" x14ac:dyDescent="0.4">
      <c r="A111" s="83" t="s">
        <v>93</v>
      </c>
      <c r="B111" s="84">
        <v>1</v>
      </c>
      <c r="C111" s="202">
        <v>4</v>
      </c>
      <c r="D111" s="203">
        <v>3832646</v>
      </c>
      <c r="E111" s="235">
        <f t="shared" si="1"/>
        <v>47.028569278433658</v>
      </c>
      <c r="F111" s="205">
        <f t="shared" si="2"/>
        <v>0.94057138556867315</v>
      </c>
    </row>
    <row r="112" spans="1:10" ht="26.25" customHeight="1" x14ac:dyDescent="0.4">
      <c r="A112" s="83" t="s">
        <v>94</v>
      </c>
      <c r="B112" s="84">
        <v>1</v>
      </c>
      <c r="C112" s="202">
        <v>5</v>
      </c>
      <c r="D112" s="203">
        <v>3880945</v>
      </c>
      <c r="E112" s="235">
        <f t="shared" si="1"/>
        <v>47.621223248453084</v>
      </c>
      <c r="F112" s="205">
        <f t="shared" si="2"/>
        <v>0.95242446496906163</v>
      </c>
    </row>
    <row r="113" spans="1:10" ht="26.25" customHeight="1" x14ac:dyDescent="0.4">
      <c r="A113" s="83" t="s">
        <v>96</v>
      </c>
      <c r="B113" s="84">
        <v>1</v>
      </c>
      <c r="C113" s="206">
        <v>6</v>
      </c>
      <c r="D113" s="207">
        <v>3895390</v>
      </c>
      <c r="E113" s="236">
        <f t="shared" si="1"/>
        <v>47.798470947099652</v>
      </c>
      <c r="F113" s="208">
        <f t="shared" si="2"/>
        <v>0.95596941894199305</v>
      </c>
    </row>
    <row r="114" spans="1:10" ht="26.25" customHeight="1" x14ac:dyDescent="0.4">
      <c r="A114" s="83" t="s">
        <v>97</v>
      </c>
      <c r="B114" s="84">
        <v>1</v>
      </c>
      <c r="C114" s="202"/>
      <c r="D114" s="156"/>
      <c r="E114" s="57"/>
      <c r="F114" s="209"/>
    </row>
    <row r="115" spans="1:10" ht="26.25" customHeight="1" x14ac:dyDescent="0.4">
      <c r="A115" s="83" t="s">
        <v>98</v>
      </c>
      <c r="B115" s="84">
        <v>1</v>
      </c>
      <c r="C115" s="202"/>
      <c r="D115" s="210" t="s">
        <v>67</v>
      </c>
      <c r="E115" s="238">
        <f>AVERAGE(E108:E113)</f>
        <v>47.304210207463093</v>
      </c>
      <c r="F115" s="211">
        <f>AVERAGE(F108:F113)</f>
        <v>0.94608420414926198</v>
      </c>
    </row>
    <row r="116" spans="1:10" ht="27" customHeight="1" x14ac:dyDescent="0.4">
      <c r="A116" s="83" t="s">
        <v>99</v>
      </c>
      <c r="B116" s="115">
        <f>(B115/B114)*(B113/B112)*(B111/B110)*(B109/B108)*B107</f>
        <v>500</v>
      </c>
      <c r="C116" s="212"/>
      <c r="D116" s="175" t="s">
        <v>80</v>
      </c>
      <c r="E116" s="213">
        <f>STDEV(E108:E113)/E115</f>
        <v>1.2365701431188788E-2</v>
      </c>
      <c r="F116" s="213">
        <f>STDEV(F108:F113)/F115</f>
        <v>1.2365701431188795E-2</v>
      </c>
      <c r="I116" s="57"/>
    </row>
    <row r="117" spans="1:10" ht="27" customHeight="1" x14ac:dyDescent="0.4">
      <c r="A117" s="298" t="s">
        <v>74</v>
      </c>
      <c r="B117" s="299"/>
      <c r="C117" s="214"/>
      <c r="D117" s="215" t="s">
        <v>16</v>
      </c>
      <c r="E117" s="216">
        <f>COUNT(E108:E113)</f>
        <v>6</v>
      </c>
      <c r="F117" s="216">
        <f>COUNT(F108:F113)</f>
        <v>6</v>
      </c>
      <c r="I117" s="57"/>
      <c r="J117" s="195"/>
    </row>
    <row r="118" spans="1:10" ht="19.5" customHeight="1" x14ac:dyDescent="0.3">
      <c r="A118" s="300"/>
      <c r="B118" s="301"/>
      <c r="C118" s="57"/>
      <c r="D118" s="57"/>
      <c r="E118" s="57"/>
      <c r="F118" s="156"/>
      <c r="G118" s="57"/>
      <c r="H118" s="57"/>
      <c r="I118" s="57"/>
    </row>
    <row r="119" spans="1:10" ht="18.75" x14ac:dyDescent="0.3">
      <c r="A119" s="225"/>
      <c r="B119" s="79"/>
      <c r="C119" s="57"/>
      <c r="D119" s="57"/>
      <c r="E119" s="57"/>
      <c r="F119" s="156"/>
      <c r="G119" s="57"/>
      <c r="H119" s="57"/>
      <c r="I119" s="57"/>
    </row>
    <row r="120" spans="1:10" ht="26.25" customHeight="1" x14ac:dyDescent="0.4">
      <c r="A120" s="67" t="s">
        <v>102</v>
      </c>
      <c r="B120" s="163" t="s">
        <v>119</v>
      </c>
      <c r="C120" s="302" t="str">
        <f>B20</f>
        <v xml:space="preserve">ARTESUNATE </v>
      </c>
      <c r="D120" s="302"/>
      <c r="E120" s="164" t="s">
        <v>120</v>
      </c>
      <c r="F120" s="164"/>
      <c r="G120" s="165">
        <f>F115</f>
        <v>0.94608420414926198</v>
      </c>
      <c r="H120" s="57"/>
      <c r="I120" s="57"/>
    </row>
    <row r="121" spans="1:10" ht="19.5" customHeight="1" x14ac:dyDescent="0.3">
      <c r="A121" s="217"/>
      <c r="B121" s="217"/>
      <c r="C121" s="218"/>
      <c r="D121" s="218"/>
      <c r="E121" s="218"/>
      <c r="F121" s="218"/>
      <c r="G121" s="218"/>
      <c r="H121" s="218"/>
    </row>
    <row r="122" spans="1:10" ht="18.75" x14ac:dyDescent="0.3">
      <c r="B122" s="303" t="s">
        <v>22</v>
      </c>
      <c r="C122" s="303"/>
      <c r="E122" s="170" t="s">
        <v>23</v>
      </c>
      <c r="F122" s="219"/>
      <c r="G122" s="303" t="s">
        <v>24</v>
      </c>
      <c r="H122" s="303"/>
    </row>
    <row r="123" spans="1:10" ht="69.95" customHeight="1" x14ac:dyDescent="0.3">
      <c r="A123" s="220" t="s">
        <v>25</v>
      </c>
      <c r="B123" s="221"/>
      <c r="C123" s="221"/>
      <c r="E123" s="221"/>
      <c r="F123" s="57"/>
      <c r="G123" s="222"/>
      <c r="H123" s="222"/>
    </row>
    <row r="124" spans="1:10" ht="69.95" customHeight="1" x14ac:dyDescent="0.3">
      <c r="A124" s="220" t="s">
        <v>26</v>
      </c>
      <c r="B124" s="223"/>
      <c r="C124" s="223"/>
      <c r="E124" s="223"/>
      <c r="F124" s="57"/>
      <c r="G124" s="224"/>
      <c r="H124" s="224"/>
    </row>
    <row r="125" spans="1:10" ht="18.75" x14ac:dyDescent="0.3">
      <c r="A125" s="155"/>
      <c r="B125" s="155"/>
      <c r="C125" s="156"/>
      <c r="D125" s="156"/>
      <c r="E125" s="156"/>
      <c r="F125" s="160"/>
      <c r="G125" s="156"/>
      <c r="H125" s="156"/>
      <c r="I125" s="57"/>
    </row>
    <row r="126" spans="1:10" ht="18.75" x14ac:dyDescent="0.3">
      <c r="A126" s="155"/>
      <c r="B126" s="155"/>
      <c r="C126" s="156"/>
      <c r="D126" s="156"/>
      <c r="E126" s="156"/>
      <c r="F126" s="160"/>
      <c r="G126" s="156"/>
      <c r="H126" s="156"/>
      <c r="I126" s="57"/>
    </row>
    <row r="127" spans="1:10" ht="18.75" x14ac:dyDescent="0.3">
      <c r="A127" s="155"/>
      <c r="B127" s="155"/>
      <c r="C127" s="156"/>
      <c r="D127" s="156"/>
      <c r="E127" s="156"/>
      <c r="F127" s="160"/>
      <c r="G127" s="156"/>
      <c r="H127" s="156"/>
      <c r="I127" s="57"/>
    </row>
    <row r="128" spans="1:10" ht="18.75" x14ac:dyDescent="0.3">
      <c r="A128" s="155"/>
      <c r="B128" s="155"/>
      <c r="C128" s="156"/>
      <c r="D128" s="156"/>
      <c r="E128" s="156"/>
      <c r="F128" s="160"/>
      <c r="G128" s="156"/>
      <c r="H128" s="156"/>
      <c r="I128" s="57"/>
    </row>
    <row r="129" spans="1:9" ht="18.75" x14ac:dyDescent="0.3">
      <c r="A129" s="155"/>
      <c r="B129" s="155"/>
      <c r="C129" s="156"/>
      <c r="D129" s="156"/>
      <c r="E129" s="156"/>
      <c r="F129" s="160"/>
      <c r="G129" s="156"/>
      <c r="H129" s="156"/>
      <c r="I129" s="57"/>
    </row>
    <row r="130" spans="1:9" ht="18.75" x14ac:dyDescent="0.3">
      <c r="A130" s="155"/>
      <c r="B130" s="155"/>
      <c r="C130" s="156"/>
      <c r="D130" s="156"/>
      <c r="E130" s="156"/>
      <c r="F130" s="160"/>
      <c r="G130" s="156"/>
      <c r="H130" s="156"/>
      <c r="I130" s="57"/>
    </row>
    <row r="131" spans="1:9" ht="18.75" x14ac:dyDescent="0.3">
      <c r="A131" s="155"/>
      <c r="B131" s="155"/>
      <c r="C131" s="156"/>
      <c r="D131" s="156"/>
      <c r="E131" s="156"/>
      <c r="F131" s="160"/>
      <c r="G131" s="156"/>
      <c r="H131" s="156"/>
      <c r="I131" s="57"/>
    </row>
    <row r="132" spans="1:9" ht="18.75" x14ac:dyDescent="0.3">
      <c r="A132" s="155"/>
      <c r="B132" s="155"/>
      <c r="C132" s="156"/>
      <c r="D132" s="156"/>
      <c r="E132" s="156"/>
      <c r="F132" s="160"/>
      <c r="G132" s="156"/>
      <c r="H132" s="156"/>
      <c r="I132" s="57"/>
    </row>
    <row r="133" spans="1:9" ht="18.75" x14ac:dyDescent="0.3">
      <c r="A133" s="155"/>
      <c r="B133" s="155"/>
      <c r="C133" s="156"/>
      <c r="D133" s="156"/>
      <c r="E133" s="156"/>
      <c r="F133" s="160"/>
      <c r="G133" s="156"/>
      <c r="H133" s="156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ART SST</vt:lpstr>
      <vt:lpstr>AM SST</vt:lpstr>
      <vt:lpstr>Uniformity (2)</vt:lpstr>
      <vt:lpstr>Artesunate</vt:lpstr>
      <vt:lpstr>'Uniformity (2)'!Print_Area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dcterms:created xsi:type="dcterms:W3CDTF">2005-07-05T10:19:27Z</dcterms:created>
  <dcterms:modified xsi:type="dcterms:W3CDTF">2016-07-08T14:44:33Z</dcterms:modified>
</cp:coreProperties>
</file>