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6"/>
  </bookViews>
  <sheets>
    <sheet name="SST Lamivudine" sheetId="1" r:id="rId1"/>
    <sheet name="SST Nevirapine" sheetId="6" r:id="rId2"/>
    <sheet name="SST Zidovudine" sheetId="7" r:id="rId3"/>
    <sheet name="Uniformity" sheetId="2" r:id="rId4"/>
    <sheet name="Lamivudine " sheetId="8" r:id="rId5"/>
    <sheet name="Nevirapine " sheetId="9" r:id="rId6"/>
    <sheet name="Zidovudine " sheetId="10" r:id="rId7"/>
  </sheets>
  <definedNames>
    <definedName name="_xlnm.Print_Area" localSheetId="4">'Lamivudine '!$A$1:$I$124</definedName>
    <definedName name="_xlnm.Print_Area" localSheetId="5">'Nevirapine '!$A$1:$I$124</definedName>
    <definedName name="_xlnm.Print_Area" localSheetId="0">'SST Lamivudine'!$A$15:$G$61</definedName>
    <definedName name="_xlnm.Print_Area" localSheetId="1">'SST Nevirapine'!$A$15:$G$61</definedName>
    <definedName name="_xlnm.Print_Area" localSheetId="2">'SST Zidovudine'!$A$15:$G$61</definedName>
    <definedName name="_xlnm.Print_Area" localSheetId="3">Uniformity!$A$12:$H$54</definedName>
    <definedName name="_xlnm.Print_Area" localSheetId="6">'Zidovudine '!$A$1:$I$124</definedName>
  </definedNames>
  <calcPr calcId="145621"/>
</workbook>
</file>

<file path=xl/calcChain.xml><?xml version="1.0" encoding="utf-8"?>
<calcChain xmlns="http://schemas.openxmlformats.org/spreadsheetml/2006/main">
  <c r="F51" i="7" l="1"/>
  <c r="F51" i="6"/>
  <c r="B42" i="7" l="1"/>
  <c r="B42" i="6"/>
  <c r="B42" i="1"/>
  <c r="C120" i="10" l="1"/>
  <c r="B116" i="10"/>
  <c r="D100" i="10"/>
  <c r="D101" i="10" s="1"/>
  <c r="B98" i="10"/>
  <c r="F97" i="10"/>
  <c r="F98" i="10" s="1"/>
  <c r="F99" i="10" s="1"/>
  <c r="F95" i="10"/>
  <c r="D95" i="10"/>
  <c r="I92" i="10" s="1"/>
  <c r="G94" i="10"/>
  <c r="E94" i="10"/>
  <c r="B87" i="10"/>
  <c r="D97" i="10" s="1"/>
  <c r="D98" i="10" s="1"/>
  <c r="B83" i="10"/>
  <c r="B81" i="10"/>
  <c r="B80" i="10"/>
  <c r="B79" i="10"/>
  <c r="C76" i="10"/>
  <c r="H71" i="10"/>
  <c r="G71" i="10"/>
  <c r="B68" i="10"/>
  <c r="H67" i="10"/>
  <c r="G67" i="10"/>
  <c r="H63" i="10"/>
  <c r="G63" i="10"/>
  <c r="B57" i="10"/>
  <c r="B69" i="10" s="1"/>
  <c r="C56" i="10"/>
  <c r="B55" i="10"/>
  <c r="B45" i="10"/>
  <c r="D48" i="10" s="1"/>
  <c r="F42" i="10"/>
  <c r="D42" i="10"/>
  <c r="G41" i="10"/>
  <c r="E41" i="10"/>
  <c r="B34" i="10"/>
  <c r="F44" i="10" s="1"/>
  <c r="F45" i="10" s="1"/>
  <c r="F46" i="10" s="1"/>
  <c r="B30" i="10"/>
  <c r="C120" i="9"/>
  <c r="B116" i="9"/>
  <c r="D100" i="9"/>
  <c r="B98" i="9"/>
  <c r="D101" i="9" s="1"/>
  <c r="F97" i="9"/>
  <c r="D97" i="9"/>
  <c r="D98" i="9" s="1"/>
  <c r="F95" i="9"/>
  <c r="D95" i="9"/>
  <c r="I92" i="9" s="1"/>
  <c r="G94" i="9"/>
  <c r="E94" i="9"/>
  <c r="B87" i="9"/>
  <c r="B81" i="9"/>
  <c r="B83" i="9" s="1"/>
  <c r="F98" i="9" s="1"/>
  <c r="B80" i="9"/>
  <c r="B79" i="9"/>
  <c r="C76" i="9"/>
  <c r="H71" i="9"/>
  <c r="G71" i="9"/>
  <c r="B68" i="9"/>
  <c r="B69" i="9" s="1"/>
  <c r="H67" i="9"/>
  <c r="G67" i="9"/>
  <c r="H63" i="9"/>
  <c r="G63" i="9"/>
  <c r="B57" i="9"/>
  <c r="C56" i="9"/>
  <c r="B55" i="9"/>
  <c r="B45" i="9"/>
  <c r="D48" i="9" s="1"/>
  <c r="F42" i="9"/>
  <c r="D42" i="9"/>
  <c r="G41" i="9"/>
  <c r="E41" i="9"/>
  <c r="B34" i="9"/>
  <c r="F44" i="9" s="1"/>
  <c r="F45" i="9" s="1"/>
  <c r="F46" i="9" s="1"/>
  <c r="B30" i="9"/>
  <c r="C120" i="8"/>
  <c r="B116" i="8"/>
  <c r="D100" i="8"/>
  <c r="B98" i="8"/>
  <c r="F95" i="8"/>
  <c r="D95" i="8"/>
  <c r="G94" i="8"/>
  <c r="E94" i="8"/>
  <c r="B87" i="8"/>
  <c r="F97" i="8" s="1"/>
  <c r="B81" i="8"/>
  <c r="B83" i="8" s="1"/>
  <c r="B80" i="8"/>
  <c r="B79" i="8"/>
  <c r="C76" i="8"/>
  <c r="H71" i="8"/>
  <c r="G71" i="8"/>
  <c r="B68" i="8"/>
  <c r="H67" i="8"/>
  <c r="G67" i="8"/>
  <c r="H63" i="8"/>
  <c r="G63" i="8"/>
  <c r="B57" i="8"/>
  <c r="B69" i="8" s="1"/>
  <c r="C56" i="8"/>
  <c r="B55" i="8"/>
  <c r="B45" i="8"/>
  <c r="D48" i="8" s="1"/>
  <c r="F44" i="8"/>
  <c r="F45" i="8" s="1"/>
  <c r="F46" i="8" s="1"/>
  <c r="F42" i="8"/>
  <c r="D42" i="8"/>
  <c r="G41" i="8"/>
  <c r="E41" i="8"/>
  <c r="B34" i="8"/>
  <c r="D44" i="8" s="1"/>
  <c r="D45" i="8" s="1"/>
  <c r="D46" i="8" s="1"/>
  <c r="B30" i="8"/>
  <c r="I39" i="10" l="1"/>
  <c r="D99" i="10"/>
  <c r="D101" i="8"/>
  <c r="G93" i="8" s="1"/>
  <c r="I92" i="8"/>
  <c r="I39" i="9"/>
  <c r="I39" i="8"/>
  <c r="G39" i="10"/>
  <c r="G40" i="10"/>
  <c r="D49" i="10"/>
  <c r="G38" i="10"/>
  <c r="D102" i="10"/>
  <c r="G93" i="10"/>
  <c r="E92" i="10"/>
  <c r="E93" i="10"/>
  <c r="G91" i="10"/>
  <c r="E91" i="10"/>
  <c r="G92" i="10"/>
  <c r="D44" i="10"/>
  <c r="D45" i="10" s="1"/>
  <c r="D46" i="10" s="1"/>
  <c r="D49" i="9"/>
  <c r="G40" i="9"/>
  <c r="G38" i="9"/>
  <c r="G39" i="9"/>
  <c r="D99" i="9"/>
  <c r="E93" i="9"/>
  <c r="E91" i="9"/>
  <c r="F99" i="9"/>
  <c r="G91" i="9"/>
  <c r="D44" i="9"/>
  <c r="D45" i="9" s="1"/>
  <c r="D46" i="9" s="1"/>
  <c r="E92" i="9"/>
  <c r="G93" i="9"/>
  <c r="D102" i="9"/>
  <c r="G92" i="9"/>
  <c r="D102" i="8"/>
  <c r="G91" i="8"/>
  <c r="G92" i="8"/>
  <c r="F98" i="8"/>
  <c r="F99" i="8" s="1"/>
  <c r="D49" i="8"/>
  <c r="E40" i="8"/>
  <c r="G38" i="8"/>
  <c r="E38" i="8"/>
  <c r="G40" i="8"/>
  <c r="G39" i="8"/>
  <c r="E39" i="8"/>
  <c r="D97" i="8"/>
  <c r="D98" i="8" s="1"/>
  <c r="D99" i="8" s="1"/>
  <c r="B31" i="7"/>
  <c r="B21" i="7"/>
  <c r="B21" i="6"/>
  <c r="B21" i="1"/>
  <c r="B53" i="7"/>
  <c r="E51" i="7"/>
  <c r="D51" i="7"/>
  <c r="C51" i="7"/>
  <c r="B51" i="7"/>
  <c r="B52" i="7" s="1"/>
  <c r="B32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E92" i="8" l="1"/>
  <c r="E91" i="8"/>
  <c r="G95" i="8"/>
  <c r="G42" i="8"/>
  <c r="G42" i="10"/>
  <c r="E38" i="9"/>
  <c r="E38" i="10"/>
  <c r="E95" i="10"/>
  <c r="D105" i="10"/>
  <c r="D103" i="10"/>
  <c r="E39" i="10"/>
  <c r="E40" i="10"/>
  <c r="G95" i="10"/>
  <c r="D105" i="9"/>
  <c r="D103" i="9"/>
  <c r="E95" i="9"/>
  <c r="G42" i="9"/>
  <c r="E40" i="9"/>
  <c r="G95" i="9"/>
  <c r="E39" i="9"/>
  <c r="D52" i="8"/>
  <c r="D50" i="8"/>
  <c r="E42" i="8"/>
  <c r="E93" i="8"/>
  <c r="C50" i="2"/>
  <c r="D49" i="2"/>
  <c r="C46" i="2"/>
  <c r="C45" i="2"/>
  <c r="D43" i="2"/>
  <c r="D39" i="2"/>
  <c r="D37" i="2"/>
  <c r="D35" i="2"/>
  <c r="D34" i="2"/>
  <c r="D33" i="2"/>
  <c r="D31" i="2"/>
  <c r="D30" i="2"/>
  <c r="D29" i="2"/>
  <c r="D27" i="2"/>
  <c r="D26" i="2"/>
  <c r="D25" i="2"/>
  <c r="C19" i="2"/>
  <c r="B53" i="1"/>
  <c r="E51" i="1"/>
  <c r="D51" i="1"/>
  <c r="C51" i="1"/>
  <c r="B51" i="1"/>
  <c r="B52" i="1" s="1"/>
  <c r="B32" i="1"/>
  <c r="B31" i="1"/>
  <c r="E42" i="9" l="1"/>
  <c r="E95" i="8"/>
  <c r="D52" i="9"/>
  <c r="D52" i="10"/>
  <c r="D50" i="10"/>
  <c r="E42" i="10"/>
  <c r="E112" i="10"/>
  <c r="F112" i="10" s="1"/>
  <c r="E110" i="10"/>
  <c r="F110" i="10" s="1"/>
  <c r="E108" i="10"/>
  <c r="E113" i="10"/>
  <c r="F113" i="10" s="1"/>
  <c r="E111" i="10"/>
  <c r="F111" i="10" s="1"/>
  <c r="E109" i="10"/>
  <c r="F109" i="10" s="1"/>
  <c r="D104" i="10"/>
  <c r="D50" i="9"/>
  <c r="E113" i="9"/>
  <c r="F113" i="9" s="1"/>
  <c r="E111" i="9"/>
  <c r="F111" i="9" s="1"/>
  <c r="E109" i="9"/>
  <c r="F109" i="9" s="1"/>
  <c r="D104" i="9"/>
  <c r="E112" i="9"/>
  <c r="F112" i="9" s="1"/>
  <c r="E110" i="9"/>
  <c r="F110" i="9" s="1"/>
  <c r="E108" i="9"/>
  <c r="D103" i="8"/>
  <c r="D105" i="8"/>
  <c r="G68" i="8"/>
  <c r="H68" i="8" s="1"/>
  <c r="G69" i="8"/>
  <c r="H69" i="8" s="1"/>
  <c r="G62" i="8"/>
  <c r="H62" i="8" s="1"/>
  <c r="G66" i="8"/>
  <c r="H66" i="8" s="1"/>
  <c r="G64" i="8"/>
  <c r="H64" i="8" s="1"/>
  <c r="G60" i="8"/>
  <c r="D51" i="8"/>
  <c r="G61" i="8"/>
  <c r="H61" i="8" s="1"/>
  <c r="G70" i="8"/>
  <c r="H70" i="8" s="1"/>
  <c r="G65" i="8"/>
  <c r="H65" i="8" s="1"/>
  <c r="D50" i="2"/>
  <c r="B49" i="2"/>
  <c r="D42" i="2"/>
  <c r="D38" i="2"/>
  <c r="D24" i="2"/>
  <c r="D28" i="2"/>
  <c r="D32" i="2"/>
  <c r="D36" i="2"/>
  <c r="D41" i="2"/>
  <c r="C49" i="2"/>
  <c r="D40" i="2"/>
  <c r="E115" i="10" l="1"/>
  <c r="E116" i="10" s="1"/>
  <c r="E117" i="10"/>
  <c r="F108" i="10"/>
  <c r="G68" i="10"/>
  <c r="H68" i="10" s="1"/>
  <c r="G69" i="10"/>
  <c r="H69" i="10" s="1"/>
  <c r="G66" i="10"/>
  <c r="H66" i="10" s="1"/>
  <c r="G64" i="10"/>
  <c r="H64" i="10" s="1"/>
  <c r="G62" i="10"/>
  <c r="H62" i="10" s="1"/>
  <c r="G60" i="10"/>
  <c r="D51" i="10"/>
  <c r="G70" i="10"/>
  <c r="H70" i="10" s="1"/>
  <c r="G65" i="10"/>
  <c r="H65" i="10" s="1"/>
  <c r="G61" i="10"/>
  <c r="H61" i="10" s="1"/>
  <c r="G69" i="9"/>
  <c r="H69" i="9" s="1"/>
  <c r="G66" i="9"/>
  <c r="H66" i="9" s="1"/>
  <c r="G62" i="9"/>
  <c r="H62" i="9" s="1"/>
  <c r="D51" i="9"/>
  <c r="G70" i="9"/>
  <c r="H70" i="9" s="1"/>
  <c r="G65" i="9"/>
  <c r="H65" i="9" s="1"/>
  <c r="G61" i="9"/>
  <c r="H61" i="9" s="1"/>
  <c r="G68" i="9"/>
  <c r="H68" i="9" s="1"/>
  <c r="G64" i="9"/>
  <c r="H64" i="9" s="1"/>
  <c r="G60" i="9"/>
  <c r="E117" i="9"/>
  <c r="F108" i="9"/>
  <c r="E115" i="9"/>
  <c r="E116" i="9" s="1"/>
  <c r="E112" i="8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H60" i="8"/>
  <c r="G72" i="8"/>
  <c r="G73" i="8" s="1"/>
  <c r="G74" i="8"/>
  <c r="G74" i="10" l="1"/>
  <c r="G72" i="10"/>
  <c r="G73" i="10" s="1"/>
  <c r="H60" i="10"/>
  <c r="F117" i="10"/>
  <c r="F115" i="10"/>
  <c r="G74" i="9"/>
  <c r="G72" i="9"/>
  <c r="G73" i="9" s="1"/>
  <c r="H60" i="9"/>
  <c r="F117" i="9"/>
  <c r="F115" i="9"/>
  <c r="E115" i="8"/>
  <c r="E116" i="8" s="1"/>
  <c r="E117" i="8"/>
  <c r="F108" i="8"/>
  <c r="H74" i="8"/>
  <c r="H72" i="8"/>
  <c r="H74" i="10" l="1"/>
  <c r="H72" i="10"/>
  <c r="G120" i="10"/>
  <c r="F116" i="10"/>
  <c r="H74" i="9"/>
  <c r="H72" i="9"/>
  <c r="G120" i="9"/>
  <c r="F116" i="9"/>
  <c r="F117" i="8"/>
  <c r="F115" i="8"/>
  <c r="G76" i="8"/>
  <c r="H73" i="8"/>
  <c r="G76" i="10" l="1"/>
  <c r="H73" i="10"/>
  <c r="G76" i="9"/>
  <c r="H73" i="9"/>
  <c r="G120" i="8"/>
  <c r="F116" i="8"/>
</calcChain>
</file>

<file path=xl/sharedStrings.xml><?xml version="1.0" encoding="utf-8"?>
<sst xmlns="http://schemas.openxmlformats.org/spreadsheetml/2006/main" count="652" uniqueCount="137">
  <si>
    <t>HPLC System Suitability Report</t>
  </si>
  <si>
    <t>Analysis Data</t>
  </si>
  <si>
    <t>Assay</t>
  </si>
  <si>
    <t>Sample(s)</t>
  </si>
  <si>
    <t>Reference Substance:</t>
  </si>
  <si>
    <t>LAMIVUDINE, ZIDOVUDINE and NEVIRAPINE TABLETS FOR ORAL SUSPENSION</t>
  </si>
  <si>
    <t>% age Purity:</t>
  </si>
  <si>
    <t>NDQD201603785</t>
  </si>
  <si>
    <t>Weight (mg):</t>
  </si>
  <si>
    <t xml:space="preserve">Lamivudine   Zidovudine  Nevirapine  </t>
  </si>
  <si>
    <t>Standard Conc (mg/mL):</t>
  </si>
  <si>
    <t xml:space="preserve">Each tablet contains: Lamivudine 30mg + Zidovudine 60mg + Nevirapine 50mg </t>
  </si>
  <si>
    <t>2016-03-04 12:54:30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</si>
  <si>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</si>
  <si>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</si>
  <si>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</si>
  <si>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</si>
  <si>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</si>
  <si>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</si>
  <si>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</si>
  <si>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</si>
  <si>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</si>
  <si>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</si>
  <si>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</si>
  <si>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</si>
  <si>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</si>
  <si>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</si>
  <si>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</si>
  <si>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</si>
  <si>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</si>
  <si>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</si>
  <si>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</si>
  <si>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</si>
  <si>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</si>
  <si>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</si>
  <si>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</si>
  <si>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</si>
  <si>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</si>
  <si>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</si>
  <si>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</si>
  <si>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</si>
  <si>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</si>
  <si>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</si>
  <si>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</si>
  <si>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</si>
  <si>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</si>
  <si>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</si>
  <si>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</si>
  <si>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</si>
  <si>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</si>
  <si>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</si>
  <si>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</si>
  <si>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</si>
  <si>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</si>
  <si>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</si>
  <si>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</si>
  <si>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</si>
  <si>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</si>
  <si>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</si>
  <si>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</si>
  <si>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</si>
  <si>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</si>
  <si>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</si>
  <si>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</si>
  <si>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</si>
  <si>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</si>
  <si>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</si>
  <si>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</si>
  <si>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</si>
  <si>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</si>
  <si>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</si>
  <si>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</si>
  <si>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</si>
  <si>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</si>
  <si>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</si>
  <si>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</si>
  <si>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</si>
  <si>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</si>
  <si>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</si>
  <si>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</si>
  <si>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</si>
  <si>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</si>
  <si>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</si>
  <si>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</si>
  <si>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</si>
  <si>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</si>
  <si>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</si>
  <si>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</si>
  <si>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</si>
  <si>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</si>
  <si>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</si>
  <si>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</si>
  <si>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</si>
  <si>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</si>
  <si>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</si>
  <si>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</si>
  <si>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</si>
  <si>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</si>
  <si>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</si>
  <si>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</si>
  <si>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</si>
  <si>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</si>
  <si>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</si>
  <si>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</si>
  <si>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</si>
  <si>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</si>
  <si>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</si>
  <si>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</si>
  <si>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</si>
  <si>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</si>
  <si>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</si>
  <si>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</si>
  <si>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</si>
  <si>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</si>
  <si>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</si>
  <si>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</si>
  <si>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</si>
  <si>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</si>
  <si>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</si>
  <si>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</si>
  <si>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</si>
  <si>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</si>
  <si>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</si>
  <si>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</si>
  <si>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</si>
  <si>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Lamivudine  </t>
  </si>
  <si>
    <t xml:space="preserve">Nevirapine  </t>
  </si>
  <si>
    <t xml:space="preserve">Zidovudine </t>
  </si>
  <si>
    <t>Lamivudine</t>
  </si>
  <si>
    <t>Nevirapine</t>
  </si>
  <si>
    <t>Zidovudine</t>
  </si>
  <si>
    <t>Z1-3</t>
  </si>
  <si>
    <t>N1-3</t>
  </si>
  <si>
    <t>L3-9</t>
  </si>
  <si>
    <t>RUTTO/JOYFRIDA</t>
  </si>
  <si>
    <t>13/05/2016</t>
  </si>
  <si>
    <t>Peak 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</si>
</sst>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14" fontId="6" fillId="2" borderId="0" xfId="0" applyNumberFormat="1" applyFont="1" applyFill="1"/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8" workbookViewId="0">
      <selection activeCell="C32" sqref="C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65" t="s">
        <v>0</v>
      </c>
      <c r="B15" s="265"/>
      <c r="C15" s="265"/>
      <c r="D15" s="265"/>
      <c r="E15" s="26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128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8</v>
      </c>
      <c r="B20" s="12">
        <v>15</v>
      </c>
      <c r="C20" s="10"/>
      <c r="D20" s="10"/>
      <c r="E20" s="10"/>
    </row>
    <row r="21" spans="1:6" ht="16.5" customHeight="1" x14ac:dyDescent="0.3">
      <c r="A21" s="7" t="s">
        <v>10</v>
      </c>
      <c r="B21" s="13">
        <f>15/20*4/20</f>
        <v>0.15</v>
      </c>
      <c r="C21" s="10"/>
      <c r="D21" s="10"/>
      <c r="E21" s="10"/>
    </row>
    <row r="22" spans="1:6" ht="15.75" customHeight="1" x14ac:dyDescent="0.25">
      <c r="A22" s="10"/>
      <c r="B22" s="257">
        <v>42485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147329815</v>
      </c>
      <c r="C24" s="18">
        <v>4070.9</v>
      </c>
      <c r="D24" s="19">
        <v>1.1000000000000001</v>
      </c>
      <c r="E24" s="20">
        <v>3.7</v>
      </c>
    </row>
    <row r="25" spans="1:6" ht="16.5" customHeight="1" x14ac:dyDescent="0.3">
      <c r="A25" s="17">
        <v>2</v>
      </c>
      <c r="B25" s="18">
        <v>146340797</v>
      </c>
      <c r="C25" s="18">
        <v>4115</v>
      </c>
      <c r="D25" s="19">
        <v>1.1000000000000001</v>
      </c>
      <c r="E25" s="19">
        <v>3.7</v>
      </c>
    </row>
    <row r="26" spans="1:6" ht="16.5" customHeight="1" x14ac:dyDescent="0.3">
      <c r="A26" s="17">
        <v>3</v>
      </c>
      <c r="B26" s="18">
        <v>146314587</v>
      </c>
      <c r="C26" s="18">
        <v>4180.3999999999996</v>
      </c>
      <c r="D26" s="19">
        <v>1.1000000000000001</v>
      </c>
      <c r="E26" s="19">
        <v>3.7</v>
      </c>
    </row>
    <row r="27" spans="1:6" ht="16.5" customHeight="1" x14ac:dyDescent="0.3">
      <c r="A27" s="17">
        <v>4</v>
      </c>
      <c r="B27" s="18">
        <v>146303736</v>
      </c>
      <c r="C27" s="18">
        <v>4225.3</v>
      </c>
      <c r="D27" s="19">
        <v>1.1000000000000001</v>
      </c>
      <c r="E27" s="19">
        <v>3.7</v>
      </c>
    </row>
    <row r="28" spans="1:6" ht="16.5" customHeight="1" x14ac:dyDescent="0.3">
      <c r="A28" s="17">
        <v>5</v>
      </c>
      <c r="B28" s="18">
        <v>146406772</v>
      </c>
      <c r="C28" s="18">
        <v>4240</v>
      </c>
      <c r="D28" s="19">
        <v>1.1000000000000001</v>
      </c>
      <c r="E28" s="19">
        <v>3.7</v>
      </c>
    </row>
    <row r="29" spans="1:6" ht="16.5" customHeight="1" x14ac:dyDescent="0.3">
      <c r="A29" s="17">
        <v>6</v>
      </c>
      <c r="B29" s="21">
        <v>146376116</v>
      </c>
      <c r="C29" s="21">
        <v>4257.8</v>
      </c>
      <c r="D29" s="22">
        <v>1.1000000000000001</v>
      </c>
      <c r="E29" s="22">
        <v>3.7</v>
      </c>
    </row>
    <row r="30" spans="1:6" ht="16.5" customHeight="1" x14ac:dyDescent="0.3">
      <c r="A30" s="23" t="s">
        <v>18</v>
      </c>
      <c r="B30" s="24">
        <v>146341709.5</v>
      </c>
      <c r="C30" s="25">
        <v>4181.5666666666666</v>
      </c>
      <c r="D30" s="26">
        <v>1.0999999999999999</v>
      </c>
      <c r="E30" s="26">
        <v>3.6999999999999997</v>
      </c>
    </row>
    <row r="31" spans="1:6" ht="16.5" customHeight="1" x14ac:dyDescent="0.3">
      <c r="A31" s="27" t="s">
        <v>19</v>
      </c>
      <c r="B31" s="28">
        <f>(STDEV(B24:B29)/B30)</f>
        <v>2.7503844805596535E-3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128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8</v>
      </c>
      <c r="B41" s="12">
        <v>15</v>
      </c>
      <c r="C41" s="10"/>
      <c r="D41" s="10"/>
      <c r="E41" s="10"/>
    </row>
    <row r="42" spans="1:6" ht="16.5" customHeight="1" x14ac:dyDescent="0.3">
      <c r="A42" s="7" t="s">
        <v>10</v>
      </c>
      <c r="B42" s="13">
        <f>15/100*4/20</f>
        <v>0.03</v>
      </c>
      <c r="C42" s="10"/>
      <c r="D42" s="10"/>
      <c r="E42" s="10"/>
    </row>
    <row r="43" spans="1:6" ht="15.75" customHeight="1" x14ac:dyDescent="0.25">
      <c r="A43" s="10"/>
      <c r="B43" s="257">
        <v>42709</v>
      </c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7940709</v>
      </c>
      <c r="C45" s="18">
        <v>7799</v>
      </c>
      <c r="D45" s="19">
        <v>1.3</v>
      </c>
      <c r="E45" s="20">
        <v>3.5</v>
      </c>
    </row>
    <row r="46" spans="1:6" ht="16.5" customHeight="1" x14ac:dyDescent="0.3">
      <c r="A46" s="17">
        <v>2</v>
      </c>
      <c r="B46" s="18">
        <v>7854803</v>
      </c>
      <c r="C46" s="18">
        <v>7845.1</v>
      </c>
      <c r="D46" s="19">
        <v>1.3</v>
      </c>
      <c r="E46" s="19">
        <v>3.5</v>
      </c>
    </row>
    <row r="47" spans="1:6" ht="16.5" customHeight="1" x14ac:dyDescent="0.3">
      <c r="A47" s="17">
        <v>3</v>
      </c>
      <c r="B47" s="18">
        <v>7870891</v>
      </c>
      <c r="C47" s="18">
        <v>7856.6</v>
      </c>
      <c r="D47" s="19">
        <v>1.2</v>
      </c>
      <c r="E47" s="19">
        <v>3.5</v>
      </c>
    </row>
    <row r="48" spans="1:6" ht="16.5" customHeight="1" x14ac:dyDescent="0.3">
      <c r="A48" s="17">
        <v>4</v>
      </c>
      <c r="B48" s="18">
        <v>7862978</v>
      </c>
      <c r="C48" s="18">
        <v>7884.6</v>
      </c>
      <c r="D48" s="19">
        <v>1.3</v>
      </c>
      <c r="E48" s="19">
        <v>3.5</v>
      </c>
    </row>
    <row r="49" spans="1:7" ht="16.5" customHeight="1" x14ac:dyDescent="0.3">
      <c r="A49" s="17">
        <v>5</v>
      </c>
      <c r="B49" s="18">
        <v>7852365</v>
      </c>
      <c r="C49" s="18">
        <v>7904.2</v>
      </c>
      <c r="D49" s="19">
        <v>1.3</v>
      </c>
      <c r="E49" s="19">
        <v>3.5</v>
      </c>
    </row>
    <row r="50" spans="1:7" ht="16.5" customHeight="1" x14ac:dyDescent="0.3">
      <c r="A50" s="17">
        <v>6</v>
      </c>
      <c r="B50" s="21">
        <v>7821458</v>
      </c>
      <c r="C50" s="21">
        <v>7919.4</v>
      </c>
      <c r="D50" s="22">
        <v>1.3</v>
      </c>
      <c r="E50" s="22">
        <v>3.5</v>
      </c>
    </row>
    <row r="51" spans="1:7" ht="16.5" customHeight="1" x14ac:dyDescent="0.3">
      <c r="A51" s="23" t="s">
        <v>18</v>
      </c>
      <c r="B51" s="24">
        <f>AVERAGE(B45:B50)</f>
        <v>7867200.666666667</v>
      </c>
      <c r="C51" s="25">
        <f>AVERAGE(C45:C50)</f>
        <v>7868.1500000000005</v>
      </c>
      <c r="D51" s="26">
        <f>AVERAGE(D45:D50)</f>
        <v>1.2833333333333332</v>
      </c>
      <c r="E51" s="26">
        <f>AVERAGE(E45:E50)</f>
        <v>3.5</v>
      </c>
    </row>
    <row r="52" spans="1:7" ht="16.5" customHeight="1" x14ac:dyDescent="0.3">
      <c r="A52" s="27" t="s">
        <v>19</v>
      </c>
      <c r="B52" s="28">
        <f>(STDEV(B45:B50)/B51)</f>
        <v>5.0528798117715785E-3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66" t="s">
        <v>26</v>
      </c>
      <c r="C59" s="26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134</v>
      </c>
      <c r="C60" s="48"/>
      <c r="E60" s="48" t="s">
        <v>135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1" workbookViewId="0">
      <selection activeCell="F48" sqref="F48"/>
    </sheetView>
  </sheetViews>
  <sheetFormatPr defaultRowHeight="13.5" x14ac:dyDescent="0.25"/>
  <cols>
    <col min="1" max="1" width="27.5703125" style="206" customWidth="1"/>
    <col min="2" max="2" width="20.42578125" style="206" customWidth="1"/>
    <col min="3" max="3" width="31.85546875" style="206" customWidth="1"/>
    <col min="4" max="4" width="25.85546875" style="206" customWidth="1"/>
    <col min="5" max="5" width="25.7109375" style="206" customWidth="1"/>
    <col min="6" max="6" width="23.5703125" style="206" customWidth="1"/>
    <col min="7" max="7" width="28.42578125" style="206" customWidth="1"/>
    <col min="8" max="8" width="21.5703125" style="206" customWidth="1"/>
    <col min="9" max="9" width="9.140625" style="20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65" t="s">
        <v>0</v>
      </c>
      <c r="B15" s="265"/>
      <c r="C15" s="265"/>
      <c r="D15" s="265"/>
      <c r="E15" s="26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12" t="s">
        <v>129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99.15</v>
      </c>
      <c r="C19" s="72"/>
      <c r="D19" s="72"/>
      <c r="E19" s="72"/>
    </row>
    <row r="20" spans="1:5" ht="16.5" customHeight="1" x14ac:dyDescent="0.3">
      <c r="A20" s="8" t="s">
        <v>8</v>
      </c>
      <c r="B20" s="12">
        <v>20</v>
      </c>
      <c r="C20" s="72"/>
      <c r="D20" s="72"/>
      <c r="E20" s="72"/>
    </row>
    <row r="21" spans="1:5" ht="16.5" customHeight="1" x14ac:dyDescent="0.3">
      <c r="A21" s="8" t="s">
        <v>10</v>
      </c>
      <c r="B21" s="13">
        <f>20/20*4/20</f>
        <v>0.2</v>
      </c>
      <c r="C21" s="72"/>
      <c r="D21" s="72"/>
      <c r="E21" s="72"/>
    </row>
    <row r="22" spans="1:5" ht="15.75" customHeight="1" x14ac:dyDescent="0.25">
      <c r="A22" s="72"/>
      <c r="B22" s="257">
        <v>42485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124097224</v>
      </c>
      <c r="C24" s="18">
        <v>4707.6000000000004</v>
      </c>
      <c r="D24" s="19">
        <v>1.1000000000000001</v>
      </c>
      <c r="E24" s="20">
        <v>6.3</v>
      </c>
    </row>
    <row r="25" spans="1:5" ht="16.5" customHeight="1" x14ac:dyDescent="0.3">
      <c r="A25" s="17">
        <v>2</v>
      </c>
      <c r="B25" s="18">
        <v>123158470</v>
      </c>
      <c r="C25" s="18">
        <v>4797.8</v>
      </c>
      <c r="D25" s="19">
        <v>1.1000000000000001</v>
      </c>
      <c r="E25" s="19">
        <v>6.3</v>
      </c>
    </row>
    <row r="26" spans="1:5" ht="16.5" customHeight="1" x14ac:dyDescent="0.3">
      <c r="A26" s="17">
        <v>3</v>
      </c>
      <c r="B26" s="18">
        <v>123165231</v>
      </c>
      <c r="C26" s="18">
        <v>4884.8999999999996</v>
      </c>
      <c r="D26" s="19">
        <v>1.1000000000000001</v>
      </c>
      <c r="E26" s="19">
        <v>6.3</v>
      </c>
    </row>
    <row r="27" spans="1:5" ht="16.5" customHeight="1" x14ac:dyDescent="0.3">
      <c r="A27" s="17">
        <v>4</v>
      </c>
      <c r="B27" s="18">
        <v>123214896</v>
      </c>
      <c r="C27" s="18">
        <v>4940.8999999999996</v>
      </c>
      <c r="D27" s="19">
        <v>1.1000000000000001</v>
      </c>
      <c r="E27" s="19">
        <v>6.3</v>
      </c>
    </row>
    <row r="28" spans="1:5" ht="16.5" customHeight="1" x14ac:dyDescent="0.3">
      <c r="A28" s="17">
        <v>5</v>
      </c>
      <c r="B28" s="18">
        <v>123283051</v>
      </c>
      <c r="C28" s="18">
        <v>4957.7</v>
      </c>
      <c r="D28" s="19">
        <v>1.1000000000000001</v>
      </c>
      <c r="E28" s="19">
        <v>6.3</v>
      </c>
    </row>
    <row r="29" spans="1:5" ht="16.5" customHeight="1" x14ac:dyDescent="0.3">
      <c r="A29" s="17">
        <v>6</v>
      </c>
      <c r="B29" s="21">
        <v>123257159</v>
      </c>
      <c r="C29" s="21">
        <v>4983.6000000000004</v>
      </c>
      <c r="D29" s="22">
        <v>1.1000000000000001</v>
      </c>
      <c r="E29" s="22">
        <v>6.3</v>
      </c>
    </row>
    <row r="30" spans="1:5" ht="16.5" customHeight="1" x14ac:dyDescent="0.3">
      <c r="A30" s="23" t="s">
        <v>18</v>
      </c>
      <c r="B30" s="24">
        <f>AVERAGE(B24:B29)</f>
        <v>123362671.83333333</v>
      </c>
      <c r="C30" s="25">
        <f>AVERAGE(C24:C29)</f>
        <v>4878.75</v>
      </c>
      <c r="D30" s="26">
        <f>AVERAGE(D24:D29)</f>
        <v>1.0999999999999999</v>
      </c>
      <c r="E30" s="26">
        <f>AVERAGE(E24:E29)</f>
        <v>6.3</v>
      </c>
    </row>
    <row r="31" spans="1:5" ht="16.5" customHeight="1" x14ac:dyDescent="0.3">
      <c r="A31" s="27" t="s">
        <v>19</v>
      </c>
      <c r="B31" s="28">
        <f>(STDEV(B24:B29)/B30)</f>
        <v>2.9441356918372755E-3</v>
      </c>
      <c r="C31" s="29"/>
      <c r="D31" s="29"/>
      <c r="E31" s="30"/>
    </row>
    <row r="32" spans="1:5" s="206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6" s="206" customFormat="1" ht="15.75" customHeight="1" x14ac:dyDescent="0.25">
      <c r="A33" s="72"/>
      <c r="B33" s="72"/>
      <c r="C33" s="72"/>
      <c r="D33" s="72"/>
      <c r="E33" s="72"/>
    </row>
    <row r="34" spans="1:6" s="206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6" ht="16.5" customHeight="1" x14ac:dyDescent="0.3">
      <c r="A35" s="75"/>
      <c r="B35" s="40" t="s">
        <v>23</v>
      </c>
      <c r="C35" s="39"/>
      <c r="D35" s="39"/>
      <c r="E35" s="39"/>
    </row>
    <row r="36" spans="1:6" ht="16.5" customHeight="1" x14ac:dyDescent="0.3">
      <c r="A36" s="75"/>
      <c r="B36" s="40" t="s">
        <v>24</v>
      </c>
      <c r="C36" s="39"/>
      <c r="D36" s="39"/>
      <c r="E36" s="39"/>
    </row>
    <row r="37" spans="1:6" ht="15.75" customHeight="1" x14ac:dyDescent="0.25">
      <c r="A37" s="72"/>
      <c r="B37" s="72"/>
      <c r="C37" s="72"/>
      <c r="D37" s="72"/>
      <c r="E37" s="72"/>
    </row>
    <row r="38" spans="1:6" ht="16.5" customHeight="1" x14ac:dyDescent="0.3">
      <c r="A38" s="90" t="s">
        <v>1</v>
      </c>
      <c r="B38" s="59" t="s">
        <v>25</v>
      </c>
    </row>
    <row r="39" spans="1:6" ht="16.5" customHeight="1" x14ac:dyDescent="0.3">
      <c r="A39" s="75" t="s">
        <v>4</v>
      </c>
      <c r="B39" s="8" t="s">
        <v>129</v>
      </c>
      <c r="C39" s="72"/>
      <c r="D39" s="72"/>
      <c r="E39" s="72"/>
    </row>
    <row r="40" spans="1:6" ht="16.5" customHeight="1" x14ac:dyDescent="0.3">
      <c r="A40" s="75" t="s">
        <v>6</v>
      </c>
      <c r="B40" s="12">
        <v>99.15</v>
      </c>
      <c r="C40" s="72"/>
      <c r="D40" s="72"/>
      <c r="E40" s="72"/>
    </row>
    <row r="41" spans="1:6" ht="16.5" customHeight="1" x14ac:dyDescent="0.3">
      <c r="A41" s="8" t="s">
        <v>8</v>
      </c>
      <c r="B41" s="12">
        <v>25</v>
      </c>
      <c r="C41" s="72"/>
      <c r="D41" s="72"/>
      <c r="E41" s="72"/>
    </row>
    <row r="42" spans="1:6" ht="16.5" customHeight="1" x14ac:dyDescent="0.3">
      <c r="A42" s="8" t="s">
        <v>10</v>
      </c>
      <c r="B42" s="13">
        <f>25/100*4/20</f>
        <v>0.05</v>
      </c>
      <c r="C42" s="72"/>
      <c r="D42" s="72"/>
      <c r="E42" s="72"/>
    </row>
    <row r="43" spans="1:6" ht="15.75" customHeight="1" x14ac:dyDescent="0.25">
      <c r="A43" s="72"/>
      <c r="B43" s="257">
        <v>42709</v>
      </c>
      <c r="C43" s="72"/>
      <c r="D43" s="72"/>
      <c r="E43" s="72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16" t="s">
        <v>136</v>
      </c>
    </row>
    <row r="45" spans="1:6" ht="16.5" customHeight="1" x14ac:dyDescent="0.3">
      <c r="A45" s="17">
        <v>1</v>
      </c>
      <c r="B45" s="18">
        <v>8495544</v>
      </c>
      <c r="C45" s="18">
        <v>7961.9</v>
      </c>
      <c r="D45" s="19">
        <v>1.2</v>
      </c>
      <c r="E45" s="20">
        <v>10.9</v>
      </c>
      <c r="F45" s="20">
        <v>15.6</v>
      </c>
    </row>
    <row r="46" spans="1:6" ht="16.5" customHeight="1" x14ac:dyDescent="0.3">
      <c r="A46" s="17">
        <v>2</v>
      </c>
      <c r="B46" s="18">
        <v>8396873</v>
      </c>
      <c r="C46" s="18">
        <v>7995.9</v>
      </c>
      <c r="D46" s="19">
        <v>1.2</v>
      </c>
      <c r="E46" s="19">
        <v>10.9</v>
      </c>
      <c r="F46" s="19">
        <v>15.6</v>
      </c>
    </row>
    <row r="47" spans="1:6" ht="16.5" customHeight="1" x14ac:dyDescent="0.3">
      <c r="A47" s="17">
        <v>3</v>
      </c>
      <c r="B47" s="18">
        <v>8422342</v>
      </c>
      <c r="C47" s="18">
        <v>8011.8</v>
      </c>
      <c r="D47" s="19">
        <v>1.2</v>
      </c>
      <c r="E47" s="19">
        <v>10.9</v>
      </c>
      <c r="F47" s="19">
        <v>15.6</v>
      </c>
    </row>
    <row r="48" spans="1:6" ht="16.5" customHeight="1" x14ac:dyDescent="0.3">
      <c r="A48" s="17">
        <v>4</v>
      </c>
      <c r="B48" s="18">
        <v>8416395</v>
      </c>
      <c r="C48" s="18">
        <v>8361.2000000000007</v>
      </c>
      <c r="D48" s="19">
        <v>1.2</v>
      </c>
      <c r="E48" s="19">
        <v>10.9</v>
      </c>
      <c r="F48" s="19">
        <v>15.6</v>
      </c>
    </row>
    <row r="49" spans="1:7" ht="16.5" customHeight="1" x14ac:dyDescent="0.3">
      <c r="A49" s="17">
        <v>5</v>
      </c>
      <c r="B49" s="18">
        <v>8425695</v>
      </c>
      <c r="C49" s="18">
        <v>8016.3</v>
      </c>
      <c r="D49" s="19">
        <v>1.2</v>
      </c>
      <c r="E49" s="19">
        <v>10.9</v>
      </c>
      <c r="F49" s="19">
        <v>15.6</v>
      </c>
    </row>
    <row r="50" spans="1:7" ht="16.5" customHeight="1" x14ac:dyDescent="0.3">
      <c r="A50" s="17">
        <v>6</v>
      </c>
      <c r="B50" s="18">
        <v>8415027</v>
      </c>
      <c r="C50" s="18">
        <v>8034.4</v>
      </c>
      <c r="D50" s="19">
        <v>1.2</v>
      </c>
      <c r="E50" s="19">
        <v>10.9</v>
      </c>
      <c r="F50" s="19">
        <v>15.7</v>
      </c>
    </row>
    <row r="51" spans="1:7" ht="16.5" customHeight="1" x14ac:dyDescent="0.3">
      <c r="A51" s="23" t="s">
        <v>18</v>
      </c>
      <c r="B51" s="24">
        <f>AVERAGE(B45:B50)</f>
        <v>8428646</v>
      </c>
      <c r="C51" s="25">
        <f>AVERAGE(C45:C50)</f>
        <v>8063.583333333333</v>
      </c>
      <c r="D51" s="26">
        <f>AVERAGE(D45:D50)</f>
        <v>1.2</v>
      </c>
      <c r="E51" s="26">
        <f>AVERAGE(E45:E50)</f>
        <v>10.9</v>
      </c>
      <c r="F51" s="26">
        <f>AVERAGE(F45:F50)</f>
        <v>15.616666666666667</v>
      </c>
    </row>
    <row r="52" spans="1:7" ht="16.5" customHeight="1" x14ac:dyDescent="0.3">
      <c r="A52" s="27" t="s">
        <v>19</v>
      </c>
      <c r="B52" s="28">
        <f>(STDEV(B45:B50)/B51)</f>
        <v>4.0647585981592798E-3</v>
      </c>
      <c r="C52" s="29"/>
      <c r="D52" s="29"/>
      <c r="E52" s="30"/>
      <c r="F52" s="30"/>
    </row>
    <row r="53" spans="1:7" s="206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  <c r="F53" s="35"/>
    </row>
    <row r="54" spans="1:7" s="206" customFormat="1" ht="15.75" customHeight="1" x14ac:dyDescent="0.25">
      <c r="A54" s="72"/>
      <c r="B54" s="72"/>
      <c r="C54" s="72"/>
      <c r="D54" s="72"/>
      <c r="E54" s="72"/>
    </row>
    <row r="55" spans="1:7" s="206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140"/>
      <c r="D58" s="43"/>
      <c r="F58" s="44"/>
      <c r="G58" s="44"/>
    </row>
    <row r="59" spans="1:7" ht="15" customHeight="1" x14ac:dyDescent="0.3">
      <c r="B59" s="266" t="s">
        <v>26</v>
      </c>
      <c r="C59" s="266"/>
      <c r="E59" s="256" t="s">
        <v>27</v>
      </c>
      <c r="F59" s="46"/>
      <c r="G59" s="256" t="s">
        <v>28</v>
      </c>
    </row>
    <row r="60" spans="1:7" ht="15" customHeight="1" x14ac:dyDescent="0.3">
      <c r="A60" s="47" t="s">
        <v>29</v>
      </c>
      <c r="B60" s="49" t="s">
        <v>134</v>
      </c>
      <c r="C60" s="49"/>
      <c r="E60" s="49" t="s">
        <v>135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F51" sqref="F51"/>
    </sheetView>
  </sheetViews>
  <sheetFormatPr defaultRowHeight="13.5" x14ac:dyDescent="0.25"/>
  <cols>
    <col min="1" max="1" width="27.5703125" style="206" customWidth="1"/>
    <col min="2" max="2" width="20.42578125" style="206" customWidth="1"/>
    <col min="3" max="3" width="31.85546875" style="206" customWidth="1"/>
    <col min="4" max="4" width="25.85546875" style="206" customWidth="1"/>
    <col min="5" max="5" width="25.7109375" style="206" customWidth="1"/>
    <col min="6" max="6" width="23.140625" style="206" customWidth="1"/>
    <col min="7" max="7" width="28.42578125" style="206" customWidth="1"/>
    <col min="8" max="8" width="21.5703125" style="206" customWidth="1"/>
    <col min="9" max="9" width="9.140625" style="20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65" t="s">
        <v>0</v>
      </c>
      <c r="B15" s="265"/>
      <c r="C15" s="265"/>
      <c r="D15" s="265"/>
      <c r="E15" s="26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12" t="s">
        <v>130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99.4</v>
      </c>
      <c r="C19" s="72"/>
      <c r="D19" s="72"/>
      <c r="E19" s="72"/>
    </row>
    <row r="20" spans="1:5" ht="16.5" customHeight="1" x14ac:dyDescent="0.3">
      <c r="A20" s="8" t="s">
        <v>8</v>
      </c>
      <c r="B20" s="12">
        <v>30</v>
      </c>
      <c r="C20" s="72"/>
      <c r="D20" s="72"/>
      <c r="E20" s="72"/>
    </row>
    <row r="21" spans="1:5" ht="16.5" customHeight="1" x14ac:dyDescent="0.3">
      <c r="A21" s="8" t="s">
        <v>10</v>
      </c>
      <c r="B21" s="13">
        <f>30/20*4/20</f>
        <v>0.3</v>
      </c>
      <c r="C21" s="72"/>
      <c r="D21" s="72"/>
      <c r="E21" s="72"/>
    </row>
    <row r="22" spans="1:5" ht="15.75" customHeight="1" x14ac:dyDescent="0.25">
      <c r="A22" s="72"/>
      <c r="B22" s="257">
        <v>42485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253471358</v>
      </c>
      <c r="C24" s="18">
        <v>4702.2</v>
      </c>
      <c r="D24" s="19">
        <v>1.1000000000000001</v>
      </c>
      <c r="E24" s="20">
        <v>4.5999999999999996</v>
      </c>
    </row>
    <row r="25" spans="1:5" ht="16.5" customHeight="1" x14ac:dyDescent="0.3">
      <c r="A25" s="17">
        <v>2</v>
      </c>
      <c r="B25" s="18">
        <v>252276742</v>
      </c>
      <c r="C25" s="18">
        <v>4812.2</v>
      </c>
      <c r="D25" s="19">
        <v>1.2</v>
      </c>
      <c r="E25" s="19">
        <v>4.5999999999999996</v>
      </c>
    </row>
    <row r="26" spans="1:5" ht="16.5" customHeight="1" x14ac:dyDescent="0.3">
      <c r="A26" s="17">
        <v>3</v>
      </c>
      <c r="B26" s="18">
        <v>252111601</v>
      </c>
      <c r="C26" s="18">
        <v>4898.3999999999996</v>
      </c>
      <c r="D26" s="19">
        <v>1.1000000000000001</v>
      </c>
      <c r="E26" s="19">
        <v>4.5999999999999996</v>
      </c>
    </row>
    <row r="27" spans="1:5" ht="16.5" customHeight="1" x14ac:dyDescent="0.3">
      <c r="A27" s="17">
        <v>4</v>
      </c>
      <c r="B27" s="18">
        <v>252129966</v>
      </c>
      <c r="C27" s="18">
        <v>4945.8</v>
      </c>
      <c r="D27" s="19">
        <v>1.2</v>
      </c>
      <c r="E27" s="19">
        <v>4.5999999999999996</v>
      </c>
    </row>
    <row r="28" spans="1:5" ht="16.5" customHeight="1" x14ac:dyDescent="0.3">
      <c r="A28" s="17">
        <v>5</v>
      </c>
      <c r="B28" s="18">
        <v>252287837</v>
      </c>
      <c r="C28" s="18">
        <v>4971.8999999999996</v>
      </c>
      <c r="D28" s="19">
        <v>1.2</v>
      </c>
      <c r="E28" s="19">
        <v>4.5999999999999996</v>
      </c>
    </row>
    <row r="29" spans="1:5" ht="16.5" customHeight="1" x14ac:dyDescent="0.3">
      <c r="A29" s="17">
        <v>6</v>
      </c>
      <c r="B29" s="21">
        <v>252209418</v>
      </c>
      <c r="C29" s="21">
        <v>4998.7</v>
      </c>
      <c r="D29" s="22">
        <v>1.2</v>
      </c>
      <c r="E29" s="22">
        <v>4.5999999999999996</v>
      </c>
    </row>
    <row r="30" spans="1:5" ht="16.5" customHeight="1" x14ac:dyDescent="0.3">
      <c r="A30" s="23" t="s">
        <v>18</v>
      </c>
      <c r="B30" s="24">
        <v>252211740</v>
      </c>
      <c r="C30" s="25">
        <v>4888.9666666666662</v>
      </c>
      <c r="D30" s="26">
        <v>1.1666666666666667</v>
      </c>
      <c r="E30" s="26">
        <v>4.6000000000000005</v>
      </c>
    </row>
    <row r="31" spans="1:5" ht="16.5" customHeight="1" x14ac:dyDescent="0.3">
      <c r="A31" s="27" t="s">
        <v>19</v>
      </c>
      <c r="B31" s="28">
        <f>(STDEV(B24:B29)/B30)</f>
        <v>2.0729649521617206E-3</v>
      </c>
      <c r="C31" s="29"/>
      <c r="D31" s="29"/>
      <c r="E31" s="30"/>
    </row>
    <row r="32" spans="1:5" s="206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6" s="206" customFormat="1" ht="15.75" customHeight="1" x14ac:dyDescent="0.25">
      <c r="A33" s="72"/>
      <c r="B33" s="72"/>
      <c r="C33" s="72"/>
      <c r="D33" s="72"/>
      <c r="E33" s="72"/>
    </row>
    <row r="34" spans="1:6" s="206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6" ht="16.5" customHeight="1" x14ac:dyDescent="0.3">
      <c r="A35" s="75"/>
      <c r="B35" s="40" t="s">
        <v>23</v>
      </c>
      <c r="C35" s="39"/>
      <c r="D35" s="39"/>
      <c r="E35" s="39"/>
    </row>
    <row r="36" spans="1:6" ht="16.5" customHeight="1" x14ac:dyDescent="0.3">
      <c r="A36" s="75"/>
      <c r="B36" s="40" t="s">
        <v>24</v>
      </c>
      <c r="C36" s="39"/>
      <c r="D36" s="39"/>
      <c r="E36" s="39"/>
    </row>
    <row r="37" spans="1:6" ht="15.75" customHeight="1" x14ac:dyDescent="0.25">
      <c r="A37" s="72"/>
      <c r="B37" s="72"/>
      <c r="C37" s="72"/>
      <c r="D37" s="72"/>
      <c r="E37" s="72"/>
    </row>
    <row r="38" spans="1:6" ht="16.5" customHeight="1" x14ac:dyDescent="0.3">
      <c r="A38" s="90" t="s">
        <v>1</v>
      </c>
      <c r="B38" s="59" t="s">
        <v>25</v>
      </c>
    </row>
    <row r="39" spans="1:6" ht="16.5" customHeight="1" x14ac:dyDescent="0.3">
      <c r="A39" s="75" t="s">
        <v>4</v>
      </c>
      <c r="B39" s="8" t="s">
        <v>130</v>
      </c>
      <c r="C39" s="72"/>
      <c r="D39" s="72"/>
      <c r="E39" s="72"/>
    </row>
    <row r="40" spans="1:6" ht="16.5" customHeight="1" x14ac:dyDescent="0.3">
      <c r="A40" s="75" t="s">
        <v>6</v>
      </c>
      <c r="B40" s="12">
        <v>99.4</v>
      </c>
      <c r="C40" s="72"/>
      <c r="D40" s="72"/>
      <c r="E40" s="72"/>
    </row>
    <row r="41" spans="1:6" ht="16.5" customHeight="1" x14ac:dyDescent="0.3">
      <c r="A41" s="8" t="s">
        <v>8</v>
      </c>
      <c r="B41" s="12">
        <v>30</v>
      </c>
      <c r="C41" s="72"/>
      <c r="D41" s="72"/>
      <c r="E41" s="72"/>
    </row>
    <row r="42" spans="1:6" ht="16.5" customHeight="1" x14ac:dyDescent="0.3">
      <c r="A42" s="8" t="s">
        <v>10</v>
      </c>
      <c r="B42" s="13">
        <f>30/100*4/20</f>
        <v>0.06</v>
      </c>
      <c r="C42" s="72"/>
      <c r="D42" s="72"/>
      <c r="E42" s="72"/>
    </row>
    <row r="43" spans="1:6" ht="15.75" customHeight="1" x14ac:dyDescent="0.25">
      <c r="A43" s="72"/>
      <c r="B43" s="257">
        <v>42709</v>
      </c>
      <c r="C43" s="72"/>
      <c r="D43" s="72"/>
      <c r="E43" s="72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16" t="s">
        <v>136</v>
      </c>
    </row>
    <row r="45" spans="1:6" ht="16.5" customHeight="1" x14ac:dyDescent="0.3">
      <c r="A45" s="17">
        <v>1</v>
      </c>
      <c r="B45" s="18">
        <v>15395476</v>
      </c>
      <c r="C45" s="18">
        <v>8275.7000000000007</v>
      </c>
      <c r="D45" s="19">
        <v>1.2</v>
      </c>
      <c r="E45" s="20">
        <v>5.3</v>
      </c>
      <c r="F45" s="20">
        <v>9</v>
      </c>
    </row>
    <row r="46" spans="1:6" ht="16.5" customHeight="1" x14ac:dyDescent="0.3">
      <c r="A46" s="17">
        <v>2</v>
      </c>
      <c r="B46" s="18">
        <v>15219795</v>
      </c>
      <c r="C46" s="18">
        <v>8331.4</v>
      </c>
      <c r="D46" s="19">
        <v>1.2</v>
      </c>
      <c r="E46" s="19">
        <v>5.3</v>
      </c>
      <c r="F46" s="19">
        <v>9</v>
      </c>
    </row>
    <row r="47" spans="1:6" ht="16.5" customHeight="1" x14ac:dyDescent="0.3">
      <c r="A47" s="17">
        <v>3</v>
      </c>
      <c r="B47" s="18">
        <v>15261656</v>
      </c>
      <c r="C47" s="18">
        <v>8349.5</v>
      </c>
      <c r="D47" s="19">
        <v>1.1000000000000001</v>
      </c>
      <c r="E47" s="19">
        <v>5.3</v>
      </c>
      <c r="F47" s="19">
        <v>9.1</v>
      </c>
    </row>
    <row r="48" spans="1:6" ht="16.5" customHeight="1" x14ac:dyDescent="0.3">
      <c r="A48" s="17">
        <v>4</v>
      </c>
      <c r="B48" s="18">
        <v>15254333</v>
      </c>
      <c r="C48" s="18">
        <v>8381.5</v>
      </c>
      <c r="D48" s="19">
        <v>1.2</v>
      </c>
      <c r="E48" s="19">
        <v>5.3</v>
      </c>
      <c r="F48" s="19">
        <v>9.1</v>
      </c>
    </row>
    <row r="49" spans="1:7" ht="16.5" customHeight="1" x14ac:dyDescent="0.3">
      <c r="A49" s="17">
        <v>5</v>
      </c>
      <c r="B49" s="18">
        <v>15234262</v>
      </c>
      <c r="C49" s="18">
        <v>8397.4</v>
      </c>
      <c r="D49" s="19">
        <v>1.1000000000000001</v>
      </c>
      <c r="E49" s="19">
        <v>5.3</v>
      </c>
      <c r="F49" s="19">
        <v>9.1</v>
      </c>
    </row>
    <row r="50" spans="1:7" ht="16.5" customHeight="1" x14ac:dyDescent="0.3">
      <c r="A50" s="17">
        <v>6</v>
      </c>
      <c r="B50" s="21">
        <v>15164385</v>
      </c>
      <c r="C50" s="21">
        <v>8417.4</v>
      </c>
      <c r="D50" s="22">
        <v>1.1000000000000001</v>
      </c>
      <c r="E50" s="22">
        <v>5.3</v>
      </c>
      <c r="F50" s="22">
        <v>9.1</v>
      </c>
    </row>
    <row r="51" spans="1:7" ht="16.5" customHeight="1" x14ac:dyDescent="0.3">
      <c r="A51" s="23" t="s">
        <v>18</v>
      </c>
      <c r="B51" s="24">
        <f>AVERAGE(B45:B50)</f>
        <v>15254984.5</v>
      </c>
      <c r="C51" s="25">
        <f>AVERAGE(C45:C50)</f>
        <v>8358.8166666666675</v>
      </c>
      <c r="D51" s="26">
        <f>AVERAGE(D45:D50)</f>
        <v>1.1500000000000001</v>
      </c>
      <c r="E51" s="26">
        <f>AVERAGE(E45:E50)</f>
        <v>5.3</v>
      </c>
      <c r="F51" s="26">
        <f>AVERAGE(F45:F50)</f>
        <v>9.0666666666666682</v>
      </c>
    </row>
    <row r="52" spans="1:7" ht="16.5" customHeight="1" x14ac:dyDescent="0.3">
      <c r="A52" s="27" t="s">
        <v>19</v>
      </c>
      <c r="B52" s="28">
        <f>(STDEV(B45:B50)/B51)</f>
        <v>5.0487041427437164E-3</v>
      </c>
      <c r="C52" s="29"/>
      <c r="D52" s="29"/>
      <c r="E52" s="30"/>
      <c r="F52" s="30"/>
    </row>
    <row r="53" spans="1:7" s="206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  <c r="F53" s="35"/>
    </row>
    <row r="54" spans="1:7" s="206" customFormat="1" ht="15.75" customHeight="1" x14ac:dyDescent="0.25">
      <c r="A54" s="72"/>
      <c r="B54" s="72"/>
      <c r="C54" s="72"/>
      <c r="D54" s="72"/>
      <c r="E54" s="72"/>
    </row>
    <row r="55" spans="1:7" s="206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140"/>
      <c r="D58" s="43"/>
      <c r="F58" s="44"/>
      <c r="G58" s="44"/>
    </row>
    <row r="59" spans="1:7" ht="15" customHeight="1" x14ac:dyDescent="0.3">
      <c r="B59" s="266" t="s">
        <v>26</v>
      </c>
      <c r="C59" s="266"/>
      <c r="E59" s="256" t="s">
        <v>27</v>
      </c>
      <c r="F59" s="46"/>
      <c r="G59" s="256" t="s">
        <v>28</v>
      </c>
    </row>
    <row r="60" spans="1:7" ht="15" customHeight="1" x14ac:dyDescent="0.3">
      <c r="A60" s="47" t="s">
        <v>29</v>
      </c>
      <c r="B60" s="49" t="s">
        <v>134</v>
      </c>
      <c r="C60" s="49"/>
      <c r="E60" s="49" t="s">
        <v>135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4" workbookViewId="0">
      <selection activeCell="C46" sqref="C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70" t="s">
        <v>31</v>
      </c>
      <c r="B11" s="271"/>
      <c r="C11" s="271"/>
      <c r="D11" s="271"/>
      <c r="E11" s="271"/>
      <c r="F11" s="272"/>
      <c r="G11" s="91"/>
    </row>
    <row r="12" spans="1:7" ht="16.5" customHeight="1" x14ac:dyDescent="0.3">
      <c r="A12" s="269" t="s">
        <v>32</v>
      </c>
      <c r="B12" s="269"/>
      <c r="C12" s="269"/>
      <c r="D12" s="269"/>
      <c r="E12" s="269"/>
      <c r="F12" s="269"/>
      <c r="G12" s="90"/>
    </row>
    <row r="14" spans="1:7" ht="16.5" customHeight="1" x14ac:dyDescent="0.3">
      <c r="A14" s="274" t="s">
        <v>33</v>
      </c>
      <c r="B14" s="274"/>
      <c r="C14" s="60" t="s">
        <v>5</v>
      </c>
    </row>
    <row r="15" spans="1:7" ht="16.5" customHeight="1" x14ac:dyDescent="0.3">
      <c r="A15" s="274" t="s">
        <v>34</v>
      </c>
      <c r="B15" s="274"/>
      <c r="C15" s="60" t="s">
        <v>7</v>
      </c>
    </row>
    <row r="16" spans="1:7" ht="16.5" customHeight="1" x14ac:dyDescent="0.3">
      <c r="A16" s="274" t="s">
        <v>35</v>
      </c>
      <c r="B16" s="274"/>
      <c r="C16" s="60" t="s">
        <v>9</v>
      </c>
    </row>
    <row r="17" spans="1:5" ht="16.5" customHeight="1" x14ac:dyDescent="0.3">
      <c r="A17" s="274" t="s">
        <v>36</v>
      </c>
      <c r="B17" s="274"/>
      <c r="C17" s="60" t="s">
        <v>11</v>
      </c>
    </row>
    <row r="18" spans="1:5" ht="16.5" customHeight="1" x14ac:dyDescent="0.3">
      <c r="A18" s="274" t="s">
        <v>37</v>
      </c>
      <c r="B18" s="274"/>
      <c r="C18" s="97" t="s">
        <v>12</v>
      </c>
    </row>
    <row r="19" spans="1:5" ht="16.5" customHeight="1" x14ac:dyDescent="0.3">
      <c r="A19" s="274" t="s">
        <v>38</v>
      </c>
      <c r="B19" s="27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69" t="s">
        <v>1</v>
      </c>
      <c r="B21" s="269"/>
      <c r="C21" s="59" t="s">
        <v>39</v>
      </c>
      <c r="D21" s="66"/>
    </row>
    <row r="22" spans="1:5" ht="15.75" customHeight="1" x14ac:dyDescent="0.3">
      <c r="A22" s="273"/>
      <c r="B22" s="273"/>
      <c r="C22" s="57"/>
      <c r="D22" s="273"/>
      <c r="E22" s="27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303.69</v>
      </c>
      <c r="D24" s="87">
        <f t="shared" ref="D24:D43" si="0">(C24-$C$46)/$C$46</f>
        <v>2.492283823262401E-3</v>
      </c>
      <c r="E24" s="53"/>
    </row>
    <row r="25" spans="1:5" ht="15.75" customHeight="1" x14ac:dyDescent="0.3">
      <c r="C25" s="95">
        <v>300.63</v>
      </c>
      <c r="D25" s="88">
        <f t="shared" si="0"/>
        <v>-7.6088929968475306E-3</v>
      </c>
      <c r="E25" s="53"/>
    </row>
    <row r="26" spans="1:5" ht="15.75" customHeight="1" x14ac:dyDescent="0.3">
      <c r="C26" s="95">
        <v>303.19</v>
      </c>
      <c r="D26" s="88">
        <f t="shared" si="0"/>
        <v>8.417647350091454E-4</v>
      </c>
      <c r="E26" s="53"/>
    </row>
    <row r="27" spans="1:5" ht="15.75" customHeight="1" x14ac:dyDescent="0.3">
      <c r="C27" s="95">
        <v>298.67</v>
      </c>
      <c r="D27" s="88">
        <f t="shared" si="0"/>
        <v>-1.4078927822800225E-2</v>
      </c>
      <c r="E27" s="53"/>
    </row>
    <row r="28" spans="1:5" ht="15.75" customHeight="1" x14ac:dyDescent="0.3">
      <c r="C28" s="95">
        <v>302.17</v>
      </c>
      <c r="D28" s="88">
        <f t="shared" si="0"/>
        <v>-2.525294205027436E-3</v>
      </c>
      <c r="E28" s="53"/>
    </row>
    <row r="29" spans="1:5" ht="15.75" customHeight="1" x14ac:dyDescent="0.3">
      <c r="C29" s="95">
        <v>302.43</v>
      </c>
      <c r="D29" s="88">
        <f t="shared" si="0"/>
        <v>-1.6670242791357731E-3</v>
      </c>
      <c r="E29" s="53"/>
    </row>
    <row r="30" spans="1:5" ht="15.75" customHeight="1" x14ac:dyDescent="0.3">
      <c r="C30" s="95">
        <v>303.70999999999998</v>
      </c>
      <c r="D30" s="88">
        <f t="shared" si="0"/>
        <v>2.5583045867924713E-3</v>
      </c>
      <c r="E30" s="53"/>
    </row>
    <row r="31" spans="1:5" ht="15.75" customHeight="1" x14ac:dyDescent="0.3">
      <c r="C31" s="95">
        <v>299.99</v>
      </c>
      <c r="D31" s="88">
        <f t="shared" si="0"/>
        <v>-9.7215574298116537E-3</v>
      </c>
      <c r="E31" s="53"/>
    </row>
    <row r="32" spans="1:5" ht="15.75" customHeight="1" x14ac:dyDescent="0.3">
      <c r="C32" s="95">
        <v>304.35000000000002</v>
      </c>
      <c r="D32" s="88">
        <f t="shared" si="0"/>
        <v>4.6709690197567809E-3</v>
      </c>
      <c r="E32" s="53"/>
    </row>
    <row r="33" spans="1:7" ht="15.75" customHeight="1" x14ac:dyDescent="0.3">
      <c r="C33" s="95">
        <v>302.61</v>
      </c>
      <c r="D33" s="88">
        <f t="shared" si="0"/>
        <v>-1.0728374073645786E-3</v>
      </c>
      <c r="E33" s="53"/>
    </row>
    <row r="34" spans="1:7" ht="15.75" customHeight="1" x14ac:dyDescent="0.3">
      <c r="C34" s="95">
        <v>298.99</v>
      </c>
      <c r="D34" s="88">
        <f t="shared" si="0"/>
        <v>-1.3022595606318164E-2</v>
      </c>
      <c r="E34" s="53"/>
    </row>
    <row r="35" spans="1:7" ht="15.75" customHeight="1" x14ac:dyDescent="0.3">
      <c r="C35" s="95">
        <v>301.97000000000003</v>
      </c>
      <c r="D35" s="88">
        <f t="shared" si="0"/>
        <v>-3.185501840328701E-3</v>
      </c>
      <c r="E35" s="53"/>
    </row>
    <row r="36" spans="1:7" ht="15.75" customHeight="1" x14ac:dyDescent="0.3">
      <c r="C36" s="95">
        <v>303.67</v>
      </c>
      <c r="D36" s="88">
        <f t="shared" si="0"/>
        <v>2.4262630597323307E-3</v>
      </c>
      <c r="E36" s="53"/>
    </row>
    <row r="37" spans="1:7" ht="15.75" customHeight="1" x14ac:dyDescent="0.3">
      <c r="C37" s="95">
        <v>305.27</v>
      </c>
      <c r="D37" s="88">
        <f t="shared" si="0"/>
        <v>7.7079241421426359E-3</v>
      </c>
      <c r="E37" s="53"/>
    </row>
    <row r="38" spans="1:7" ht="15.75" customHeight="1" x14ac:dyDescent="0.3">
      <c r="C38" s="95">
        <v>305.98</v>
      </c>
      <c r="D38" s="88">
        <f t="shared" si="0"/>
        <v>1.0051661247462379E-2</v>
      </c>
      <c r="E38" s="53"/>
    </row>
    <row r="39" spans="1:7" ht="15.75" customHeight="1" x14ac:dyDescent="0.3">
      <c r="C39" s="95">
        <v>304.69</v>
      </c>
      <c r="D39" s="88">
        <f t="shared" si="0"/>
        <v>5.7933219997689123E-3</v>
      </c>
      <c r="E39" s="53"/>
    </row>
    <row r="40" spans="1:7" ht="15.75" customHeight="1" x14ac:dyDescent="0.3">
      <c r="C40" s="95">
        <v>306.42</v>
      </c>
      <c r="D40" s="88">
        <f t="shared" si="0"/>
        <v>1.1504118045125238E-2</v>
      </c>
      <c r="E40" s="53"/>
    </row>
    <row r="41" spans="1:7" ht="15.75" customHeight="1" x14ac:dyDescent="0.3">
      <c r="C41" s="95">
        <v>305.18</v>
      </c>
      <c r="D41" s="88">
        <f t="shared" si="0"/>
        <v>7.4108307062571328E-3</v>
      </c>
      <c r="E41" s="53"/>
    </row>
    <row r="42" spans="1:7" ht="15.75" customHeight="1" x14ac:dyDescent="0.3">
      <c r="C42" s="95">
        <v>303.25</v>
      </c>
      <c r="D42" s="88">
        <f t="shared" si="0"/>
        <v>1.0398270255995436E-3</v>
      </c>
      <c r="E42" s="53"/>
    </row>
    <row r="43" spans="1:7" ht="16.5" customHeight="1" x14ac:dyDescent="0.3">
      <c r="C43" s="96">
        <v>301.83999999999997</v>
      </c>
      <c r="D43" s="89">
        <f t="shared" si="0"/>
        <v>-3.6146368032747198E-3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6058.7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302.935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67">
        <f>C46</f>
        <v>302.935</v>
      </c>
      <c r="C49" s="93">
        <f>-IF(C46&lt;=80,10%,IF(C46&lt;250,7.5%,5%))</f>
        <v>-0.05</v>
      </c>
      <c r="D49" s="81">
        <f>IF(C46&lt;=80,C46*0.9,IF(C46&lt;250,C46*0.925,C46*0.95))</f>
        <v>287.78825000000001</v>
      </c>
    </row>
    <row r="50" spans="1:6" ht="17.25" customHeight="1" x14ac:dyDescent="0.3">
      <c r="B50" s="268"/>
      <c r="C50" s="94">
        <f>IF(C46&lt;=80, 10%, IF(C46&lt;250, 7.5%, 5%))</f>
        <v>0.05</v>
      </c>
      <c r="D50" s="81">
        <f>IF(C46&lt;=80, C46*1.1, IF(C46&lt;250, C46*1.075, C46*1.05))</f>
        <v>318.08175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3" zoomScale="60" zoomScaleNormal="40" zoomScalePageLayoutView="50" workbookViewId="0">
      <selection activeCell="B18" sqref="B18:C18"/>
    </sheetView>
  </sheetViews>
  <sheetFormatPr defaultColWidth="9.140625" defaultRowHeight="13.5" x14ac:dyDescent="0.25"/>
  <cols>
    <col min="1" max="1" width="55.42578125" style="206" customWidth="1"/>
    <col min="2" max="2" width="33.7109375" style="206" customWidth="1"/>
    <col min="3" max="3" width="42.28515625" style="206" customWidth="1"/>
    <col min="4" max="4" width="30.5703125" style="206" customWidth="1"/>
    <col min="5" max="5" width="39.85546875" style="206" customWidth="1"/>
    <col min="6" max="6" width="30.7109375" style="206" customWidth="1"/>
    <col min="7" max="7" width="39.85546875" style="206" customWidth="1"/>
    <col min="8" max="8" width="30" style="206" customWidth="1"/>
    <col min="9" max="9" width="30.28515625" style="206" hidden="1" customWidth="1"/>
    <col min="10" max="10" width="30.42578125" style="206" customWidth="1"/>
    <col min="11" max="11" width="21.28515625" style="206" customWidth="1"/>
    <col min="12" max="12" width="9.140625" style="206"/>
    <col min="13" max="16384" width="9.140625" style="44"/>
  </cols>
  <sheetData>
    <row r="1" spans="1:9" ht="18.75" customHeight="1" x14ac:dyDescent="0.25">
      <c r="A1" s="278" t="s">
        <v>45</v>
      </c>
      <c r="B1" s="278"/>
      <c r="C1" s="278"/>
      <c r="D1" s="278"/>
      <c r="E1" s="278"/>
      <c r="F1" s="278"/>
      <c r="G1" s="278"/>
      <c r="H1" s="278"/>
      <c r="I1" s="278"/>
    </row>
    <row r="2" spans="1:9" ht="18.7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9" ht="18.75" customHeight="1" x14ac:dyDescent="0.25">
      <c r="A3" s="278"/>
      <c r="B3" s="278"/>
      <c r="C3" s="278"/>
      <c r="D3" s="278"/>
      <c r="E3" s="278"/>
      <c r="F3" s="278"/>
      <c r="G3" s="278"/>
      <c r="H3" s="278"/>
      <c r="I3" s="278"/>
    </row>
    <row r="4" spans="1:9" ht="18.75" customHeight="1" x14ac:dyDescent="0.25">
      <c r="A4" s="278"/>
      <c r="B4" s="278"/>
      <c r="C4" s="278"/>
      <c r="D4" s="278"/>
      <c r="E4" s="278"/>
      <c r="F4" s="278"/>
      <c r="G4" s="278"/>
      <c r="H4" s="278"/>
      <c r="I4" s="278"/>
    </row>
    <row r="5" spans="1:9" ht="18.75" customHeight="1" x14ac:dyDescent="0.25">
      <c r="A5" s="278"/>
      <c r="B5" s="278"/>
      <c r="C5" s="278"/>
      <c r="D5" s="278"/>
      <c r="E5" s="278"/>
      <c r="F5" s="278"/>
      <c r="G5" s="278"/>
      <c r="H5" s="278"/>
      <c r="I5" s="278"/>
    </row>
    <row r="6" spans="1:9" ht="18.75" customHeight="1" x14ac:dyDescent="0.25">
      <c r="A6" s="278"/>
      <c r="B6" s="278"/>
      <c r="C6" s="278"/>
      <c r="D6" s="278"/>
      <c r="E6" s="278"/>
      <c r="F6" s="278"/>
      <c r="G6" s="278"/>
      <c r="H6" s="278"/>
      <c r="I6" s="278"/>
    </row>
    <row r="7" spans="1:9" ht="18.75" customHeight="1" x14ac:dyDescent="0.25">
      <c r="A7" s="278"/>
      <c r="B7" s="278"/>
      <c r="C7" s="278"/>
      <c r="D7" s="278"/>
      <c r="E7" s="278"/>
      <c r="F7" s="278"/>
      <c r="G7" s="278"/>
      <c r="H7" s="278"/>
      <c r="I7" s="278"/>
    </row>
    <row r="8" spans="1:9" x14ac:dyDescent="0.25">
      <c r="A8" s="279" t="s">
        <v>46</v>
      </c>
      <c r="B8" s="279"/>
      <c r="C8" s="279"/>
      <c r="D8" s="279"/>
      <c r="E8" s="279"/>
      <c r="F8" s="279"/>
      <c r="G8" s="279"/>
      <c r="H8" s="279"/>
      <c r="I8" s="279"/>
    </row>
    <row r="9" spans="1:9" x14ac:dyDescent="0.25">
      <c r="A9" s="279"/>
      <c r="B9" s="279"/>
      <c r="C9" s="279"/>
      <c r="D9" s="279"/>
      <c r="E9" s="279"/>
      <c r="F9" s="279"/>
      <c r="G9" s="279"/>
      <c r="H9" s="279"/>
      <c r="I9" s="279"/>
    </row>
    <row r="10" spans="1:9" x14ac:dyDescent="0.25">
      <c r="A10" s="279"/>
      <c r="B10" s="279"/>
      <c r="C10" s="279"/>
      <c r="D10" s="279"/>
      <c r="E10" s="279"/>
      <c r="F10" s="279"/>
      <c r="G10" s="279"/>
      <c r="H10" s="279"/>
      <c r="I10" s="279"/>
    </row>
    <row r="11" spans="1:9" x14ac:dyDescent="0.25">
      <c r="A11" s="279"/>
      <c r="B11" s="279"/>
      <c r="C11" s="279"/>
      <c r="D11" s="279"/>
      <c r="E11" s="279"/>
      <c r="F11" s="279"/>
      <c r="G11" s="279"/>
      <c r="H11" s="279"/>
      <c r="I11" s="279"/>
    </row>
    <row r="12" spans="1:9" x14ac:dyDescent="0.25">
      <c r="A12" s="279"/>
      <c r="B12" s="279"/>
      <c r="C12" s="279"/>
      <c r="D12" s="279"/>
      <c r="E12" s="279"/>
      <c r="F12" s="279"/>
      <c r="G12" s="279"/>
      <c r="H12" s="279"/>
      <c r="I12" s="279"/>
    </row>
    <row r="13" spans="1:9" x14ac:dyDescent="0.25">
      <c r="A13" s="279"/>
      <c r="B13" s="279"/>
      <c r="C13" s="279"/>
      <c r="D13" s="279"/>
      <c r="E13" s="279"/>
      <c r="F13" s="279"/>
      <c r="G13" s="279"/>
      <c r="H13" s="279"/>
      <c r="I13" s="279"/>
    </row>
    <row r="14" spans="1:9" x14ac:dyDescent="0.25">
      <c r="A14" s="279"/>
      <c r="B14" s="279"/>
      <c r="C14" s="279"/>
      <c r="D14" s="279"/>
      <c r="E14" s="279"/>
      <c r="F14" s="279"/>
      <c r="G14" s="279"/>
      <c r="H14" s="279"/>
      <c r="I14" s="279"/>
    </row>
    <row r="15" spans="1:9" ht="19.5" customHeight="1" thickBot="1" x14ac:dyDescent="0.35">
      <c r="A15" s="188"/>
    </row>
    <row r="16" spans="1:9" ht="19.5" customHeight="1" thickBot="1" x14ac:dyDescent="0.35">
      <c r="A16" s="280" t="s">
        <v>31</v>
      </c>
      <c r="B16" s="281"/>
      <c r="C16" s="281"/>
      <c r="D16" s="281"/>
      <c r="E16" s="281"/>
      <c r="F16" s="281"/>
      <c r="G16" s="281"/>
      <c r="H16" s="282"/>
    </row>
    <row r="17" spans="1:14" ht="20.25" customHeight="1" x14ac:dyDescent="0.25">
      <c r="A17" s="283" t="s">
        <v>47</v>
      </c>
      <c r="B17" s="283"/>
      <c r="C17" s="283"/>
      <c r="D17" s="283"/>
      <c r="E17" s="283"/>
      <c r="F17" s="283"/>
      <c r="G17" s="283"/>
      <c r="H17" s="283"/>
    </row>
    <row r="18" spans="1:14" ht="26.25" customHeight="1" x14ac:dyDescent="0.4">
      <c r="A18" s="98" t="s">
        <v>33</v>
      </c>
      <c r="B18" s="284" t="s">
        <v>5</v>
      </c>
      <c r="C18" s="284"/>
      <c r="D18" s="242"/>
      <c r="E18" s="99"/>
      <c r="F18" s="255"/>
      <c r="G18" s="255"/>
      <c r="H18" s="255"/>
    </row>
    <row r="19" spans="1:14" ht="26.25" customHeight="1" x14ac:dyDescent="0.4">
      <c r="A19" s="98" t="s">
        <v>34</v>
      </c>
      <c r="B19" s="259" t="s">
        <v>7</v>
      </c>
      <c r="C19" s="255">
        <v>29</v>
      </c>
      <c r="D19" s="255"/>
      <c r="E19" s="255"/>
      <c r="F19" s="255"/>
      <c r="G19" s="255"/>
      <c r="H19" s="255"/>
    </row>
    <row r="20" spans="1:14" ht="26.25" customHeight="1" x14ac:dyDescent="0.4">
      <c r="A20" s="98" t="s">
        <v>35</v>
      </c>
      <c r="B20" s="258" t="s">
        <v>125</v>
      </c>
      <c r="C20" s="258"/>
      <c r="D20" s="255"/>
      <c r="E20" s="255"/>
      <c r="F20" s="255"/>
      <c r="G20" s="255"/>
      <c r="H20" s="255"/>
    </row>
    <row r="21" spans="1:14" ht="26.25" customHeight="1" x14ac:dyDescent="0.4">
      <c r="A21" s="98" t="s">
        <v>36</v>
      </c>
      <c r="B21" s="285" t="s">
        <v>11</v>
      </c>
      <c r="C21" s="285"/>
      <c r="D21" s="285"/>
      <c r="E21" s="285"/>
      <c r="F21" s="285"/>
      <c r="G21" s="285"/>
      <c r="H21" s="285"/>
      <c r="I21" s="100"/>
    </row>
    <row r="22" spans="1:14" ht="26.25" customHeight="1" x14ac:dyDescent="0.4">
      <c r="A22" s="98" t="s">
        <v>37</v>
      </c>
      <c r="B22" s="101">
        <v>42482</v>
      </c>
      <c r="C22" s="255"/>
      <c r="D22" s="255"/>
      <c r="E22" s="255"/>
      <c r="F22" s="255"/>
      <c r="G22" s="255"/>
      <c r="H22" s="255"/>
    </row>
    <row r="23" spans="1:14" ht="26.25" customHeight="1" x14ac:dyDescent="0.4">
      <c r="A23" s="98" t="s">
        <v>38</v>
      </c>
      <c r="B23" s="101">
        <v>42485</v>
      </c>
      <c r="C23" s="255"/>
      <c r="D23" s="255"/>
      <c r="E23" s="255"/>
      <c r="F23" s="255"/>
      <c r="G23" s="255"/>
      <c r="H23" s="255"/>
    </row>
    <row r="24" spans="1:14" ht="18.75" x14ac:dyDescent="0.3">
      <c r="A24" s="98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237" t="s">
        <v>4</v>
      </c>
      <c r="B26" s="284" t="s">
        <v>125</v>
      </c>
      <c r="C26" s="284"/>
    </row>
    <row r="27" spans="1:14" ht="26.25" customHeight="1" x14ac:dyDescent="0.4">
      <c r="A27" s="195" t="s">
        <v>48</v>
      </c>
      <c r="B27" s="286" t="s">
        <v>133</v>
      </c>
      <c r="C27" s="286"/>
    </row>
    <row r="28" spans="1:14" ht="27" customHeight="1" thickBot="1" x14ac:dyDescent="0.45">
      <c r="A28" s="195" t="s">
        <v>6</v>
      </c>
      <c r="B28" s="190">
        <v>101.74</v>
      </c>
    </row>
    <row r="29" spans="1:14" s="16" customFormat="1" ht="27" customHeight="1" thickBot="1" x14ac:dyDescent="0.45">
      <c r="A29" s="195" t="s">
        <v>49</v>
      </c>
      <c r="B29" s="104">
        <v>0</v>
      </c>
      <c r="C29" s="287" t="s">
        <v>50</v>
      </c>
      <c r="D29" s="288"/>
      <c r="E29" s="288"/>
      <c r="F29" s="288"/>
      <c r="G29" s="289"/>
      <c r="I29" s="105"/>
      <c r="J29" s="105"/>
      <c r="K29" s="105"/>
      <c r="L29" s="105"/>
    </row>
    <row r="30" spans="1:14" s="16" customFormat="1" ht="19.5" customHeight="1" thickBot="1" x14ac:dyDescent="0.35">
      <c r="A30" s="195" t="s">
        <v>51</v>
      </c>
      <c r="B30" s="262">
        <f>B28-B29</f>
        <v>101.74</v>
      </c>
      <c r="C30" s="106"/>
      <c r="D30" s="106"/>
      <c r="E30" s="106"/>
      <c r="F30" s="106"/>
      <c r="G30" s="107"/>
      <c r="I30" s="105"/>
      <c r="J30" s="105"/>
      <c r="K30" s="105"/>
      <c r="L30" s="105"/>
    </row>
    <row r="31" spans="1:14" s="16" customFormat="1" ht="27" customHeight="1" thickBot="1" x14ac:dyDescent="0.45">
      <c r="A31" s="195" t="s">
        <v>52</v>
      </c>
      <c r="B31" s="108">
        <v>1</v>
      </c>
      <c r="C31" s="290" t="s">
        <v>53</v>
      </c>
      <c r="D31" s="291"/>
      <c r="E31" s="291"/>
      <c r="F31" s="291"/>
      <c r="G31" s="291"/>
      <c r="H31" s="292"/>
      <c r="I31" s="105"/>
      <c r="J31" s="105"/>
      <c r="K31" s="105"/>
      <c r="L31" s="105"/>
    </row>
    <row r="32" spans="1:14" s="16" customFormat="1" ht="27" customHeight="1" thickBot="1" x14ac:dyDescent="0.45">
      <c r="A32" s="195" t="s">
        <v>54</v>
      </c>
      <c r="B32" s="108">
        <v>1</v>
      </c>
      <c r="C32" s="290" t="s">
        <v>55</v>
      </c>
      <c r="D32" s="291"/>
      <c r="E32" s="291"/>
      <c r="F32" s="291"/>
      <c r="G32" s="291"/>
      <c r="H32" s="292"/>
      <c r="I32" s="105"/>
      <c r="J32" s="105"/>
      <c r="K32" s="105"/>
      <c r="L32" s="109"/>
      <c r="M32" s="109"/>
      <c r="N32" s="110"/>
    </row>
    <row r="33" spans="1:14" s="16" customFormat="1" ht="17.25" customHeight="1" x14ac:dyDescent="0.3">
      <c r="A33" s="195"/>
      <c r="B33" s="111"/>
      <c r="C33" s="112"/>
      <c r="D33" s="112"/>
      <c r="E33" s="112"/>
      <c r="F33" s="112"/>
      <c r="G33" s="112"/>
      <c r="H33" s="112"/>
      <c r="I33" s="105"/>
      <c r="J33" s="105"/>
      <c r="K33" s="105"/>
      <c r="L33" s="109"/>
      <c r="M33" s="109"/>
      <c r="N33" s="110"/>
    </row>
    <row r="34" spans="1:14" s="16" customFormat="1" ht="18.75" x14ac:dyDescent="0.3">
      <c r="A34" s="195" t="s">
        <v>56</v>
      </c>
      <c r="B34" s="113">
        <f>B31/B32</f>
        <v>1</v>
      </c>
      <c r="C34" s="188" t="s">
        <v>57</v>
      </c>
      <c r="D34" s="188"/>
      <c r="E34" s="188"/>
      <c r="F34" s="188"/>
      <c r="G34" s="188"/>
      <c r="I34" s="105"/>
      <c r="J34" s="105"/>
      <c r="K34" s="105"/>
      <c r="L34" s="109"/>
      <c r="M34" s="109"/>
      <c r="N34" s="110"/>
    </row>
    <row r="35" spans="1:14" s="16" customFormat="1" ht="19.5" customHeight="1" thickBot="1" x14ac:dyDescent="0.35">
      <c r="A35" s="195"/>
      <c r="B35" s="262"/>
      <c r="G35" s="188"/>
      <c r="I35" s="105"/>
      <c r="J35" s="105"/>
      <c r="K35" s="105"/>
      <c r="L35" s="109"/>
      <c r="M35" s="109"/>
      <c r="N35" s="110"/>
    </row>
    <row r="36" spans="1:14" s="16" customFormat="1" ht="27" customHeight="1" thickBot="1" x14ac:dyDescent="0.45">
      <c r="A36" s="114" t="s">
        <v>58</v>
      </c>
      <c r="B36" s="115">
        <v>20</v>
      </c>
      <c r="C36" s="188"/>
      <c r="D36" s="275" t="s">
        <v>59</v>
      </c>
      <c r="E36" s="276"/>
      <c r="F36" s="275" t="s">
        <v>60</v>
      </c>
      <c r="G36" s="277"/>
      <c r="J36" s="105"/>
      <c r="K36" s="105"/>
      <c r="L36" s="109"/>
      <c r="M36" s="109"/>
      <c r="N36" s="110"/>
    </row>
    <row r="37" spans="1:14" s="16" customFormat="1" ht="27" customHeight="1" thickBot="1" x14ac:dyDescent="0.45">
      <c r="A37" s="116" t="s">
        <v>61</v>
      </c>
      <c r="B37" s="117">
        <v>4</v>
      </c>
      <c r="C37" s="118" t="s">
        <v>62</v>
      </c>
      <c r="D37" s="119" t="s">
        <v>63</v>
      </c>
      <c r="E37" s="120" t="s">
        <v>64</v>
      </c>
      <c r="F37" s="119" t="s">
        <v>63</v>
      </c>
      <c r="G37" s="121" t="s">
        <v>64</v>
      </c>
      <c r="I37" s="122" t="s">
        <v>65</v>
      </c>
      <c r="J37" s="105"/>
      <c r="K37" s="105"/>
      <c r="L37" s="109"/>
      <c r="M37" s="109"/>
      <c r="N37" s="110"/>
    </row>
    <row r="38" spans="1:14" s="16" customFormat="1" ht="26.25" customHeight="1" x14ac:dyDescent="0.4">
      <c r="A38" s="116" t="s">
        <v>66</v>
      </c>
      <c r="B38" s="117">
        <v>20</v>
      </c>
      <c r="C38" s="123">
        <v>1</v>
      </c>
      <c r="D38" s="124">
        <v>145858260</v>
      </c>
      <c r="E38" s="125">
        <f>IF(ISBLANK(D38),"-",$D$48/$D$45*D38)</f>
        <v>142697807.97533664</v>
      </c>
      <c r="F38" s="124">
        <v>147220290</v>
      </c>
      <c r="G38" s="126">
        <f>IF(ISBLANK(F38),"-",$D$48/$F$45*F38)</f>
        <v>146856360.35818437</v>
      </c>
      <c r="I38" s="127"/>
      <c r="J38" s="105"/>
      <c r="K38" s="105"/>
      <c r="L38" s="109"/>
      <c r="M38" s="109"/>
      <c r="N38" s="110"/>
    </row>
    <row r="39" spans="1:14" s="16" customFormat="1" ht="26.25" customHeight="1" x14ac:dyDescent="0.4">
      <c r="A39" s="116" t="s">
        <v>67</v>
      </c>
      <c r="B39" s="117">
        <v>1</v>
      </c>
      <c r="C39" s="145">
        <v>2</v>
      </c>
      <c r="D39" s="128">
        <v>145903145</v>
      </c>
      <c r="E39" s="129">
        <f>IF(ISBLANK(D39),"-",$D$48/$D$45*D39)</f>
        <v>142741720.40861928</v>
      </c>
      <c r="F39" s="128">
        <v>147253233</v>
      </c>
      <c r="G39" s="130">
        <f>IF(ISBLANK(F39),"-",$D$48/$F$45*F39)</f>
        <v>146889221.9228456</v>
      </c>
      <c r="I39" s="293">
        <f>ABS((F43/D43*D42)-F42)/D42</f>
        <v>2.8623926862576251E-2</v>
      </c>
      <c r="J39" s="105"/>
      <c r="K39" s="105"/>
      <c r="L39" s="109"/>
      <c r="M39" s="109"/>
      <c r="N39" s="110"/>
    </row>
    <row r="40" spans="1:14" ht="26.25" customHeight="1" x14ac:dyDescent="0.4">
      <c r="A40" s="116" t="s">
        <v>68</v>
      </c>
      <c r="B40" s="117">
        <v>1</v>
      </c>
      <c r="C40" s="145">
        <v>3</v>
      </c>
      <c r="D40" s="128">
        <v>145849300</v>
      </c>
      <c r="E40" s="129">
        <f>IF(ISBLANK(D40),"-",$D$48/$D$45*D40)</f>
        <v>142689042.12032467</v>
      </c>
      <c r="F40" s="128">
        <v>147242144</v>
      </c>
      <c r="G40" s="130">
        <f>IF(ISBLANK(F40),"-",$D$48/$F$45*F40)</f>
        <v>146878160.33493534</v>
      </c>
      <c r="I40" s="293"/>
      <c r="L40" s="109"/>
      <c r="M40" s="109"/>
      <c r="N40" s="188"/>
    </row>
    <row r="41" spans="1:14" ht="27" customHeight="1" thickBot="1" x14ac:dyDescent="0.45">
      <c r="A41" s="116" t="s">
        <v>69</v>
      </c>
      <c r="B41" s="117">
        <v>1</v>
      </c>
      <c r="C41" s="131">
        <v>4</v>
      </c>
      <c r="D41" s="132"/>
      <c r="E41" s="133" t="str">
        <f>IF(ISBLANK(D41),"-",$D$48/$D$45*D41)</f>
        <v>-</v>
      </c>
      <c r="F41" s="132"/>
      <c r="G41" s="134" t="str">
        <f>IF(ISBLANK(F41),"-",$D$48/$F$45*F41)</f>
        <v>-</v>
      </c>
      <c r="I41" s="135"/>
      <c r="L41" s="109"/>
      <c r="M41" s="109"/>
      <c r="N41" s="188"/>
    </row>
    <row r="42" spans="1:14" ht="27" customHeight="1" thickBot="1" x14ac:dyDescent="0.45">
      <c r="A42" s="116" t="s">
        <v>70</v>
      </c>
      <c r="B42" s="117">
        <v>1</v>
      </c>
      <c r="C42" s="136" t="s">
        <v>71</v>
      </c>
      <c r="D42" s="137">
        <f>AVERAGE(D38:D41)</f>
        <v>145870235</v>
      </c>
      <c r="E42" s="138">
        <f>AVERAGE(E38:E41)</f>
        <v>142709523.50142688</v>
      </c>
      <c r="F42" s="137">
        <f>AVERAGE(F38:F41)</f>
        <v>147238555.66666666</v>
      </c>
      <c r="G42" s="139">
        <f>AVERAGE(G38:G41)</f>
        <v>146874580.87198842</v>
      </c>
      <c r="H42" s="140"/>
    </row>
    <row r="43" spans="1:14" ht="26.25" customHeight="1" x14ac:dyDescent="0.4">
      <c r="A43" s="116" t="s">
        <v>72</v>
      </c>
      <c r="B43" s="117">
        <v>1</v>
      </c>
      <c r="C43" s="141" t="s">
        <v>73</v>
      </c>
      <c r="D43" s="142">
        <v>15.07</v>
      </c>
      <c r="E43" s="188"/>
      <c r="F43" s="142">
        <v>14.78</v>
      </c>
      <c r="H43" s="140"/>
    </row>
    <row r="44" spans="1:14" ht="26.25" customHeight="1" x14ac:dyDescent="0.4">
      <c r="A44" s="116" t="s">
        <v>74</v>
      </c>
      <c r="B44" s="117">
        <v>1</v>
      </c>
      <c r="C44" s="143" t="s">
        <v>75</v>
      </c>
      <c r="D44" s="144">
        <f>D43*$B$34</f>
        <v>15.07</v>
      </c>
      <c r="E44" s="203"/>
      <c r="F44" s="144">
        <f>F43*$B$34</f>
        <v>14.78</v>
      </c>
      <c r="H44" s="140"/>
    </row>
    <row r="45" spans="1:14" ht="19.5" customHeight="1" thickBot="1" x14ac:dyDescent="0.35">
      <c r="A45" s="116" t="s">
        <v>76</v>
      </c>
      <c r="B45" s="145">
        <f>(B44/B43)*(B42/B41)*(B40/B39)*(B38/B37)*B36</f>
        <v>100</v>
      </c>
      <c r="C45" s="143" t="s">
        <v>77</v>
      </c>
      <c r="D45" s="146">
        <f>D44*$B$30/100</f>
        <v>15.332218000000001</v>
      </c>
      <c r="E45" s="185"/>
      <c r="F45" s="146">
        <f>F44*$B$30/100</f>
        <v>15.037171999999998</v>
      </c>
      <c r="H45" s="140"/>
    </row>
    <row r="46" spans="1:14" ht="19.5" customHeight="1" thickBot="1" x14ac:dyDescent="0.35">
      <c r="A46" s="294" t="s">
        <v>78</v>
      </c>
      <c r="B46" s="295"/>
      <c r="C46" s="143" t="s">
        <v>79</v>
      </c>
      <c r="D46" s="147">
        <f>D45/$B$45</f>
        <v>0.15332218</v>
      </c>
      <c r="E46" s="148"/>
      <c r="F46" s="149">
        <f>F45/$B$45</f>
        <v>0.15037171999999999</v>
      </c>
      <c r="H46" s="140"/>
    </row>
    <row r="47" spans="1:14" ht="27" customHeight="1" thickBot="1" x14ac:dyDescent="0.45">
      <c r="A47" s="296"/>
      <c r="B47" s="297"/>
      <c r="C47" s="150" t="s">
        <v>80</v>
      </c>
      <c r="D47" s="151">
        <v>0.15</v>
      </c>
      <c r="E47" s="152"/>
      <c r="F47" s="148"/>
      <c r="H47" s="140"/>
    </row>
    <row r="48" spans="1:14" ht="18.75" x14ac:dyDescent="0.3">
      <c r="C48" s="153" t="s">
        <v>81</v>
      </c>
      <c r="D48" s="146">
        <f>D47*$B$45</f>
        <v>15</v>
      </c>
      <c r="F48" s="154"/>
      <c r="H48" s="140"/>
    </row>
    <row r="49" spans="1:12" ht="19.5" customHeight="1" thickBot="1" x14ac:dyDescent="0.35">
      <c r="C49" s="155" t="s">
        <v>82</v>
      </c>
      <c r="D49" s="156">
        <f>D48/B34</f>
        <v>15</v>
      </c>
      <c r="F49" s="154"/>
      <c r="H49" s="140"/>
    </row>
    <row r="50" spans="1:12" ht="18.75" x14ac:dyDescent="0.3">
      <c r="C50" s="114" t="s">
        <v>83</v>
      </c>
      <c r="D50" s="157">
        <f>AVERAGE(E38:E41,G38:G41)</f>
        <v>144792052.18670765</v>
      </c>
      <c r="F50" s="158"/>
      <c r="H50" s="140"/>
    </row>
    <row r="51" spans="1:12" ht="18.75" x14ac:dyDescent="0.3">
      <c r="C51" s="116" t="s">
        <v>84</v>
      </c>
      <c r="D51" s="159">
        <f>STDEV(E38:E41,G38:G41)/D50</f>
        <v>1.5756322220977816E-2</v>
      </c>
      <c r="F51" s="158"/>
      <c r="H51" s="140"/>
    </row>
    <row r="52" spans="1:12" ht="19.5" customHeight="1" thickBot="1" x14ac:dyDescent="0.35">
      <c r="C52" s="160" t="s">
        <v>20</v>
      </c>
      <c r="D52" s="161">
        <f>COUNT(E38:E41,G38:G41)</f>
        <v>6</v>
      </c>
      <c r="F52" s="158"/>
    </row>
    <row r="54" spans="1:12" ht="18.75" x14ac:dyDescent="0.3">
      <c r="A54" s="162" t="s">
        <v>1</v>
      </c>
      <c r="B54" s="163" t="s">
        <v>85</v>
      </c>
    </row>
    <row r="55" spans="1:12" ht="18.75" x14ac:dyDescent="0.3">
      <c r="A55" s="188" t="s">
        <v>86</v>
      </c>
      <c r="B55" s="164" t="str">
        <f>B21</f>
        <v xml:space="preserve">Each tablet contains: Lamivudine 30mg + Zidovudine 60mg + Nevirapine 50mg </v>
      </c>
    </row>
    <row r="56" spans="1:12" ht="26.25" customHeight="1" x14ac:dyDescent="0.4">
      <c r="A56" s="164" t="s">
        <v>87</v>
      </c>
      <c r="B56" s="165">
        <v>30</v>
      </c>
      <c r="C56" s="188" t="str">
        <f>B20</f>
        <v xml:space="preserve">Lamivudine  </v>
      </c>
      <c r="H56" s="203"/>
    </row>
    <row r="57" spans="1:12" ht="18.75" x14ac:dyDescent="0.3">
      <c r="A57" s="164" t="s">
        <v>88</v>
      </c>
      <c r="B57" s="243">
        <f>Uniformity!C46</f>
        <v>302.935</v>
      </c>
      <c r="H57" s="203"/>
    </row>
    <row r="58" spans="1:12" ht="19.5" customHeight="1" thickBot="1" x14ac:dyDescent="0.35">
      <c r="H58" s="203"/>
    </row>
    <row r="59" spans="1:12" s="16" customFormat="1" ht="27" customHeight="1" thickBot="1" x14ac:dyDescent="0.45">
      <c r="A59" s="114" t="s">
        <v>89</v>
      </c>
      <c r="B59" s="115">
        <v>100</v>
      </c>
      <c r="C59" s="188"/>
      <c r="D59" s="166" t="s">
        <v>90</v>
      </c>
      <c r="E59" s="167" t="s">
        <v>62</v>
      </c>
      <c r="F59" s="167" t="s">
        <v>63</v>
      </c>
      <c r="G59" s="167" t="s">
        <v>91</v>
      </c>
      <c r="H59" s="118" t="s">
        <v>92</v>
      </c>
      <c r="L59" s="105"/>
    </row>
    <row r="60" spans="1:12" s="16" customFormat="1" ht="26.25" customHeight="1" x14ac:dyDescent="0.4">
      <c r="A60" s="116" t="s">
        <v>93</v>
      </c>
      <c r="B60" s="117">
        <v>1</v>
      </c>
      <c r="C60" s="298" t="s">
        <v>94</v>
      </c>
      <c r="D60" s="301">
        <v>153.22999999999999</v>
      </c>
      <c r="E60" s="168">
        <v>1</v>
      </c>
      <c r="F60" s="169">
        <v>150687789</v>
      </c>
      <c r="G60" s="244">
        <f>IF(ISBLANK(F60),"-",(F60/$D$50*$D$47*$B$68)*($B$57/$D$60))</f>
        <v>30.862439215413257</v>
      </c>
      <c r="H60" s="170">
        <f t="shared" ref="H60:H71" si="0">IF(ISBLANK(F60),"-",G60/$B$56)</f>
        <v>1.0287479738471086</v>
      </c>
      <c r="L60" s="105"/>
    </row>
    <row r="61" spans="1:12" s="16" customFormat="1" ht="26.25" customHeight="1" x14ac:dyDescent="0.4">
      <c r="A61" s="116" t="s">
        <v>95</v>
      </c>
      <c r="B61" s="117">
        <v>1</v>
      </c>
      <c r="C61" s="299"/>
      <c r="D61" s="302"/>
      <c r="E61" s="171">
        <v>2</v>
      </c>
      <c r="F61" s="128">
        <v>150482122</v>
      </c>
      <c r="G61" s="245">
        <f>IF(ISBLANK(F61),"-",(F61/$D$50*$D$47*$B$68)*($B$57/$D$60))</f>
        <v>30.820316457303662</v>
      </c>
      <c r="H61" s="172">
        <f t="shared" si="0"/>
        <v>1.0273438819101222</v>
      </c>
      <c r="L61" s="105"/>
    </row>
    <row r="62" spans="1:12" s="16" customFormat="1" ht="26.25" customHeight="1" x14ac:dyDescent="0.4">
      <c r="A62" s="116" t="s">
        <v>96</v>
      </c>
      <c r="B62" s="117">
        <v>1</v>
      </c>
      <c r="C62" s="299"/>
      <c r="D62" s="302"/>
      <c r="E62" s="171">
        <v>3</v>
      </c>
      <c r="F62" s="173">
        <v>150513132</v>
      </c>
      <c r="G62" s="245">
        <f>IF(ISBLANK(F62),"-",(F62/$D$50*$D$47*$B$68)*($B$57/$D$60))</f>
        <v>30.826667630457251</v>
      </c>
      <c r="H62" s="172">
        <f t="shared" si="0"/>
        <v>1.0275555876819085</v>
      </c>
      <c r="L62" s="105"/>
    </row>
    <row r="63" spans="1:12" ht="27" customHeight="1" thickBot="1" x14ac:dyDescent="0.45">
      <c r="A63" s="116" t="s">
        <v>97</v>
      </c>
      <c r="B63" s="117">
        <v>1</v>
      </c>
      <c r="C63" s="300"/>
      <c r="D63" s="303"/>
      <c r="E63" s="174">
        <v>4</v>
      </c>
      <c r="F63" s="175"/>
      <c r="G63" s="245" t="str">
        <f>IF(ISBLANK(F63),"-",(F63/$D$50*$D$47*$B$68)*($B$57/$D$60))</f>
        <v>-</v>
      </c>
      <c r="H63" s="172" t="str">
        <f t="shared" si="0"/>
        <v>-</v>
      </c>
    </row>
    <row r="64" spans="1:12" ht="26.25" customHeight="1" x14ac:dyDescent="0.4">
      <c r="A64" s="116" t="s">
        <v>98</v>
      </c>
      <c r="B64" s="117">
        <v>1</v>
      </c>
      <c r="C64" s="298" t="s">
        <v>99</v>
      </c>
      <c r="D64" s="301">
        <v>152.16999999999999</v>
      </c>
      <c r="E64" s="168">
        <v>1</v>
      </c>
      <c r="F64" s="169">
        <v>147916389</v>
      </c>
      <c r="G64" s="246">
        <f>IF(ISBLANK(F64),"-",(F64/$D$50*$D$47*$B$68)*($B$57/$D$64))</f>
        <v>30.505857974810855</v>
      </c>
      <c r="H64" s="176">
        <f t="shared" si="0"/>
        <v>1.0168619324936952</v>
      </c>
    </row>
    <row r="65" spans="1:8" ht="26.25" customHeight="1" x14ac:dyDescent="0.4">
      <c r="A65" s="116" t="s">
        <v>100</v>
      </c>
      <c r="B65" s="117">
        <v>1</v>
      </c>
      <c r="C65" s="299"/>
      <c r="D65" s="302"/>
      <c r="E65" s="171">
        <v>2</v>
      </c>
      <c r="F65" s="128">
        <v>147766964</v>
      </c>
      <c r="G65" s="247">
        <f>IF(ISBLANK(F65),"-",(F65/$D$50*$D$47*$B$68)*($B$57/$D$64))</f>
        <v>30.47504098516756</v>
      </c>
      <c r="H65" s="177">
        <f t="shared" si="0"/>
        <v>1.0158346995055854</v>
      </c>
    </row>
    <row r="66" spans="1:8" ht="26.25" customHeight="1" x14ac:dyDescent="0.4">
      <c r="A66" s="116" t="s">
        <v>101</v>
      </c>
      <c r="B66" s="117">
        <v>1</v>
      </c>
      <c r="C66" s="299"/>
      <c r="D66" s="302"/>
      <c r="E66" s="171">
        <v>3</v>
      </c>
      <c r="F66" s="128">
        <v>147797402</v>
      </c>
      <c r="G66" s="247">
        <f>IF(ISBLANK(F66),"-",(F66/$D$50*$D$47*$B$68)*($B$57/$D$64))</f>
        <v>30.481318432253136</v>
      </c>
      <c r="H66" s="177">
        <f t="shared" si="0"/>
        <v>1.0160439477417713</v>
      </c>
    </row>
    <row r="67" spans="1:8" ht="27" customHeight="1" thickBot="1" x14ac:dyDescent="0.45">
      <c r="A67" s="116" t="s">
        <v>102</v>
      </c>
      <c r="B67" s="117">
        <v>1</v>
      </c>
      <c r="C67" s="300"/>
      <c r="D67" s="303"/>
      <c r="E67" s="174">
        <v>4</v>
      </c>
      <c r="F67" s="175"/>
      <c r="G67" s="248" t="str">
        <f>IF(ISBLANK(F67),"-",(F67/$D$50*$D$47*$B$68)*($B$57/$D$64))</f>
        <v>-</v>
      </c>
      <c r="H67" s="178" t="str">
        <f t="shared" si="0"/>
        <v>-</v>
      </c>
    </row>
    <row r="68" spans="1:8" ht="26.25" customHeight="1" x14ac:dyDescent="0.4">
      <c r="A68" s="116" t="s">
        <v>103</v>
      </c>
      <c r="B68" s="179">
        <f>(B67/B66)*(B65/B64)*(B63/B62)*(B61/B60)*B59</f>
        <v>100</v>
      </c>
      <c r="C68" s="298" t="s">
        <v>104</v>
      </c>
      <c r="D68" s="301">
        <v>151.41999999999999</v>
      </c>
      <c r="E68" s="168">
        <v>1</v>
      </c>
      <c r="F68" s="169">
        <v>148827262</v>
      </c>
      <c r="G68" s="246">
        <f>IF(ISBLANK(F68),"-",(F68/$D$50*$D$47*$B$68)*($B$57/$D$68))</f>
        <v>30.845743205688944</v>
      </c>
      <c r="H68" s="172">
        <f t="shared" si="0"/>
        <v>1.0281914401896315</v>
      </c>
    </row>
    <row r="69" spans="1:8" ht="27" customHeight="1" thickBot="1" x14ac:dyDescent="0.45">
      <c r="A69" s="160" t="s">
        <v>105</v>
      </c>
      <c r="B69" s="180">
        <f>(D47*B68)/B56*B57</f>
        <v>151.4675</v>
      </c>
      <c r="C69" s="299"/>
      <c r="D69" s="302"/>
      <c r="E69" s="171">
        <v>2</v>
      </c>
      <c r="F69" s="128">
        <v>148727065</v>
      </c>
      <c r="G69" s="247">
        <f>IF(ISBLANK(F69),"-",(F69/$D$50*$D$47*$B$68)*($B$57/$D$68))</f>
        <v>30.824976506829824</v>
      </c>
      <c r="H69" s="172">
        <f t="shared" si="0"/>
        <v>1.0274992168943275</v>
      </c>
    </row>
    <row r="70" spans="1:8" ht="26.25" customHeight="1" x14ac:dyDescent="0.4">
      <c r="A70" s="307" t="s">
        <v>78</v>
      </c>
      <c r="B70" s="308"/>
      <c r="C70" s="299"/>
      <c r="D70" s="302"/>
      <c r="E70" s="171">
        <v>3</v>
      </c>
      <c r="F70" s="128">
        <v>148767839</v>
      </c>
      <c r="G70" s="247">
        <f>IF(ISBLANK(F70),"-",(F70/$D$50*$D$47*$B$68)*($B$57/$D$68))</f>
        <v>30.833427272614045</v>
      </c>
      <c r="H70" s="172">
        <f t="shared" si="0"/>
        <v>1.0277809090871348</v>
      </c>
    </row>
    <row r="71" spans="1:8" ht="27" customHeight="1" thickBot="1" x14ac:dyDescent="0.45">
      <c r="A71" s="309"/>
      <c r="B71" s="310"/>
      <c r="C71" s="306"/>
      <c r="D71" s="303"/>
      <c r="E71" s="174">
        <v>4</v>
      </c>
      <c r="F71" s="175"/>
      <c r="G71" s="248" t="str">
        <f>IF(ISBLANK(F71),"-",(F71/$D$50*$D$47*$B$68)*($B$57/$D$68))</f>
        <v>-</v>
      </c>
      <c r="H71" s="181" t="str">
        <f t="shared" si="0"/>
        <v>-</v>
      </c>
    </row>
    <row r="72" spans="1:8" ht="26.25" customHeight="1" x14ac:dyDescent="0.4">
      <c r="A72" s="203"/>
      <c r="B72" s="203"/>
      <c r="C72" s="203"/>
      <c r="D72" s="203"/>
      <c r="E72" s="203"/>
      <c r="F72" s="182" t="s">
        <v>71</v>
      </c>
      <c r="G72" s="253">
        <f>AVERAGE(G60:G71)</f>
        <v>30.719531964504281</v>
      </c>
      <c r="H72" s="183">
        <f>AVERAGE(H60:H71)</f>
        <v>1.0239843988168094</v>
      </c>
    </row>
    <row r="73" spans="1:8" ht="26.25" customHeight="1" x14ac:dyDescent="0.4">
      <c r="C73" s="203"/>
      <c r="D73" s="203"/>
      <c r="E73" s="203"/>
      <c r="F73" s="184" t="s">
        <v>84</v>
      </c>
      <c r="G73" s="249">
        <f>STDEV(G60:G71)/G72</f>
        <v>5.6880464779965759E-3</v>
      </c>
      <c r="H73" s="249">
        <f>STDEV(H60:H71)/H72</f>
        <v>5.688046477996575E-3</v>
      </c>
    </row>
    <row r="74" spans="1:8" ht="27" customHeight="1" thickBot="1" x14ac:dyDescent="0.45">
      <c r="A74" s="203"/>
      <c r="B74" s="203"/>
      <c r="C74" s="203"/>
      <c r="D74" s="203"/>
      <c r="E74" s="185"/>
      <c r="F74" s="186" t="s">
        <v>20</v>
      </c>
      <c r="G74" s="187">
        <f>COUNT(G60:G71)</f>
        <v>9</v>
      </c>
      <c r="H74" s="187">
        <f>COUNT(H60:H71)</f>
        <v>9</v>
      </c>
    </row>
    <row r="76" spans="1:8" ht="26.25" customHeight="1" x14ac:dyDescent="0.4">
      <c r="A76" s="237" t="s">
        <v>106</v>
      </c>
      <c r="B76" s="195" t="s">
        <v>107</v>
      </c>
      <c r="C76" s="311" t="str">
        <f>B20</f>
        <v xml:space="preserve">Lamivudine  </v>
      </c>
      <c r="D76" s="311"/>
      <c r="E76" s="188" t="s">
        <v>108</v>
      </c>
      <c r="F76" s="188"/>
      <c r="G76" s="189">
        <f>H72</f>
        <v>1.0239843988168094</v>
      </c>
      <c r="H76" s="262"/>
    </row>
    <row r="77" spans="1:8" ht="18.75" x14ac:dyDescent="0.3">
      <c r="A77" s="103" t="s">
        <v>109</v>
      </c>
      <c r="B77" s="103" t="s">
        <v>110</v>
      </c>
    </row>
    <row r="78" spans="1:8" ht="18.75" x14ac:dyDescent="0.3">
      <c r="A78" s="103"/>
      <c r="B78" s="103"/>
    </row>
    <row r="79" spans="1:8" ht="26.25" customHeight="1" x14ac:dyDescent="0.4">
      <c r="A79" s="237" t="s">
        <v>4</v>
      </c>
      <c r="B79" s="312" t="str">
        <f>B26</f>
        <v xml:space="preserve">Lamivudine  </v>
      </c>
      <c r="C79" s="312"/>
    </row>
    <row r="80" spans="1:8" ht="26.25" customHeight="1" x14ac:dyDescent="0.4">
      <c r="A80" s="195" t="s">
        <v>48</v>
      </c>
      <c r="B80" s="312" t="str">
        <f>B27</f>
        <v>L3-9</v>
      </c>
      <c r="C80" s="312"/>
    </row>
    <row r="81" spans="1:12" ht="27" customHeight="1" thickBot="1" x14ac:dyDescent="0.45">
      <c r="A81" s="195" t="s">
        <v>6</v>
      </c>
      <c r="B81" s="190">
        <f>B28</f>
        <v>101.74</v>
      </c>
    </row>
    <row r="82" spans="1:12" s="16" customFormat="1" ht="27" customHeight="1" thickBot="1" x14ac:dyDescent="0.45">
      <c r="A82" s="195" t="s">
        <v>49</v>
      </c>
      <c r="B82" s="104">
        <v>0</v>
      </c>
      <c r="C82" s="287" t="s">
        <v>50</v>
      </c>
      <c r="D82" s="288"/>
      <c r="E82" s="288"/>
      <c r="F82" s="288"/>
      <c r="G82" s="289"/>
      <c r="I82" s="105"/>
      <c r="J82" s="105"/>
      <c r="K82" s="105"/>
      <c r="L82" s="105"/>
    </row>
    <row r="83" spans="1:12" s="16" customFormat="1" ht="19.5" customHeight="1" thickBot="1" x14ac:dyDescent="0.35">
      <c r="A83" s="195" t="s">
        <v>51</v>
      </c>
      <c r="B83" s="262">
        <f>B81-B82</f>
        <v>101.74</v>
      </c>
      <c r="C83" s="106"/>
      <c r="D83" s="106"/>
      <c r="E83" s="106"/>
      <c r="F83" s="106"/>
      <c r="G83" s="107"/>
      <c r="I83" s="105"/>
      <c r="J83" s="105"/>
      <c r="K83" s="105"/>
      <c r="L83" s="105"/>
    </row>
    <row r="84" spans="1:12" s="16" customFormat="1" ht="27" customHeight="1" thickBot="1" x14ac:dyDescent="0.45">
      <c r="A84" s="195" t="s">
        <v>52</v>
      </c>
      <c r="B84" s="108">
        <v>1</v>
      </c>
      <c r="C84" s="290" t="s">
        <v>111</v>
      </c>
      <c r="D84" s="291"/>
      <c r="E84" s="291"/>
      <c r="F84" s="291"/>
      <c r="G84" s="291"/>
      <c r="H84" s="292"/>
      <c r="I84" s="105"/>
      <c r="J84" s="105"/>
      <c r="K84" s="105"/>
      <c r="L84" s="105"/>
    </row>
    <row r="85" spans="1:12" s="16" customFormat="1" ht="27" customHeight="1" thickBot="1" x14ac:dyDescent="0.45">
      <c r="A85" s="195" t="s">
        <v>54</v>
      </c>
      <c r="B85" s="108">
        <v>1</v>
      </c>
      <c r="C85" s="290" t="s">
        <v>112</v>
      </c>
      <c r="D85" s="291"/>
      <c r="E85" s="291"/>
      <c r="F85" s="291"/>
      <c r="G85" s="291"/>
      <c r="H85" s="292"/>
      <c r="I85" s="105"/>
      <c r="J85" s="105"/>
      <c r="K85" s="105"/>
      <c r="L85" s="105"/>
    </row>
    <row r="86" spans="1:12" s="16" customFormat="1" ht="18.75" x14ac:dyDescent="0.3">
      <c r="A86" s="195"/>
      <c r="B86" s="111"/>
      <c r="C86" s="112"/>
      <c r="D86" s="112"/>
      <c r="E86" s="112"/>
      <c r="F86" s="112"/>
      <c r="G86" s="112"/>
      <c r="H86" s="112"/>
      <c r="I86" s="105"/>
      <c r="J86" s="105"/>
      <c r="K86" s="105"/>
      <c r="L86" s="105"/>
    </row>
    <row r="87" spans="1:12" s="16" customFormat="1" ht="18.75" x14ac:dyDescent="0.3">
      <c r="A87" s="195" t="s">
        <v>56</v>
      </c>
      <c r="B87" s="113">
        <f>B84/B85</f>
        <v>1</v>
      </c>
      <c r="C87" s="188" t="s">
        <v>57</v>
      </c>
      <c r="D87" s="188"/>
      <c r="E87" s="188"/>
      <c r="F87" s="188"/>
      <c r="G87" s="188"/>
      <c r="I87" s="105"/>
      <c r="J87" s="105"/>
      <c r="K87" s="105"/>
      <c r="L87" s="105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4" t="s">
        <v>58</v>
      </c>
      <c r="B89" s="115">
        <v>100</v>
      </c>
      <c r="D89" s="260" t="s">
        <v>59</v>
      </c>
      <c r="E89" s="261"/>
      <c r="F89" s="275" t="s">
        <v>60</v>
      </c>
      <c r="G89" s="277"/>
    </row>
    <row r="90" spans="1:12" ht="27" customHeight="1" thickBot="1" x14ac:dyDescent="0.45">
      <c r="A90" s="116" t="s">
        <v>61</v>
      </c>
      <c r="B90" s="117">
        <v>4</v>
      </c>
      <c r="C90" s="263" t="s">
        <v>62</v>
      </c>
      <c r="D90" s="119" t="s">
        <v>63</v>
      </c>
      <c r="E90" s="120" t="s">
        <v>64</v>
      </c>
      <c r="F90" s="119" t="s">
        <v>63</v>
      </c>
      <c r="G90" s="191" t="s">
        <v>64</v>
      </c>
      <c r="I90" s="122" t="s">
        <v>65</v>
      </c>
    </row>
    <row r="91" spans="1:12" ht="26.25" customHeight="1" x14ac:dyDescent="0.4">
      <c r="A91" s="116" t="s">
        <v>66</v>
      </c>
      <c r="B91" s="117">
        <v>20</v>
      </c>
      <c r="C91" s="192">
        <v>1</v>
      </c>
      <c r="D91" s="124">
        <v>7884921</v>
      </c>
      <c r="E91" s="125">
        <f>IF(ISBLANK(D91),"-",$D$101/$D$98*D91)</f>
        <v>8371213.8536706949</v>
      </c>
      <c r="F91" s="124">
        <v>9064726</v>
      </c>
      <c r="G91" s="126">
        <f>IF(ISBLANK(F91),"-",$D$101/$F$98*F91)</f>
        <v>8422856.1803221051</v>
      </c>
      <c r="I91" s="127"/>
    </row>
    <row r="92" spans="1:12" ht="26.25" customHeight="1" x14ac:dyDescent="0.4">
      <c r="A92" s="116" t="s">
        <v>67</v>
      </c>
      <c r="B92" s="117">
        <v>1</v>
      </c>
      <c r="C92" s="203">
        <v>2</v>
      </c>
      <c r="D92" s="128">
        <v>7771640</v>
      </c>
      <c r="E92" s="129">
        <f>IF(ISBLANK(D92),"-",$D$101/$D$98*D92)</f>
        <v>8250946.386620908</v>
      </c>
      <c r="F92" s="128">
        <v>9173678</v>
      </c>
      <c r="G92" s="130">
        <f>IF(ISBLANK(F92),"-",$D$101/$F$98*F92)</f>
        <v>8524093.3304089867</v>
      </c>
      <c r="I92" s="293">
        <f>ABS((F96/D96*D95)-F95)/D95</f>
        <v>1.4329460196568694E-2</v>
      </c>
    </row>
    <row r="93" spans="1:12" ht="26.25" customHeight="1" x14ac:dyDescent="0.4">
      <c r="A93" s="116" t="s">
        <v>68</v>
      </c>
      <c r="B93" s="117">
        <v>1</v>
      </c>
      <c r="C93" s="203">
        <v>3</v>
      </c>
      <c r="D93" s="128">
        <v>7978288</v>
      </c>
      <c r="E93" s="129">
        <f>IF(ISBLANK(D93),"-",$D$101/$D$98*D93)</f>
        <v>8470339.1491398159</v>
      </c>
      <c r="F93" s="128">
        <v>9104962</v>
      </c>
      <c r="G93" s="130">
        <f>IF(ISBLANK(F93),"-",$D$101/$F$98*F93)</f>
        <v>8460243.0843798164</v>
      </c>
      <c r="I93" s="293"/>
    </row>
    <row r="94" spans="1:12" ht="27" customHeight="1" thickBot="1" x14ac:dyDescent="0.45">
      <c r="A94" s="116" t="s">
        <v>69</v>
      </c>
      <c r="B94" s="117">
        <v>1</v>
      </c>
      <c r="C94" s="193">
        <v>4</v>
      </c>
      <c r="D94" s="132"/>
      <c r="E94" s="133" t="str">
        <f>IF(ISBLANK(D94),"-",$D$101/$D$98*D94)</f>
        <v>-</v>
      </c>
      <c r="F94" s="194"/>
      <c r="G94" s="134" t="str">
        <f>IF(ISBLANK(F94),"-",$D$101/$F$98*F94)</f>
        <v>-</v>
      </c>
      <c r="I94" s="135"/>
    </row>
    <row r="95" spans="1:12" ht="27" customHeight="1" thickBot="1" x14ac:dyDescent="0.45">
      <c r="A95" s="116" t="s">
        <v>70</v>
      </c>
      <c r="B95" s="117">
        <v>1</v>
      </c>
      <c r="C95" s="195" t="s">
        <v>71</v>
      </c>
      <c r="D95" s="196">
        <f>AVERAGE(D91:D94)</f>
        <v>7878283</v>
      </c>
      <c r="E95" s="138">
        <f>AVERAGE(E91:E94)</f>
        <v>8364166.463143806</v>
      </c>
      <c r="F95" s="197">
        <f>AVERAGE(F91:F94)</f>
        <v>9114455.333333334</v>
      </c>
      <c r="G95" s="198">
        <f>AVERAGE(G91:G94)</f>
        <v>8469064.1983703021</v>
      </c>
    </row>
    <row r="96" spans="1:12" ht="26.25" customHeight="1" x14ac:dyDescent="0.4">
      <c r="A96" s="116" t="s">
        <v>72</v>
      </c>
      <c r="B96" s="190">
        <v>1</v>
      </c>
      <c r="C96" s="199" t="s">
        <v>113</v>
      </c>
      <c r="D96" s="200">
        <v>15.43</v>
      </c>
      <c r="E96" s="188"/>
      <c r="F96" s="142">
        <v>17.63</v>
      </c>
    </row>
    <row r="97" spans="1:10" ht="26.25" customHeight="1" x14ac:dyDescent="0.4">
      <c r="A97" s="116" t="s">
        <v>74</v>
      </c>
      <c r="B97" s="190">
        <v>1</v>
      </c>
      <c r="C97" s="201" t="s">
        <v>114</v>
      </c>
      <c r="D97" s="202">
        <f>D96*$B$87</f>
        <v>15.43</v>
      </c>
      <c r="E97" s="203"/>
      <c r="F97" s="144">
        <f>F96*$B$87</f>
        <v>17.63</v>
      </c>
    </row>
    <row r="98" spans="1:10" ht="19.5" customHeight="1" thickBot="1" x14ac:dyDescent="0.35">
      <c r="A98" s="116" t="s">
        <v>76</v>
      </c>
      <c r="B98" s="203">
        <f>(B97/B96)*(B95/B94)*(B93/B92)*(B91/B90)*B89</f>
        <v>500</v>
      </c>
      <c r="C98" s="201" t="s">
        <v>115</v>
      </c>
      <c r="D98" s="204">
        <f>D97*$B$83/100</f>
        <v>15.698481999999998</v>
      </c>
      <c r="E98" s="185"/>
      <c r="F98" s="146">
        <f>F97*$B$83/100</f>
        <v>17.936761999999998</v>
      </c>
    </row>
    <row r="99" spans="1:10" ht="19.5" customHeight="1" thickBot="1" x14ac:dyDescent="0.35">
      <c r="A99" s="294" t="s">
        <v>78</v>
      </c>
      <c r="B99" s="304"/>
      <c r="C99" s="201" t="s">
        <v>116</v>
      </c>
      <c r="D99" s="205">
        <f>D98/$B$98</f>
        <v>3.1396963999999999E-2</v>
      </c>
      <c r="E99" s="185"/>
      <c r="F99" s="149">
        <f>F98/$B$98</f>
        <v>3.5873523999999997E-2</v>
      </c>
      <c r="H99" s="140"/>
    </row>
    <row r="100" spans="1:10" ht="19.5" customHeight="1" thickBot="1" x14ac:dyDescent="0.35">
      <c r="A100" s="296"/>
      <c r="B100" s="305"/>
      <c r="C100" s="201" t="s">
        <v>80</v>
      </c>
      <c r="D100" s="207">
        <f>$B$56/$B$116</f>
        <v>3.3333333333333333E-2</v>
      </c>
      <c r="F100" s="154"/>
      <c r="G100" s="213"/>
      <c r="H100" s="140"/>
    </row>
    <row r="101" spans="1:10" ht="18.75" x14ac:dyDescent="0.3">
      <c r="C101" s="201" t="s">
        <v>81</v>
      </c>
      <c r="D101" s="202">
        <f>D100*$B$98</f>
        <v>16.666666666666668</v>
      </c>
      <c r="F101" s="154"/>
      <c r="H101" s="140"/>
    </row>
    <row r="102" spans="1:10" ht="19.5" customHeight="1" thickBot="1" x14ac:dyDescent="0.35">
      <c r="C102" s="208" t="s">
        <v>82</v>
      </c>
      <c r="D102" s="209">
        <f>D101/B34</f>
        <v>16.666666666666668</v>
      </c>
      <c r="F102" s="158"/>
      <c r="H102" s="140"/>
      <c r="J102" s="210"/>
    </row>
    <row r="103" spans="1:10" ht="18.75" x14ac:dyDescent="0.3">
      <c r="C103" s="211" t="s">
        <v>117</v>
      </c>
      <c r="D103" s="212">
        <f>AVERAGE(E91:E94,G91:G94)</f>
        <v>8416615.3307570536</v>
      </c>
      <c r="F103" s="158"/>
      <c r="G103" s="213"/>
      <c r="H103" s="140"/>
      <c r="J103" s="214"/>
    </row>
    <row r="104" spans="1:10" ht="18.75" x14ac:dyDescent="0.3">
      <c r="C104" s="184" t="s">
        <v>84</v>
      </c>
      <c r="D104" s="215">
        <f>STDEV(E91:E94,G91:G94)/D103</f>
        <v>1.138217215370594E-2</v>
      </c>
      <c r="F104" s="158"/>
      <c r="H104" s="140"/>
      <c r="J104" s="214"/>
    </row>
    <row r="105" spans="1:10" ht="19.5" customHeight="1" thickBot="1" x14ac:dyDescent="0.35">
      <c r="C105" s="186" t="s">
        <v>20</v>
      </c>
      <c r="D105" s="216">
        <f>COUNT(E91:E94,G91:G94)</f>
        <v>6</v>
      </c>
      <c r="F105" s="158"/>
      <c r="H105" s="140"/>
      <c r="J105" s="214"/>
    </row>
    <row r="106" spans="1:10" ht="19.5" customHeight="1" thickBot="1" x14ac:dyDescent="0.35">
      <c r="A106" s="162"/>
      <c r="B106" s="162"/>
      <c r="C106" s="162"/>
      <c r="D106" s="162"/>
      <c r="E106" s="162"/>
    </row>
    <row r="107" spans="1:10" ht="26.25" customHeight="1" x14ac:dyDescent="0.4">
      <c r="A107" s="114" t="s">
        <v>118</v>
      </c>
      <c r="B107" s="115">
        <v>900</v>
      </c>
      <c r="C107" s="260" t="s">
        <v>119</v>
      </c>
      <c r="D107" s="217" t="s">
        <v>63</v>
      </c>
      <c r="E107" s="218" t="s">
        <v>120</v>
      </c>
      <c r="F107" s="219" t="s">
        <v>121</v>
      </c>
    </row>
    <row r="108" spans="1:10" ht="26.25" customHeight="1" x14ac:dyDescent="0.4">
      <c r="A108" s="116" t="s">
        <v>122</v>
      </c>
      <c r="B108" s="117">
        <v>1</v>
      </c>
      <c r="C108" s="220">
        <v>1</v>
      </c>
      <c r="D108" s="221">
        <v>8451518</v>
      </c>
      <c r="E108" s="250">
        <f t="shared" ref="E108:E113" si="1">IF(ISBLANK(D108),"-",D108/$D$103*$D$100*$B$116)</f>
        <v>30.124406312530645</v>
      </c>
      <c r="F108" s="222">
        <f t="shared" ref="F108:F113" si="2">IF(ISBLANK(D108), "-", E108/$B$56)</f>
        <v>1.0041468770843549</v>
      </c>
    </row>
    <row r="109" spans="1:10" ht="26.25" customHeight="1" x14ac:dyDescent="0.4">
      <c r="A109" s="116" t="s">
        <v>95</v>
      </c>
      <c r="B109" s="117">
        <v>1</v>
      </c>
      <c r="C109" s="220">
        <v>2</v>
      </c>
      <c r="D109" s="221">
        <v>8517355</v>
      </c>
      <c r="E109" s="251">
        <f t="shared" si="1"/>
        <v>30.359074278498191</v>
      </c>
      <c r="F109" s="223">
        <f t="shared" si="2"/>
        <v>1.0119691426166064</v>
      </c>
    </row>
    <row r="110" spans="1:10" ht="26.25" customHeight="1" x14ac:dyDescent="0.4">
      <c r="A110" s="116" t="s">
        <v>96</v>
      </c>
      <c r="B110" s="117">
        <v>1</v>
      </c>
      <c r="C110" s="220">
        <v>3</v>
      </c>
      <c r="D110" s="221">
        <v>8355355</v>
      </c>
      <c r="E110" s="251">
        <f t="shared" si="1"/>
        <v>29.781645014000386</v>
      </c>
      <c r="F110" s="223">
        <f t="shared" si="2"/>
        <v>0.99272150046667951</v>
      </c>
    </row>
    <row r="111" spans="1:10" ht="26.25" customHeight="1" x14ac:dyDescent="0.4">
      <c r="A111" s="116" t="s">
        <v>97</v>
      </c>
      <c r="B111" s="117">
        <v>1</v>
      </c>
      <c r="C111" s="220">
        <v>4</v>
      </c>
      <c r="D111" s="221">
        <v>8623338</v>
      </c>
      <c r="E111" s="251">
        <f t="shared" si="1"/>
        <v>30.736837770715912</v>
      </c>
      <c r="F111" s="223">
        <f t="shared" si="2"/>
        <v>1.0245612590238637</v>
      </c>
    </row>
    <row r="112" spans="1:10" ht="26.25" customHeight="1" x14ac:dyDescent="0.4">
      <c r="A112" s="116" t="s">
        <v>98</v>
      </c>
      <c r="B112" s="117">
        <v>1</v>
      </c>
      <c r="C112" s="220">
        <v>5</v>
      </c>
      <c r="D112" s="221">
        <v>8529132</v>
      </c>
      <c r="E112" s="251">
        <f t="shared" si="1"/>
        <v>30.401051960275911</v>
      </c>
      <c r="F112" s="223">
        <f t="shared" si="2"/>
        <v>1.0133683986758637</v>
      </c>
    </row>
    <row r="113" spans="1:10" ht="26.25" customHeight="1" x14ac:dyDescent="0.4">
      <c r="A113" s="116" t="s">
        <v>100</v>
      </c>
      <c r="B113" s="117">
        <v>1</v>
      </c>
      <c r="C113" s="224">
        <v>6</v>
      </c>
      <c r="D113" s="225">
        <v>8447342</v>
      </c>
      <c r="E113" s="252">
        <f t="shared" si="1"/>
        <v>30.109521469268039</v>
      </c>
      <c r="F113" s="226">
        <f t="shared" si="2"/>
        <v>1.003650715642268</v>
      </c>
    </row>
    <row r="114" spans="1:10" ht="26.25" customHeight="1" x14ac:dyDescent="0.4">
      <c r="A114" s="116" t="s">
        <v>101</v>
      </c>
      <c r="B114" s="117">
        <v>1</v>
      </c>
      <c r="C114" s="220"/>
      <c r="D114" s="203"/>
      <c r="E114" s="188"/>
      <c r="F114" s="227"/>
    </row>
    <row r="115" spans="1:10" ht="26.25" customHeight="1" x14ac:dyDescent="0.4">
      <c r="A115" s="116" t="s">
        <v>102</v>
      </c>
      <c r="B115" s="117">
        <v>1</v>
      </c>
      <c r="C115" s="220"/>
      <c r="D115" s="228" t="s">
        <v>71</v>
      </c>
      <c r="E115" s="254">
        <f>AVERAGE(E108:E113)</f>
        <v>30.252089467548178</v>
      </c>
      <c r="F115" s="229">
        <f>AVERAGE(F108:F113)</f>
        <v>1.0084029822516059</v>
      </c>
    </row>
    <row r="116" spans="1:10" ht="27" customHeight="1" thickBot="1" x14ac:dyDescent="0.45">
      <c r="A116" s="116" t="s">
        <v>103</v>
      </c>
      <c r="B116" s="145">
        <f>(B115/B114)*(B113/B112)*(B111/B110)*(B109/B108)*B107</f>
        <v>900</v>
      </c>
      <c r="C116" s="230"/>
      <c r="D116" s="195" t="s">
        <v>84</v>
      </c>
      <c r="E116" s="231">
        <f>STDEV(E108:E113)/E115</f>
        <v>1.0727161808665982E-2</v>
      </c>
      <c r="F116" s="231">
        <f>STDEV(F108:F113)/F115</f>
        <v>1.0727161808665984E-2</v>
      </c>
      <c r="I116" s="188"/>
    </row>
    <row r="117" spans="1:10" ht="27" customHeight="1" thickBot="1" x14ac:dyDescent="0.45">
      <c r="A117" s="294" t="s">
        <v>78</v>
      </c>
      <c r="B117" s="295"/>
      <c r="C117" s="232"/>
      <c r="D117" s="233" t="s">
        <v>20</v>
      </c>
      <c r="E117" s="234">
        <f>COUNT(E108:E113)</f>
        <v>6</v>
      </c>
      <c r="F117" s="234">
        <f>COUNT(F108:F113)</f>
        <v>6</v>
      </c>
      <c r="I117" s="188"/>
      <c r="J117" s="214"/>
    </row>
    <row r="118" spans="1:10" ht="19.5" customHeight="1" thickBot="1" x14ac:dyDescent="0.35">
      <c r="A118" s="296"/>
      <c r="B118" s="297"/>
      <c r="C118" s="188"/>
      <c r="D118" s="188"/>
      <c r="E118" s="188"/>
      <c r="F118" s="203"/>
      <c r="G118" s="188"/>
      <c r="H118" s="188"/>
      <c r="I118" s="188"/>
    </row>
    <row r="119" spans="1:10" ht="18.75" x14ac:dyDescent="0.3">
      <c r="A119" s="241"/>
      <c r="B119" s="112"/>
      <c r="C119" s="188"/>
      <c r="D119" s="188"/>
      <c r="E119" s="188"/>
      <c r="F119" s="203"/>
      <c r="G119" s="188"/>
      <c r="H119" s="188"/>
      <c r="I119" s="188"/>
    </row>
    <row r="120" spans="1:10" ht="26.25" customHeight="1" x14ac:dyDescent="0.4">
      <c r="A120" s="237" t="s">
        <v>106</v>
      </c>
      <c r="B120" s="195" t="s">
        <v>123</v>
      </c>
      <c r="C120" s="311" t="str">
        <f>B20</f>
        <v xml:space="preserve">Lamivudine  </v>
      </c>
      <c r="D120" s="311"/>
      <c r="E120" s="188" t="s">
        <v>124</v>
      </c>
      <c r="F120" s="188"/>
      <c r="G120" s="189">
        <f>F115</f>
        <v>1.0084029822516059</v>
      </c>
      <c r="H120" s="188"/>
      <c r="I120" s="188"/>
    </row>
    <row r="121" spans="1:10" ht="19.5" customHeight="1" thickBot="1" x14ac:dyDescent="0.35">
      <c r="A121" s="264"/>
      <c r="B121" s="264"/>
      <c r="C121" s="235"/>
      <c r="D121" s="235"/>
      <c r="E121" s="235"/>
      <c r="F121" s="235"/>
      <c r="G121" s="235"/>
      <c r="H121" s="235"/>
    </row>
    <row r="122" spans="1:10" ht="18.75" x14ac:dyDescent="0.3">
      <c r="B122" s="313" t="s">
        <v>26</v>
      </c>
      <c r="C122" s="313"/>
      <c r="E122" s="263" t="s">
        <v>27</v>
      </c>
      <c r="F122" s="236"/>
      <c r="G122" s="313" t="s">
        <v>28</v>
      </c>
      <c r="H122" s="313"/>
    </row>
    <row r="123" spans="1:10" ht="69.95" customHeight="1" x14ac:dyDescent="0.3">
      <c r="A123" s="237" t="s">
        <v>29</v>
      </c>
      <c r="B123" s="238"/>
      <c r="C123" s="238"/>
      <c r="E123" s="238"/>
      <c r="F123" s="188"/>
      <c r="G123" s="238"/>
      <c r="H123" s="238"/>
    </row>
    <row r="124" spans="1:10" ht="69.95" customHeight="1" x14ac:dyDescent="0.3">
      <c r="A124" s="237" t="s">
        <v>30</v>
      </c>
      <c r="B124" s="239"/>
      <c r="C124" s="239"/>
      <c r="E124" s="239"/>
      <c r="F124" s="188"/>
      <c r="G124" s="240"/>
      <c r="H124" s="240"/>
    </row>
    <row r="125" spans="1:10" ht="18.75" x14ac:dyDescent="0.3">
      <c r="A125" s="203"/>
      <c r="B125" s="203"/>
      <c r="C125" s="203"/>
      <c r="D125" s="203"/>
      <c r="E125" s="203"/>
      <c r="F125" s="185"/>
      <c r="G125" s="203"/>
      <c r="H125" s="203"/>
      <c r="I125" s="188"/>
    </row>
    <row r="126" spans="1:10" ht="18.75" x14ac:dyDescent="0.3">
      <c r="A126" s="203"/>
      <c r="B126" s="203"/>
      <c r="C126" s="203"/>
      <c r="D126" s="203"/>
      <c r="E126" s="203"/>
      <c r="F126" s="185"/>
      <c r="G126" s="203"/>
      <c r="H126" s="203"/>
      <c r="I126" s="188"/>
    </row>
    <row r="127" spans="1:10" ht="18.75" x14ac:dyDescent="0.3">
      <c r="A127" s="203"/>
      <c r="B127" s="203"/>
      <c r="C127" s="203"/>
      <c r="D127" s="203"/>
      <c r="E127" s="203"/>
      <c r="F127" s="185"/>
      <c r="G127" s="203"/>
      <c r="H127" s="203"/>
      <c r="I127" s="188"/>
    </row>
    <row r="128" spans="1:10" ht="18.75" x14ac:dyDescent="0.3">
      <c r="A128" s="203"/>
      <c r="B128" s="203"/>
      <c r="C128" s="203"/>
      <c r="D128" s="203"/>
      <c r="E128" s="203"/>
      <c r="F128" s="185"/>
      <c r="G128" s="203"/>
      <c r="H128" s="203"/>
      <c r="I128" s="188"/>
    </row>
    <row r="129" spans="1:9" ht="18.75" x14ac:dyDescent="0.3">
      <c r="A129" s="203"/>
      <c r="B129" s="203"/>
      <c r="C129" s="203"/>
      <c r="D129" s="203"/>
      <c r="E129" s="203"/>
      <c r="F129" s="185"/>
      <c r="G129" s="203"/>
      <c r="H129" s="203"/>
      <c r="I129" s="188"/>
    </row>
    <row r="130" spans="1:9" ht="18.75" x14ac:dyDescent="0.3">
      <c r="A130" s="203"/>
      <c r="B130" s="203"/>
      <c r="C130" s="203"/>
      <c r="D130" s="203"/>
      <c r="E130" s="203"/>
      <c r="F130" s="185"/>
      <c r="G130" s="203"/>
      <c r="H130" s="203"/>
      <c r="I130" s="188"/>
    </row>
    <row r="131" spans="1:9" ht="18.75" x14ac:dyDescent="0.3">
      <c r="A131" s="203"/>
      <c r="B131" s="203"/>
      <c r="C131" s="203"/>
      <c r="D131" s="203"/>
      <c r="E131" s="203"/>
      <c r="F131" s="185"/>
      <c r="G131" s="203"/>
      <c r="H131" s="203"/>
      <c r="I131" s="188"/>
    </row>
    <row r="132" spans="1:9" ht="18.75" x14ac:dyDescent="0.3">
      <c r="A132" s="203"/>
      <c r="B132" s="203"/>
      <c r="C132" s="203"/>
      <c r="D132" s="203"/>
      <c r="E132" s="203"/>
      <c r="F132" s="185"/>
      <c r="G132" s="203"/>
      <c r="H132" s="203"/>
      <c r="I132" s="188"/>
    </row>
    <row r="133" spans="1:9" ht="18.75" x14ac:dyDescent="0.3">
      <c r="A133" s="203"/>
      <c r="B133" s="203"/>
      <c r="C133" s="203"/>
      <c r="D133" s="203"/>
      <c r="E133" s="203"/>
      <c r="F133" s="185"/>
      <c r="G133" s="203"/>
      <c r="H133" s="203"/>
      <c r="I133" s="188"/>
    </row>
    <row r="250" spans="1:1" x14ac:dyDescent="0.25">
      <c r="A250" s="206">
        <v>5</v>
      </c>
    </row>
  </sheetData>
  <sheetProtection password="F258" sheet="1" formatColumns="0" formatRows="0" insertColumns="0" insertHyperlinks="0" deleteColumns="0" deleteRows="0" autoFilter="0" pivotTables="0"/>
  <mergeCells count="35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D36:E36"/>
    <mergeCell ref="F36:G36"/>
    <mergeCell ref="A1:I7"/>
    <mergeCell ref="A8:I14"/>
    <mergeCell ref="A16:H16"/>
    <mergeCell ref="A17:H17"/>
    <mergeCell ref="B18:C18"/>
    <mergeCell ref="B21:H21"/>
    <mergeCell ref="B26:C26"/>
    <mergeCell ref="B27:C27"/>
    <mergeCell ref="C29:G29"/>
    <mergeCell ref="C31:H31"/>
    <mergeCell ref="C32:H32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4" zoomScale="60" zoomScaleNormal="40" zoomScalePageLayoutView="50" workbookViewId="0">
      <selection activeCell="D60" sqref="D60:D63"/>
    </sheetView>
  </sheetViews>
  <sheetFormatPr defaultColWidth="9.140625" defaultRowHeight="13.5" x14ac:dyDescent="0.25"/>
  <cols>
    <col min="1" max="1" width="55.42578125" style="206" customWidth="1"/>
    <col min="2" max="2" width="33.7109375" style="206" customWidth="1"/>
    <col min="3" max="3" width="42.28515625" style="206" customWidth="1"/>
    <col min="4" max="4" width="30.5703125" style="206" customWidth="1"/>
    <col min="5" max="5" width="39.85546875" style="206" customWidth="1"/>
    <col min="6" max="6" width="30.7109375" style="206" customWidth="1"/>
    <col min="7" max="7" width="39.85546875" style="206" customWidth="1"/>
    <col min="8" max="8" width="30" style="206" customWidth="1"/>
    <col min="9" max="9" width="30.28515625" style="206" hidden="1" customWidth="1"/>
    <col min="10" max="10" width="30.42578125" style="206" customWidth="1"/>
    <col min="11" max="11" width="21.28515625" style="206" customWidth="1"/>
    <col min="12" max="12" width="9.140625" style="206"/>
    <col min="13" max="16384" width="9.140625" style="44"/>
  </cols>
  <sheetData>
    <row r="1" spans="1:9" ht="18.75" customHeight="1" x14ac:dyDescent="0.25">
      <c r="A1" s="278" t="s">
        <v>45</v>
      </c>
      <c r="B1" s="278"/>
      <c r="C1" s="278"/>
      <c r="D1" s="278"/>
      <c r="E1" s="278"/>
      <c r="F1" s="278"/>
      <c r="G1" s="278"/>
      <c r="H1" s="278"/>
      <c r="I1" s="278"/>
    </row>
    <row r="2" spans="1:9" ht="18.7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9" ht="18.75" customHeight="1" x14ac:dyDescent="0.25">
      <c r="A3" s="278"/>
      <c r="B3" s="278"/>
      <c r="C3" s="278"/>
      <c r="D3" s="278"/>
      <c r="E3" s="278"/>
      <c r="F3" s="278"/>
      <c r="G3" s="278"/>
      <c r="H3" s="278"/>
      <c r="I3" s="278"/>
    </row>
    <row r="4" spans="1:9" ht="18.75" customHeight="1" x14ac:dyDescent="0.25">
      <c r="A4" s="278"/>
      <c r="B4" s="278"/>
      <c r="C4" s="278"/>
      <c r="D4" s="278"/>
      <c r="E4" s="278"/>
      <c r="F4" s="278"/>
      <c r="G4" s="278"/>
      <c r="H4" s="278"/>
      <c r="I4" s="278"/>
    </row>
    <row r="5" spans="1:9" ht="18.75" customHeight="1" x14ac:dyDescent="0.25">
      <c r="A5" s="278"/>
      <c r="B5" s="278"/>
      <c r="C5" s="278"/>
      <c r="D5" s="278"/>
      <c r="E5" s="278"/>
      <c r="F5" s="278"/>
      <c r="G5" s="278"/>
      <c r="H5" s="278"/>
      <c r="I5" s="278"/>
    </row>
    <row r="6" spans="1:9" ht="18.75" customHeight="1" x14ac:dyDescent="0.25">
      <c r="A6" s="278"/>
      <c r="B6" s="278"/>
      <c r="C6" s="278"/>
      <c r="D6" s="278"/>
      <c r="E6" s="278"/>
      <c r="F6" s="278"/>
      <c r="G6" s="278"/>
      <c r="H6" s="278"/>
      <c r="I6" s="278"/>
    </row>
    <row r="7" spans="1:9" ht="18.75" customHeight="1" x14ac:dyDescent="0.25">
      <c r="A7" s="278"/>
      <c r="B7" s="278"/>
      <c r="C7" s="278"/>
      <c r="D7" s="278"/>
      <c r="E7" s="278"/>
      <c r="F7" s="278"/>
      <c r="G7" s="278"/>
      <c r="H7" s="278"/>
      <c r="I7" s="278"/>
    </row>
    <row r="8" spans="1:9" x14ac:dyDescent="0.25">
      <c r="A8" s="279" t="s">
        <v>46</v>
      </c>
      <c r="B8" s="279"/>
      <c r="C8" s="279"/>
      <c r="D8" s="279"/>
      <c r="E8" s="279"/>
      <c r="F8" s="279"/>
      <c r="G8" s="279"/>
      <c r="H8" s="279"/>
      <c r="I8" s="279"/>
    </row>
    <row r="9" spans="1:9" x14ac:dyDescent="0.25">
      <c r="A9" s="279"/>
      <c r="B9" s="279"/>
      <c r="C9" s="279"/>
      <c r="D9" s="279"/>
      <c r="E9" s="279"/>
      <c r="F9" s="279"/>
      <c r="G9" s="279"/>
      <c r="H9" s="279"/>
      <c r="I9" s="279"/>
    </row>
    <row r="10" spans="1:9" x14ac:dyDescent="0.25">
      <c r="A10" s="279"/>
      <c r="B10" s="279"/>
      <c r="C10" s="279"/>
      <c r="D10" s="279"/>
      <c r="E10" s="279"/>
      <c r="F10" s="279"/>
      <c r="G10" s="279"/>
      <c r="H10" s="279"/>
      <c r="I10" s="279"/>
    </row>
    <row r="11" spans="1:9" x14ac:dyDescent="0.25">
      <c r="A11" s="279"/>
      <c r="B11" s="279"/>
      <c r="C11" s="279"/>
      <c r="D11" s="279"/>
      <c r="E11" s="279"/>
      <c r="F11" s="279"/>
      <c r="G11" s="279"/>
      <c r="H11" s="279"/>
      <c r="I11" s="279"/>
    </row>
    <row r="12" spans="1:9" x14ac:dyDescent="0.25">
      <c r="A12" s="279"/>
      <c r="B12" s="279"/>
      <c r="C12" s="279"/>
      <c r="D12" s="279"/>
      <c r="E12" s="279"/>
      <c r="F12" s="279"/>
      <c r="G12" s="279"/>
      <c r="H12" s="279"/>
      <c r="I12" s="279"/>
    </row>
    <row r="13" spans="1:9" x14ac:dyDescent="0.25">
      <c r="A13" s="279"/>
      <c r="B13" s="279"/>
      <c r="C13" s="279"/>
      <c r="D13" s="279"/>
      <c r="E13" s="279"/>
      <c r="F13" s="279"/>
      <c r="G13" s="279"/>
      <c r="H13" s="279"/>
      <c r="I13" s="279"/>
    </row>
    <row r="14" spans="1:9" x14ac:dyDescent="0.25">
      <c r="A14" s="279"/>
      <c r="B14" s="279"/>
      <c r="C14" s="279"/>
      <c r="D14" s="279"/>
      <c r="E14" s="279"/>
      <c r="F14" s="279"/>
      <c r="G14" s="279"/>
      <c r="H14" s="279"/>
      <c r="I14" s="279"/>
    </row>
    <row r="15" spans="1:9" ht="19.5" customHeight="1" thickBot="1" x14ac:dyDescent="0.35">
      <c r="A15" s="188"/>
    </row>
    <row r="16" spans="1:9" ht="19.5" customHeight="1" thickBot="1" x14ac:dyDescent="0.35">
      <c r="A16" s="280" t="s">
        <v>31</v>
      </c>
      <c r="B16" s="281"/>
      <c r="C16" s="281"/>
      <c r="D16" s="281"/>
      <c r="E16" s="281"/>
      <c r="F16" s="281"/>
      <c r="G16" s="281"/>
      <c r="H16" s="282"/>
    </row>
    <row r="17" spans="1:14" ht="20.25" customHeight="1" x14ac:dyDescent="0.25">
      <c r="A17" s="283" t="s">
        <v>47</v>
      </c>
      <c r="B17" s="283"/>
      <c r="C17" s="283"/>
      <c r="D17" s="283"/>
      <c r="E17" s="283"/>
      <c r="F17" s="283"/>
      <c r="G17" s="283"/>
      <c r="H17" s="283"/>
    </row>
    <row r="18" spans="1:14" ht="26.25" customHeight="1" x14ac:dyDescent="0.4">
      <c r="A18" s="98" t="s">
        <v>33</v>
      </c>
      <c r="B18" s="284" t="s">
        <v>5</v>
      </c>
      <c r="C18" s="284"/>
      <c r="D18" s="242"/>
      <c r="E18" s="99"/>
      <c r="F18" s="255"/>
      <c r="G18" s="255"/>
      <c r="H18" s="255"/>
    </row>
    <row r="19" spans="1:14" ht="26.25" customHeight="1" x14ac:dyDescent="0.4">
      <c r="A19" s="98" t="s">
        <v>34</v>
      </c>
      <c r="B19" s="259" t="s">
        <v>7</v>
      </c>
      <c r="C19" s="255">
        <v>29</v>
      </c>
      <c r="D19" s="255"/>
      <c r="E19" s="255"/>
      <c r="F19" s="255"/>
      <c r="G19" s="255"/>
      <c r="H19" s="255"/>
    </row>
    <row r="20" spans="1:14" ht="26.25" customHeight="1" x14ac:dyDescent="0.4">
      <c r="A20" s="98" t="s">
        <v>35</v>
      </c>
      <c r="B20" s="258" t="s">
        <v>126</v>
      </c>
      <c r="C20" s="258"/>
      <c r="D20" s="255"/>
      <c r="E20" s="255"/>
      <c r="F20" s="255"/>
      <c r="G20" s="255"/>
      <c r="H20" s="255"/>
    </row>
    <row r="21" spans="1:14" ht="26.25" customHeight="1" x14ac:dyDescent="0.4">
      <c r="A21" s="98" t="s">
        <v>36</v>
      </c>
      <c r="B21" s="285" t="s">
        <v>11</v>
      </c>
      <c r="C21" s="285"/>
      <c r="D21" s="285"/>
      <c r="E21" s="285"/>
      <c r="F21" s="285"/>
      <c r="G21" s="285"/>
      <c r="H21" s="285"/>
      <c r="I21" s="100"/>
    </row>
    <row r="22" spans="1:14" ht="26.25" customHeight="1" x14ac:dyDescent="0.4">
      <c r="A22" s="98" t="s">
        <v>37</v>
      </c>
      <c r="B22" s="101">
        <v>42482</v>
      </c>
      <c r="C22" s="255"/>
      <c r="D22" s="255"/>
      <c r="E22" s="255"/>
      <c r="F22" s="255"/>
      <c r="G22" s="255"/>
      <c r="H22" s="255"/>
    </row>
    <row r="23" spans="1:14" ht="26.25" customHeight="1" x14ac:dyDescent="0.4">
      <c r="A23" s="98" t="s">
        <v>38</v>
      </c>
      <c r="B23" s="101">
        <v>42485</v>
      </c>
      <c r="C23" s="255"/>
      <c r="D23" s="255"/>
      <c r="E23" s="255"/>
      <c r="F23" s="255"/>
      <c r="G23" s="255"/>
      <c r="H23" s="255"/>
    </row>
    <row r="24" spans="1:14" ht="18.75" x14ac:dyDescent="0.3">
      <c r="A24" s="98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237" t="s">
        <v>4</v>
      </c>
      <c r="B26" s="284" t="s">
        <v>126</v>
      </c>
      <c r="C26" s="284"/>
    </row>
    <row r="27" spans="1:14" ht="26.25" customHeight="1" x14ac:dyDescent="0.4">
      <c r="A27" s="195" t="s">
        <v>48</v>
      </c>
      <c r="B27" s="286" t="s">
        <v>132</v>
      </c>
      <c r="C27" s="286"/>
    </row>
    <row r="28" spans="1:14" ht="27" customHeight="1" thickBot="1" x14ac:dyDescent="0.45">
      <c r="A28" s="195" t="s">
        <v>6</v>
      </c>
      <c r="B28" s="190">
        <v>99.15</v>
      </c>
    </row>
    <row r="29" spans="1:14" s="16" customFormat="1" ht="27" customHeight="1" thickBot="1" x14ac:dyDescent="0.45">
      <c r="A29" s="195" t="s">
        <v>49</v>
      </c>
      <c r="B29" s="104">
        <v>0</v>
      </c>
      <c r="C29" s="287" t="s">
        <v>50</v>
      </c>
      <c r="D29" s="288"/>
      <c r="E29" s="288"/>
      <c r="F29" s="288"/>
      <c r="G29" s="289"/>
      <c r="I29" s="105"/>
      <c r="J29" s="105"/>
      <c r="K29" s="105"/>
      <c r="L29" s="105"/>
    </row>
    <row r="30" spans="1:14" s="16" customFormat="1" ht="19.5" customHeight="1" thickBot="1" x14ac:dyDescent="0.35">
      <c r="A30" s="195" t="s">
        <v>51</v>
      </c>
      <c r="B30" s="262">
        <f>B28-B29</f>
        <v>99.15</v>
      </c>
      <c r="C30" s="106"/>
      <c r="D30" s="106"/>
      <c r="E30" s="106"/>
      <c r="F30" s="106"/>
      <c r="G30" s="107"/>
      <c r="I30" s="105"/>
      <c r="J30" s="105"/>
      <c r="K30" s="105"/>
      <c r="L30" s="105"/>
    </row>
    <row r="31" spans="1:14" s="16" customFormat="1" ht="27" customHeight="1" thickBot="1" x14ac:dyDescent="0.45">
      <c r="A31" s="195" t="s">
        <v>52</v>
      </c>
      <c r="B31" s="108">
        <v>1</v>
      </c>
      <c r="C31" s="290" t="s">
        <v>53</v>
      </c>
      <c r="D31" s="291"/>
      <c r="E31" s="291"/>
      <c r="F31" s="291"/>
      <c r="G31" s="291"/>
      <c r="H31" s="292"/>
      <c r="I31" s="105"/>
      <c r="J31" s="105"/>
      <c r="K31" s="105"/>
      <c r="L31" s="105"/>
    </row>
    <row r="32" spans="1:14" s="16" customFormat="1" ht="27" customHeight="1" thickBot="1" x14ac:dyDescent="0.45">
      <c r="A32" s="195" t="s">
        <v>54</v>
      </c>
      <c r="B32" s="108">
        <v>1</v>
      </c>
      <c r="C32" s="290" t="s">
        <v>55</v>
      </c>
      <c r="D32" s="291"/>
      <c r="E32" s="291"/>
      <c r="F32" s="291"/>
      <c r="G32" s="291"/>
      <c r="H32" s="292"/>
      <c r="I32" s="105"/>
      <c r="J32" s="105"/>
      <c r="K32" s="105"/>
      <c r="L32" s="109"/>
      <c r="M32" s="109"/>
      <c r="N32" s="110"/>
    </row>
    <row r="33" spans="1:14" s="16" customFormat="1" ht="17.25" customHeight="1" x14ac:dyDescent="0.3">
      <c r="A33" s="195"/>
      <c r="B33" s="111"/>
      <c r="C33" s="112"/>
      <c r="D33" s="112"/>
      <c r="E33" s="112"/>
      <c r="F33" s="112"/>
      <c r="G33" s="112"/>
      <c r="H33" s="112"/>
      <c r="I33" s="105"/>
      <c r="J33" s="105"/>
      <c r="K33" s="105"/>
      <c r="L33" s="109"/>
      <c r="M33" s="109"/>
      <c r="N33" s="110"/>
    </row>
    <row r="34" spans="1:14" s="16" customFormat="1" ht="18.75" x14ac:dyDescent="0.3">
      <c r="A34" s="195" t="s">
        <v>56</v>
      </c>
      <c r="B34" s="113">
        <f>B31/B32</f>
        <v>1</v>
      </c>
      <c r="C34" s="188" t="s">
        <v>57</v>
      </c>
      <c r="D34" s="188"/>
      <c r="E34" s="188"/>
      <c r="F34" s="188"/>
      <c r="G34" s="188"/>
      <c r="I34" s="105"/>
      <c r="J34" s="105"/>
      <c r="K34" s="105"/>
      <c r="L34" s="109"/>
      <c r="M34" s="109"/>
      <c r="N34" s="110"/>
    </row>
    <row r="35" spans="1:14" s="16" customFormat="1" ht="19.5" customHeight="1" thickBot="1" x14ac:dyDescent="0.35">
      <c r="A35" s="195"/>
      <c r="B35" s="262"/>
      <c r="G35" s="188"/>
      <c r="I35" s="105"/>
      <c r="J35" s="105"/>
      <c r="K35" s="105"/>
      <c r="L35" s="109"/>
      <c r="M35" s="109"/>
      <c r="N35" s="110"/>
    </row>
    <row r="36" spans="1:14" s="16" customFormat="1" ht="27" customHeight="1" thickBot="1" x14ac:dyDescent="0.45">
      <c r="A36" s="114" t="s">
        <v>58</v>
      </c>
      <c r="B36" s="115">
        <v>20</v>
      </c>
      <c r="C36" s="188"/>
      <c r="D36" s="275" t="s">
        <v>59</v>
      </c>
      <c r="E36" s="276"/>
      <c r="F36" s="275" t="s">
        <v>60</v>
      </c>
      <c r="G36" s="277"/>
      <c r="J36" s="105"/>
      <c r="K36" s="105"/>
      <c r="L36" s="109"/>
      <c r="M36" s="109"/>
      <c r="N36" s="110"/>
    </row>
    <row r="37" spans="1:14" s="16" customFormat="1" ht="27" customHeight="1" thickBot="1" x14ac:dyDescent="0.45">
      <c r="A37" s="116" t="s">
        <v>61</v>
      </c>
      <c r="B37" s="117">
        <v>4</v>
      </c>
      <c r="C37" s="118" t="s">
        <v>62</v>
      </c>
      <c r="D37" s="119" t="s">
        <v>63</v>
      </c>
      <c r="E37" s="120" t="s">
        <v>64</v>
      </c>
      <c r="F37" s="119" t="s">
        <v>63</v>
      </c>
      <c r="G37" s="121" t="s">
        <v>64</v>
      </c>
      <c r="I37" s="122" t="s">
        <v>65</v>
      </c>
      <c r="J37" s="105"/>
      <c r="K37" s="105"/>
      <c r="L37" s="109"/>
      <c r="M37" s="109"/>
      <c r="N37" s="110"/>
    </row>
    <row r="38" spans="1:14" s="16" customFormat="1" ht="26.25" customHeight="1" x14ac:dyDescent="0.4">
      <c r="A38" s="116" t="s">
        <v>66</v>
      </c>
      <c r="B38" s="117">
        <v>20</v>
      </c>
      <c r="C38" s="123">
        <v>1</v>
      </c>
      <c r="D38" s="124">
        <v>122873949</v>
      </c>
      <c r="E38" s="125">
        <f>IF(ISBLANK(D38),"-",$D$48/$D$45*D38)</f>
        <v>129766839.07454196</v>
      </c>
      <c r="F38" s="124">
        <v>133207118</v>
      </c>
      <c r="G38" s="126">
        <f>IF(ISBLANK(F38),"-",$D$48/$F$45*F38)</f>
        <v>134281944.25228128</v>
      </c>
      <c r="I38" s="127"/>
      <c r="J38" s="105"/>
      <c r="K38" s="105"/>
      <c r="L38" s="109"/>
      <c r="M38" s="109"/>
      <c r="N38" s="110"/>
    </row>
    <row r="39" spans="1:14" s="16" customFormat="1" ht="26.25" customHeight="1" x14ac:dyDescent="0.4">
      <c r="A39" s="116" t="s">
        <v>67</v>
      </c>
      <c r="B39" s="117">
        <v>1</v>
      </c>
      <c r="C39" s="145">
        <v>2</v>
      </c>
      <c r="D39" s="128">
        <v>122920685</v>
      </c>
      <c r="E39" s="129">
        <f>IF(ISBLANK(D39),"-",$D$48/$D$45*D39)</f>
        <v>129816196.83540457</v>
      </c>
      <c r="F39" s="128">
        <v>133257341</v>
      </c>
      <c r="G39" s="130">
        <f>IF(ISBLANK(F39),"-",$D$48/$F$45*F39)</f>
        <v>134332572.4933801</v>
      </c>
      <c r="I39" s="293">
        <f>ABS((F43/D43*D42)-F42)/D42</f>
        <v>3.6511660019544839E-2</v>
      </c>
      <c r="J39" s="105"/>
      <c r="K39" s="105"/>
      <c r="L39" s="109"/>
      <c r="M39" s="109"/>
      <c r="N39" s="110"/>
    </row>
    <row r="40" spans="1:14" ht="26.25" customHeight="1" x14ac:dyDescent="0.4">
      <c r="A40" s="116" t="s">
        <v>68</v>
      </c>
      <c r="B40" s="117">
        <v>1</v>
      </c>
      <c r="C40" s="145">
        <v>3</v>
      </c>
      <c r="D40" s="128">
        <v>122922844</v>
      </c>
      <c r="E40" s="129">
        <f>IF(ISBLANK(D40),"-",$D$48/$D$45*D40)</f>
        <v>129818476.94935746</v>
      </c>
      <c r="F40" s="128">
        <v>133282674</v>
      </c>
      <c r="G40" s="130">
        <f>IF(ISBLANK(F40),"-",$D$48/$F$45*F40)</f>
        <v>134358109.90117645</v>
      </c>
      <c r="I40" s="293"/>
      <c r="L40" s="109"/>
      <c r="M40" s="109"/>
      <c r="N40" s="188"/>
    </row>
    <row r="41" spans="1:14" ht="27" customHeight="1" thickBot="1" x14ac:dyDescent="0.45">
      <c r="A41" s="116" t="s">
        <v>69</v>
      </c>
      <c r="B41" s="117">
        <v>1</v>
      </c>
      <c r="C41" s="131">
        <v>4</v>
      </c>
      <c r="D41" s="132"/>
      <c r="E41" s="133" t="str">
        <f>IF(ISBLANK(D41),"-",$D$48/$D$45*D41)</f>
        <v>-</v>
      </c>
      <c r="F41" s="132"/>
      <c r="G41" s="134" t="str">
        <f>IF(ISBLANK(F41),"-",$D$48/$F$45*F41)</f>
        <v>-</v>
      </c>
      <c r="I41" s="135"/>
      <c r="L41" s="109"/>
      <c r="M41" s="109"/>
      <c r="N41" s="188"/>
    </row>
    <row r="42" spans="1:14" ht="27" customHeight="1" thickBot="1" x14ac:dyDescent="0.45">
      <c r="A42" s="116" t="s">
        <v>70</v>
      </c>
      <c r="B42" s="117">
        <v>1</v>
      </c>
      <c r="C42" s="136" t="s">
        <v>71</v>
      </c>
      <c r="D42" s="137">
        <f>AVERAGE(D38:D41)</f>
        <v>122905826</v>
      </c>
      <c r="E42" s="138">
        <f>AVERAGE(E38:E41)</f>
        <v>129800504.28643467</v>
      </c>
      <c r="F42" s="137">
        <f>AVERAGE(F38:F41)</f>
        <v>133249044.33333333</v>
      </c>
      <c r="G42" s="139">
        <f>AVERAGE(G38:G41)</f>
        <v>134324208.88227928</v>
      </c>
      <c r="H42" s="140"/>
    </row>
    <row r="43" spans="1:14" ht="26.25" customHeight="1" x14ac:dyDescent="0.4">
      <c r="A43" s="116" t="s">
        <v>72</v>
      </c>
      <c r="B43" s="117">
        <v>1</v>
      </c>
      <c r="C43" s="141" t="s">
        <v>73</v>
      </c>
      <c r="D43" s="142">
        <v>19.100000000000001</v>
      </c>
      <c r="E43" s="188"/>
      <c r="F43" s="142">
        <v>20.010000000000002</v>
      </c>
      <c r="H43" s="140"/>
    </row>
    <row r="44" spans="1:14" ht="26.25" customHeight="1" x14ac:dyDescent="0.4">
      <c r="A44" s="116" t="s">
        <v>74</v>
      </c>
      <c r="B44" s="117">
        <v>1</v>
      </c>
      <c r="C44" s="143" t="s">
        <v>75</v>
      </c>
      <c r="D44" s="144">
        <f>D43*$B$34</f>
        <v>19.100000000000001</v>
      </c>
      <c r="E44" s="203"/>
      <c r="F44" s="144">
        <f>F43*$B$34</f>
        <v>20.010000000000002</v>
      </c>
      <c r="H44" s="140"/>
    </row>
    <row r="45" spans="1:14" ht="19.5" customHeight="1" thickBot="1" x14ac:dyDescent="0.35">
      <c r="A45" s="116" t="s">
        <v>76</v>
      </c>
      <c r="B45" s="145">
        <f>(B44/B43)*(B42/B41)*(B40/B39)*(B38/B37)*B36</f>
        <v>100</v>
      </c>
      <c r="C45" s="143" t="s">
        <v>77</v>
      </c>
      <c r="D45" s="146">
        <f>D44*$B$30/100</f>
        <v>18.937650000000005</v>
      </c>
      <c r="E45" s="185"/>
      <c r="F45" s="146">
        <f>F44*$B$30/100</f>
        <v>19.839915000000005</v>
      </c>
      <c r="H45" s="140"/>
    </row>
    <row r="46" spans="1:14" ht="19.5" customHeight="1" thickBot="1" x14ac:dyDescent="0.35">
      <c r="A46" s="294" t="s">
        <v>78</v>
      </c>
      <c r="B46" s="295"/>
      <c r="C46" s="143" t="s">
        <v>79</v>
      </c>
      <c r="D46" s="147">
        <f>D45/$B$45</f>
        <v>0.18937650000000006</v>
      </c>
      <c r="E46" s="148"/>
      <c r="F46" s="149">
        <f>F45/$B$45</f>
        <v>0.19839915000000005</v>
      </c>
      <c r="H46" s="140"/>
    </row>
    <row r="47" spans="1:14" ht="27" customHeight="1" thickBot="1" x14ac:dyDescent="0.45">
      <c r="A47" s="296"/>
      <c r="B47" s="297"/>
      <c r="C47" s="150" t="s">
        <v>80</v>
      </c>
      <c r="D47" s="151">
        <v>0.2</v>
      </c>
      <c r="E47" s="152"/>
      <c r="F47" s="148"/>
      <c r="H47" s="140"/>
    </row>
    <row r="48" spans="1:14" ht="18.75" x14ac:dyDescent="0.3">
      <c r="C48" s="153" t="s">
        <v>81</v>
      </c>
      <c r="D48" s="146">
        <f>D47*$B$45</f>
        <v>20</v>
      </c>
      <c r="F48" s="154"/>
      <c r="H48" s="140"/>
    </row>
    <row r="49" spans="1:12" ht="19.5" customHeight="1" thickBot="1" x14ac:dyDescent="0.35">
      <c r="C49" s="155" t="s">
        <v>82</v>
      </c>
      <c r="D49" s="156">
        <f>D48/B34</f>
        <v>20</v>
      </c>
      <c r="F49" s="154"/>
      <c r="H49" s="140"/>
    </row>
    <row r="50" spans="1:12" ht="18.75" x14ac:dyDescent="0.3">
      <c r="C50" s="114" t="s">
        <v>83</v>
      </c>
      <c r="D50" s="157">
        <f>AVERAGE(E38:E41,G38:G41)</f>
        <v>132062356.58435696</v>
      </c>
      <c r="F50" s="158"/>
      <c r="H50" s="140"/>
    </row>
    <row r="51" spans="1:12" ht="18.75" x14ac:dyDescent="0.3">
      <c r="C51" s="116" t="s">
        <v>84</v>
      </c>
      <c r="D51" s="159">
        <f>STDEV(E38:E41,G38:G41)/D50</f>
        <v>1.8763295806797524E-2</v>
      </c>
      <c r="F51" s="158"/>
      <c r="H51" s="140"/>
    </row>
    <row r="52" spans="1:12" ht="19.5" customHeight="1" thickBot="1" x14ac:dyDescent="0.35">
      <c r="C52" s="160" t="s">
        <v>20</v>
      </c>
      <c r="D52" s="161">
        <f>COUNT(E38:E41,G38:G41)</f>
        <v>6</v>
      </c>
      <c r="F52" s="158"/>
    </row>
    <row r="54" spans="1:12" ht="18.75" x14ac:dyDescent="0.3">
      <c r="A54" s="162" t="s">
        <v>1</v>
      </c>
      <c r="B54" s="163" t="s">
        <v>85</v>
      </c>
    </row>
    <row r="55" spans="1:12" ht="18.75" x14ac:dyDescent="0.3">
      <c r="A55" s="188" t="s">
        <v>86</v>
      </c>
      <c r="B55" s="164" t="str">
        <f>B21</f>
        <v xml:space="preserve">Each tablet contains: Lamivudine 30mg + Zidovudine 60mg + Nevirapine 50mg </v>
      </c>
    </row>
    <row r="56" spans="1:12" ht="26.25" customHeight="1" x14ac:dyDescent="0.4">
      <c r="A56" s="164" t="s">
        <v>87</v>
      </c>
      <c r="B56" s="165">
        <v>50</v>
      </c>
      <c r="C56" s="188" t="str">
        <f>B20</f>
        <v xml:space="preserve">Nevirapine  </v>
      </c>
      <c r="H56" s="203"/>
    </row>
    <row r="57" spans="1:12" ht="18.75" x14ac:dyDescent="0.3">
      <c r="A57" s="164" t="s">
        <v>88</v>
      </c>
      <c r="B57" s="243">
        <f>Uniformity!C46</f>
        <v>302.935</v>
      </c>
      <c r="H57" s="203"/>
    </row>
    <row r="58" spans="1:12" ht="19.5" customHeight="1" thickBot="1" x14ac:dyDescent="0.35">
      <c r="H58" s="203"/>
    </row>
    <row r="59" spans="1:12" s="16" customFormat="1" ht="27" customHeight="1" thickBot="1" x14ac:dyDescent="0.45">
      <c r="A59" s="114" t="s">
        <v>89</v>
      </c>
      <c r="B59" s="115">
        <v>100</v>
      </c>
      <c r="C59" s="188"/>
      <c r="D59" s="166" t="s">
        <v>90</v>
      </c>
      <c r="E59" s="167" t="s">
        <v>62</v>
      </c>
      <c r="F59" s="167" t="s">
        <v>63</v>
      </c>
      <c r="G59" s="167" t="s">
        <v>91</v>
      </c>
      <c r="H59" s="118" t="s">
        <v>92</v>
      </c>
      <c r="L59" s="105"/>
    </row>
    <row r="60" spans="1:12" s="16" customFormat="1" ht="26.25" customHeight="1" x14ac:dyDescent="0.4">
      <c r="A60" s="116" t="s">
        <v>93</v>
      </c>
      <c r="B60" s="117">
        <v>1</v>
      </c>
      <c r="C60" s="298" t="s">
        <v>94</v>
      </c>
      <c r="D60" s="301">
        <v>153.22999999999999</v>
      </c>
      <c r="E60" s="168">
        <v>1</v>
      </c>
      <c r="F60" s="169">
        <v>165302443</v>
      </c>
      <c r="G60" s="244">
        <f>IF(ISBLANK(F60),"-",(F60/$D$50*$D$47*$B$68)*($B$57/$D$60))</f>
        <v>49.492099387745263</v>
      </c>
      <c r="H60" s="170">
        <f t="shared" ref="H60:H71" si="0">IF(ISBLANK(F60),"-",G60/$B$56)</f>
        <v>0.98984198775490528</v>
      </c>
      <c r="L60" s="105"/>
    </row>
    <row r="61" spans="1:12" s="16" customFormat="1" ht="26.25" customHeight="1" x14ac:dyDescent="0.4">
      <c r="A61" s="116" t="s">
        <v>95</v>
      </c>
      <c r="B61" s="117">
        <v>1</v>
      </c>
      <c r="C61" s="299"/>
      <c r="D61" s="302"/>
      <c r="E61" s="171">
        <v>2</v>
      </c>
      <c r="F61" s="128">
        <v>165234503</v>
      </c>
      <c r="G61" s="245">
        <f>IF(ISBLANK(F61),"-",(F61/$D$50*$D$47*$B$68)*($B$57/$D$60))</f>
        <v>49.471757926534046</v>
      </c>
      <c r="H61" s="172">
        <f t="shared" si="0"/>
        <v>0.98943515853068087</v>
      </c>
      <c r="L61" s="105"/>
    </row>
    <row r="62" spans="1:12" s="16" customFormat="1" ht="26.25" customHeight="1" x14ac:dyDescent="0.4">
      <c r="A62" s="116" t="s">
        <v>96</v>
      </c>
      <c r="B62" s="117">
        <v>1</v>
      </c>
      <c r="C62" s="299"/>
      <c r="D62" s="302"/>
      <c r="E62" s="171">
        <v>3</v>
      </c>
      <c r="F62" s="173">
        <v>165254704</v>
      </c>
      <c r="G62" s="245">
        <f>IF(ISBLANK(F62),"-",(F62/$D$50*$D$47*$B$68)*($B$57/$D$60))</f>
        <v>49.477806172897424</v>
      </c>
      <c r="H62" s="172">
        <f t="shared" si="0"/>
        <v>0.98955612345794852</v>
      </c>
      <c r="L62" s="105"/>
    </row>
    <row r="63" spans="1:12" ht="27" customHeight="1" thickBot="1" x14ac:dyDescent="0.45">
      <c r="A63" s="116" t="s">
        <v>97</v>
      </c>
      <c r="B63" s="117">
        <v>1</v>
      </c>
      <c r="C63" s="300"/>
      <c r="D63" s="303"/>
      <c r="E63" s="174">
        <v>4</v>
      </c>
      <c r="F63" s="175"/>
      <c r="G63" s="245" t="str">
        <f>IF(ISBLANK(F63),"-",(F63/$D$50*$D$47*$B$68)*($B$57/$D$60))</f>
        <v>-</v>
      </c>
      <c r="H63" s="172" t="str">
        <f t="shared" si="0"/>
        <v>-</v>
      </c>
    </row>
    <row r="64" spans="1:12" ht="26.25" customHeight="1" x14ac:dyDescent="0.4">
      <c r="A64" s="116" t="s">
        <v>98</v>
      </c>
      <c r="B64" s="117">
        <v>1</v>
      </c>
      <c r="C64" s="298" t="s">
        <v>99</v>
      </c>
      <c r="D64" s="301">
        <v>152.16999999999999</v>
      </c>
      <c r="E64" s="168">
        <v>1</v>
      </c>
      <c r="F64" s="169">
        <v>163461869</v>
      </c>
      <c r="G64" s="246">
        <f>IF(ISBLANK(F64),"-",(F64/$D$50*$D$47*$B$68)*($B$57/$D$64))</f>
        <v>49.281943397373873</v>
      </c>
      <c r="H64" s="176">
        <f t="shared" si="0"/>
        <v>0.98563886794747746</v>
      </c>
    </row>
    <row r="65" spans="1:8" ht="26.25" customHeight="1" x14ac:dyDescent="0.4">
      <c r="A65" s="116" t="s">
        <v>100</v>
      </c>
      <c r="B65" s="117">
        <v>1</v>
      </c>
      <c r="C65" s="299"/>
      <c r="D65" s="302"/>
      <c r="E65" s="171">
        <v>2</v>
      </c>
      <c r="F65" s="128">
        <v>163420864</v>
      </c>
      <c r="G65" s="247">
        <f>IF(ISBLANK(F65),"-",(F65/$D$50*$D$47*$B$68)*($B$57/$D$64))</f>
        <v>49.269580843945526</v>
      </c>
      <c r="H65" s="177">
        <f t="shared" si="0"/>
        <v>0.98539161687891053</v>
      </c>
    </row>
    <row r="66" spans="1:8" ht="26.25" customHeight="1" x14ac:dyDescent="0.4">
      <c r="A66" s="116" t="s">
        <v>101</v>
      </c>
      <c r="B66" s="117">
        <v>1</v>
      </c>
      <c r="C66" s="299"/>
      <c r="D66" s="302"/>
      <c r="E66" s="171">
        <v>3</v>
      </c>
      <c r="F66" s="128">
        <v>163477088</v>
      </c>
      <c r="G66" s="247">
        <f>IF(ISBLANK(F66),"-",(F66/$D$50*$D$47*$B$68)*($B$57/$D$64))</f>
        <v>49.286531757345237</v>
      </c>
      <c r="H66" s="177">
        <f t="shared" si="0"/>
        <v>0.98573063514690473</v>
      </c>
    </row>
    <row r="67" spans="1:8" ht="27" customHeight="1" thickBot="1" x14ac:dyDescent="0.45">
      <c r="A67" s="116" t="s">
        <v>102</v>
      </c>
      <c r="B67" s="117">
        <v>1</v>
      </c>
      <c r="C67" s="300"/>
      <c r="D67" s="303"/>
      <c r="E67" s="174">
        <v>4</v>
      </c>
      <c r="F67" s="175"/>
      <c r="G67" s="248" t="str">
        <f>IF(ISBLANK(F67),"-",(F67/$D$50*$D$47*$B$68)*($B$57/$D$64))</f>
        <v>-</v>
      </c>
      <c r="H67" s="178" t="str">
        <f t="shared" si="0"/>
        <v>-</v>
      </c>
    </row>
    <row r="68" spans="1:8" ht="26.25" customHeight="1" x14ac:dyDescent="0.4">
      <c r="A68" s="116" t="s">
        <v>103</v>
      </c>
      <c r="B68" s="179">
        <f>(B67/B66)*(B65/B64)*(B63/B62)*(B61/B60)*B59</f>
        <v>100</v>
      </c>
      <c r="C68" s="298" t="s">
        <v>104</v>
      </c>
      <c r="D68" s="301">
        <v>151.41999999999999</v>
      </c>
      <c r="E68" s="168">
        <v>1</v>
      </c>
      <c r="F68" s="169">
        <v>162222435</v>
      </c>
      <c r="G68" s="246">
        <f>IF(ISBLANK(F68),"-",(F68/$D$50*$D$47*$B$68)*($B$57/$D$68))</f>
        <v>49.150515828578619</v>
      </c>
      <c r="H68" s="172">
        <f t="shared" si="0"/>
        <v>0.98301031657157234</v>
      </c>
    </row>
    <row r="69" spans="1:8" ht="27" customHeight="1" thickBot="1" x14ac:dyDescent="0.45">
      <c r="A69" s="160" t="s">
        <v>105</v>
      </c>
      <c r="B69" s="180">
        <f>(D47*B68)/B56*B57</f>
        <v>121.17400000000001</v>
      </c>
      <c r="C69" s="299"/>
      <c r="D69" s="302"/>
      <c r="E69" s="171">
        <v>2</v>
      </c>
      <c r="F69" s="128">
        <v>162184459</v>
      </c>
      <c r="G69" s="247">
        <f>IF(ISBLANK(F69),"-",(F69/$D$50*$D$47*$B$68)*($B$57/$D$68))</f>
        <v>49.139009775244467</v>
      </c>
      <c r="H69" s="172">
        <f t="shared" si="0"/>
        <v>0.98278019550488938</v>
      </c>
    </row>
    <row r="70" spans="1:8" ht="26.25" customHeight="1" x14ac:dyDescent="0.4">
      <c r="A70" s="307" t="s">
        <v>78</v>
      </c>
      <c r="B70" s="308"/>
      <c r="C70" s="299"/>
      <c r="D70" s="302"/>
      <c r="E70" s="171">
        <v>3</v>
      </c>
      <c r="F70" s="128">
        <v>162317263</v>
      </c>
      <c r="G70" s="247">
        <f>IF(ISBLANK(F70),"-",(F70/$D$50*$D$47*$B$68)*($B$57/$D$68))</f>
        <v>49.179247027903756</v>
      </c>
      <c r="H70" s="172">
        <f t="shared" si="0"/>
        <v>0.9835849405580751</v>
      </c>
    </row>
    <row r="71" spans="1:8" ht="27" customHeight="1" thickBot="1" x14ac:dyDescent="0.45">
      <c r="A71" s="309"/>
      <c r="B71" s="310"/>
      <c r="C71" s="306"/>
      <c r="D71" s="303"/>
      <c r="E71" s="174">
        <v>4</v>
      </c>
      <c r="F71" s="175"/>
      <c r="G71" s="248" t="str">
        <f>IF(ISBLANK(F71),"-",(F71/$D$50*$D$47*$B$68)*($B$57/$D$68))</f>
        <v>-</v>
      </c>
      <c r="H71" s="181" t="str">
        <f t="shared" si="0"/>
        <v>-</v>
      </c>
    </row>
    <row r="72" spans="1:8" ht="26.25" customHeight="1" x14ac:dyDescent="0.4">
      <c r="A72" s="203"/>
      <c r="B72" s="203"/>
      <c r="C72" s="203"/>
      <c r="D72" s="203"/>
      <c r="E72" s="203"/>
      <c r="F72" s="182" t="s">
        <v>71</v>
      </c>
      <c r="G72" s="253">
        <f>AVERAGE(G60:G71)</f>
        <v>49.30538801306313</v>
      </c>
      <c r="H72" s="183">
        <f>AVERAGE(H60:H71)</f>
        <v>0.9861077602612629</v>
      </c>
    </row>
    <row r="73" spans="1:8" ht="26.25" customHeight="1" x14ac:dyDescent="0.4">
      <c r="C73" s="203"/>
      <c r="D73" s="203"/>
      <c r="E73" s="203"/>
      <c r="F73" s="184" t="s">
        <v>84</v>
      </c>
      <c r="G73" s="249">
        <f>STDEV(G60:G71)/G72</f>
        <v>2.886448909674425E-3</v>
      </c>
      <c r="H73" s="249">
        <f>STDEV(H60:H71)/H72</f>
        <v>2.8864489096744319E-3</v>
      </c>
    </row>
    <row r="74" spans="1:8" ht="27" customHeight="1" thickBot="1" x14ac:dyDescent="0.45">
      <c r="A74" s="203"/>
      <c r="B74" s="203"/>
      <c r="C74" s="203"/>
      <c r="D74" s="203"/>
      <c r="E74" s="185"/>
      <c r="F74" s="186" t="s">
        <v>20</v>
      </c>
      <c r="G74" s="187">
        <f>COUNT(G60:G71)</f>
        <v>9</v>
      </c>
      <c r="H74" s="187">
        <f>COUNT(H60:H71)</f>
        <v>9</v>
      </c>
    </row>
    <row r="76" spans="1:8" ht="26.25" customHeight="1" x14ac:dyDescent="0.4">
      <c r="A76" s="237" t="s">
        <v>106</v>
      </c>
      <c r="B76" s="195" t="s">
        <v>107</v>
      </c>
      <c r="C76" s="311" t="str">
        <f>B20</f>
        <v xml:space="preserve">Nevirapine  </v>
      </c>
      <c r="D76" s="311"/>
      <c r="E76" s="188" t="s">
        <v>108</v>
      </c>
      <c r="F76" s="188"/>
      <c r="G76" s="189">
        <f>H72</f>
        <v>0.9861077602612629</v>
      </c>
      <c r="H76" s="262"/>
    </row>
    <row r="77" spans="1:8" ht="18.75" x14ac:dyDescent="0.3">
      <c r="A77" s="103" t="s">
        <v>109</v>
      </c>
      <c r="B77" s="103" t="s">
        <v>110</v>
      </c>
    </row>
    <row r="78" spans="1:8" ht="18.75" x14ac:dyDescent="0.3">
      <c r="A78" s="103"/>
      <c r="B78" s="103"/>
    </row>
    <row r="79" spans="1:8" ht="26.25" customHeight="1" x14ac:dyDescent="0.4">
      <c r="A79" s="237" t="s">
        <v>4</v>
      </c>
      <c r="B79" s="312" t="str">
        <f>B26</f>
        <v xml:space="preserve">Nevirapine  </v>
      </c>
      <c r="C79" s="312"/>
    </row>
    <row r="80" spans="1:8" ht="26.25" customHeight="1" x14ac:dyDescent="0.4">
      <c r="A80" s="195" t="s">
        <v>48</v>
      </c>
      <c r="B80" s="312" t="str">
        <f>B27</f>
        <v>N1-3</v>
      </c>
      <c r="C80" s="312"/>
    </row>
    <row r="81" spans="1:12" ht="27" customHeight="1" thickBot="1" x14ac:dyDescent="0.45">
      <c r="A81" s="195" t="s">
        <v>6</v>
      </c>
      <c r="B81" s="190">
        <f>B28</f>
        <v>99.15</v>
      </c>
    </row>
    <row r="82" spans="1:12" s="16" customFormat="1" ht="27" customHeight="1" thickBot="1" x14ac:dyDescent="0.45">
      <c r="A82" s="195" t="s">
        <v>49</v>
      </c>
      <c r="B82" s="104">
        <v>0</v>
      </c>
      <c r="C82" s="287" t="s">
        <v>50</v>
      </c>
      <c r="D82" s="288"/>
      <c r="E82" s="288"/>
      <c r="F82" s="288"/>
      <c r="G82" s="289"/>
      <c r="I82" s="105"/>
      <c r="J82" s="105"/>
      <c r="K82" s="105"/>
      <c r="L82" s="105"/>
    </row>
    <row r="83" spans="1:12" s="16" customFormat="1" ht="19.5" customHeight="1" thickBot="1" x14ac:dyDescent="0.35">
      <c r="A83" s="195" t="s">
        <v>51</v>
      </c>
      <c r="B83" s="262">
        <f>B81-B82</f>
        <v>99.15</v>
      </c>
      <c r="C83" s="106"/>
      <c r="D83" s="106"/>
      <c r="E83" s="106"/>
      <c r="F83" s="106"/>
      <c r="G83" s="107"/>
      <c r="I83" s="105"/>
      <c r="J83" s="105"/>
      <c r="K83" s="105"/>
      <c r="L83" s="105"/>
    </row>
    <row r="84" spans="1:12" s="16" customFormat="1" ht="27" customHeight="1" thickBot="1" x14ac:dyDescent="0.45">
      <c r="A84" s="195" t="s">
        <v>52</v>
      </c>
      <c r="B84" s="108">
        <v>1</v>
      </c>
      <c r="C84" s="290" t="s">
        <v>111</v>
      </c>
      <c r="D84" s="291"/>
      <c r="E84" s="291"/>
      <c r="F84" s="291"/>
      <c r="G84" s="291"/>
      <c r="H84" s="292"/>
      <c r="I84" s="105"/>
      <c r="J84" s="105"/>
      <c r="K84" s="105"/>
      <c r="L84" s="105"/>
    </row>
    <row r="85" spans="1:12" s="16" customFormat="1" ht="27" customHeight="1" thickBot="1" x14ac:dyDescent="0.45">
      <c r="A85" s="195" t="s">
        <v>54</v>
      </c>
      <c r="B85" s="108">
        <v>1</v>
      </c>
      <c r="C85" s="290" t="s">
        <v>112</v>
      </c>
      <c r="D85" s="291"/>
      <c r="E85" s="291"/>
      <c r="F85" s="291"/>
      <c r="G85" s="291"/>
      <c r="H85" s="292"/>
      <c r="I85" s="105"/>
      <c r="J85" s="105"/>
      <c r="K85" s="105"/>
      <c r="L85" s="105"/>
    </row>
    <row r="86" spans="1:12" s="16" customFormat="1" ht="18.75" x14ac:dyDescent="0.3">
      <c r="A86" s="195"/>
      <c r="B86" s="111"/>
      <c r="C86" s="112"/>
      <c r="D86" s="112"/>
      <c r="E86" s="112"/>
      <c r="F86" s="112"/>
      <c r="G86" s="112"/>
      <c r="H86" s="112"/>
      <c r="I86" s="105"/>
      <c r="J86" s="105"/>
      <c r="K86" s="105"/>
      <c r="L86" s="105"/>
    </row>
    <row r="87" spans="1:12" s="16" customFormat="1" ht="18.75" x14ac:dyDescent="0.3">
      <c r="A87" s="195" t="s">
        <v>56</v>
      </c>
      <c r="B87" s="113">
        <f>B84/B85</f>
        <v>1</v>
      </c>
      <c r="C87" s="188" t="s">
        <v>57</v>
      </c>
      <c r="D87" s="188"/>
      <c r="E87" s="188"/>
      <c r="F87" s="188"/>
      <c r="G87" s="188"/>
      <c r="I87" s="105"/>
      <c r="J87" s="105"/>
      <c r="K87" s="105"/>
      <c r="L87" s="105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4" t="s">
        <v>58</v>
      </c>
      <c r="B89" s="115">
        <v>100</v>
      </c>
      <c r="D89" s="260" t="s">
        <v>59</v>
      </c>
      <c r="E89" s="261"/>
      <c r="F89" s="275" t="s">
        <v>60</v>
      </c>
      <c r="G89" s="277"/>
    </row>
    <row r="90" spans="1:12" ht="27" customHeight="1" thickBot="1" x14ac:dyDescent="0.45">
      <c r="A90" s="116" t="s">
        <v>61</v>
      </c>
      <c r="B90" s="117">
        <v>4</v>
      </c>
      <c r="C90" s="263" t="s">
        <v>62</v>
      </c>
      <c r="D90" s="119" t="s">
        <v>63</v>
      </c>
      <c r="E90" s="120" t="s">
        <v>64</v>
      </c>
      <c r="F90" s="119" t="s">
        <v>63</v>
      </c>
      <c r="G90" s="191" t="s">
        <v>64</v>
      </c>
      <c r="I90" s="122" t="s">
        <v>65</v>
      </c>
    </row>
    <row r="91" spans="1:12" ht="26.25" customHeight="1" x14ac:dyDescent="0.4">
      <c r="A91" s="116" t="s">
        <v>66</v>
      </c>
      <c r="B91" s="117">
        <v>20</v>
      </c>
      <c r="C91" s="192">
        <v>1</v>
      </c>
      <c r="D91" s="124">
        <v>8453314</v>
      </c>
      <c r="E91" s="125">
        <f>IF(ISBLANK(D91),"-",$D$101/$D$98*D91)</f>
        <v>9386734.4396365434</v>
      </c>
      <c r="F91" s="124">
        <v>7770031</v>
      </c>
      <c r="G91" s="126">
        <f>IF(ISBLANK(F91),"-",$D$101/$F$98*F91)</f>
        <v>9142566.6864037067</v>
      </c>
      <c r="I91" s="127"/>
    </row>
    <row r="92" spans="1:12" ht="26.25" customHeight="1" x14ac:dyDescent="0.4">
      <c r="A92" s="116" t="s">
        <v>67</v>
      </c>
      <c r="B92" s="117">
        <v>1</v>
      </c>
      <c r="C92" s="203">
        <v>2</v>
      </c>
      <c r="D92" s="128">
        <v>8333456</v>
      </c>
      <c r="E92" s="129">
        <f>IF(ISBLANK(D92),"-",$D$101/$D$98*D92)</f>
        <v>9253641.6411830653</v>
      </c>
      <c r="F92" s="128">
        <v>7866256</v>
      </c>
      <c r="G92" s="130">
        <f>IF(ISBLANK(F92),"-",$D$101/$F$98*F92)</f>
        <v>9255789.3337006345</v>
      </c>
      <c r="I92" s="293">
        <f>ABS((F96/D96*D95)-F95)/D95</f>
        <v>1.8719319870492072E-2</v>
      </c>
    </row>
    <row r="93" spans="1:12" ht="26.25" customHeight="1" x14ac:dyDescent="0.4">
      <c r="A93" s="116" t="s">
        <v>68</v>
      </c>
      <c r="B93" s="117">
        <v>1</v>
      </c>
      <c r="C93" s="203">
        <v>3</v>
      </c>
      <c r="D93" s="128">
        <v>8564435</v>
      </c>
      <c r="E93" s="129">
        <f>IF(ISBLANK(D93),"-",$D$101/$D$98*D93)</f>
        <v>9510125.4928574283</v>
      </c>
      <c r="F93" s="128">
        <v>7813539</v>
      </c>
      <c r="G93" s="130">
        <f>IF(ISBLANK(F93),"-",$D$101/$F$98*F93)</f>
        <v>9193760.1490027681</v>
      </c>
      <c r="I93" s="293"/>
    </row>
    <row r="94" spans="1:12" ht="27" customHeight="1" thickBot="1" x14ac:dyDescent="0.45">
      <c r="A94" s="116" t="s">
        <v>69</v>
      </c>
      <c r="B94" s="117">
        <v>1</v>
      </c>
      <c r="C94" s="193">
        <v>4</v>
      </c>
      <c r="D94" s="132"/>
      <c r="E94" s="133" t="str">
        <f>IF(ISBLANK(D94),"-",$D$101/$D$98*D94)</f>
        <v>-</v>
      </c>
      <c r="F94" s="194"/>
      <c r="G94" s="134" t="str">
        <f>IF(ISBLANK(F94),"-",$D$101/$F$98*F94)</f>
        <v>-</v>
      </c>
      <c r="I94" s="135"/>
    </row>
    <row r="95" spans="1:12" ht="27" customHeight="1" thickBot="1" x14ac:dyDescent="0.45">
      <c r="A95" s="116" t="s">
        <v>70</v>
      </c>
      <c r="B95" s="117">
        <v>1</v>
      </c>
      <c r="C95" s="195" t="s">
        <v>71</v>
      </c>
      <c r="D95" s="196">
        <f>AVERAGE(D91:D94)</f>
        <v>8450401.666666666</v>
      </c>
      <c r="E95" s="138">
        <f>AVERAGE(E91:E94)</f>
        <v>9383500.5245590117</v>
      </c>
      <c r="F95" s="197">
        <f>AVERAGE(F91:F94)</f>
        <v>7816608.666666667</v>
      </c>
      <c r="G95" s="198">
        <f>AVERAGE(G91:G94)</f>
        <v>9197372.0563690364</v>
      </c>
    </row>
    <row r="96" spans="1:12" ht="26.25" customHeight="1" x14ac:dyDescent="0.4">
      <c r="A96" s="116" t="s">
        <v>72</v>
      </c>
      <c r="B96" s="190">
        <v>1</v>
      </c>
      <c r="C96" s="199" t="s">
        <v>113</v>
      </c>
      <c r="D96" s="200">
        <v>25.23</v>
      </c>
      <c r="E96" s="188"/>
      <c r="F96" s="142">
        <v>23.81</v>
      </c>
    </row>
    <row r="97" spans="1:10" ht="26.25" customHeight="1" x14ac:dyDescent="0.4">
      <c r="A97" s="116" t="s">
        <v>74</v>
      </c>
      <c r="B97" s="190">
        <v>1</v>
      </c>
      <c r="C97" s="201" t="s">
        <v>114</v>
      </c>
      <c r="D97" s="202">
        <f>D96*$B$87</f>
        <v>25.23</v>
      </c>
      <c r="E97" s="203"/>
      <c r="F97" s="144">
        <f>F96*$B$87</f>
        <v>23.81</v>
      </c>
    </row>
    <row r="98" spans="1:10" ht="19.5" customHeight="1" thickBot="1" x14ac:dyDescent="0.35">
      <c r="A98" s="116" t="s">
        <v>76</v>
      </c>
      <c r="B98" s="203">
        <f>(B97/B96)*(B95/B94)*(B93/B92)*(B91/B90)*B89</f>
        <v>500</v>
      </c>
      <c r="C98" s="201" t="s">
        <v>115</v>
      </c>
      <c r="D98" s="204">
        <f>D97*$B$83/100</f>
        <v>25.015545000000003</v>
      </c>
      <c r="E98" s="185"/>
      <c r="F98" s="146">
        <f>F97*$B$83/100</f>
        <v>23.607614999999999</v>
      </c>
    </row>
    <row r="99" spans="1:10" ht="19.5" customHeight="1" thickBot="1" x14ac:dyDescent="0.35">
      <c r="A99" s="294" t="s">
        <v>78</v>
      </c>
      <c r="B99" s="304"/>
      <c r="C99" s="201" t="s">
        <v>116</v>
      </c>
      <c r="D99" s="205">
        <f>D98/$B$98</f>
        <v>5.0031090000000007E-2</v>
      </c>
      <c r="E99" s="185"/>
      <c r="F99" s="149">
        <f>F98/$B$98</f>
        <v>4.7215229999999997E-2</v>
      </c>
      <c r="H99" s="140"/>
    </row>
    <row r="100" spans="1:10" ht="19.5" customHeight="1" thickBot="1" x14ac:dyDescent="0.35">
      <c r="A100" s="296"/>
      <c r="B100" s="305"/>
      <c r="C100" s="201" t="s">
        <v>80</v>
      </c>
      <c r="D100" s="207">
        <f>$B$56/$B$116</f>
        <v>5.5555555555555552E-2</v>
      </c>
      <c r="F100" s="154"/>
      <c r="G100" s="213"/>
      <c r="H100" s="140"/>
    </row>
    <row r="101" spans="1:10" ht="18.75" x14ac:dyDescent="0.3">
      <c r="C101" s="201" t="s">
        <v>81</v>
      </c>
      <c r="D101" s="202">
        <f>D100*$B$98</f>
        <v>27.777777777777775</v>
      </c>
      <c r="F101" s="154"/>
      <c r="H101" s="140"/>
    </row>
    <row r="102" spans="1:10" ht="19.5" customHeight="1" thickBot="1" x14ac:dyDescent="0.35">
      <c r="C102" s="208" t="s">
        <v>82</v>
      </c>
      <c r="D102" s="209">
        <f>D101/B34</f>
        <v>27.777777777777775</v>
      </c>
      <c r="F102" s="158"/>
      <c r="H102" s="140"/>
      <c r="J102" s="210"/>
    </row>
    <row r="103" spans="1:10" ht="18.75" x14ac:dyDescent="0.3">
      <c r="C103" s="211" t="s">
        <v>117</v>
      </c>
      <c r="D103" s="212">
        <f>AVERAGE(E91:E94,G91:G94)</f>
        <v>9290436.2904640231</v>
      </c>
      <c r="F103" s="158"/>
      <c r="G103" s="213"/>
      <c r="H103" s="140"/>
      <c r="J103" s="214"/>
    </row>
    <row r="104" spans="1:10" ht="18.75" x14ac:dyDescent="0.3">
      <c r="C104" s="184" t="s">
        <v>84</v>
      </c>
      <c r="D104" s="215">
        <f>STDEV(E91:E94,G91:G94)/D103</f>
        <v>1.4545228213253741E-2</v>
      </c>
      <c r="F104" s="158"/>
      <c r="H104" s="140"/>
      <c r="J104" s="214"/>
    </row>
    <row r="105" spans="1:10" ht="19.5" customHeight="1" thickBot="1" x14ac:dyDescent="0.35">
      <c r="C105" s="186" t="s">
        <v>20</v>
      </c>
      <c r="D105" s="216">
        <f>COUNT(E91:E94,G91:G94)</f>
        <v>6</v>
      </c>
      <c r="F105" s="158"/>
      <c r="H105" s="140"/>
      <c r="J105" s="214"/>
    </row>
    <row r="106" spans="1:10" ht="19.5" customHeight="1" thickBot="1" x14ac:dyDescent="0.35">
      <c r="A106" s="162"/>
      <c r="B106" s="162"/>
      <c r="C106" s="162"/>
      <c r="D106" s="162"/>
      <c r="E106" s="162"/>
    </row>
    <row r="107" spans="1:10" ht="26.25" customHeight="1" x14ac:dyDescent="0.4">
      <c r="A107" s="114" t="s">
        <v>118</v>
      </c>
      <c r="B107" s="115">
        <v>900</v>
      </c>
      <c r="C107" s="260" t="s">
        <v>119</v>
      </c>
      <c r="D107" s="217" t="s">
        <v>63</v>
      </c>
      <c r="E107" s="218" t="s">
        <v>120</v>
      </c>
      <c r="F107" s="219" t="s">
        <v>121</v>
      </c>
    </row>
    <row r="108" spans="1:10" ht="26.25" customHeight="1" x14ac:dyDescent="0.4">
      <c r="A108" s="116" t="s">
        <v>122</v>
      </c>
      <c r="B108" s="117">
        <v>1</v>
      </c>
      <c r="C108" s="220">
        <v>1</v>
      </c>
      <c r="D108" s="221">
        <v>9334079</v>
      </c>
      <c r="E108" s="250">
        <f t="shared" ref="E108:E113" si="1">IF(ISBLANK(D108),"-",D108/$D$103*$D$100*$B$116)</f>
        <v>50.234879763293634</v>
      </c>
      <c r="F108" s="222">
        <f t="shared" ref="F108:F113" si="2">IF(ISBLANK(D108), "-", E108/$B$56)</f>
        <v>1.0046975952658728</v>
      </c>
    </row>
    <row r="109" spans="1:10" ht="26.25" customHeight="1" x14ac:dyDescent="0.4">
      <c r="A109" s="116" t="s">
        <v>95</v>
      </c>
      <c r="B109" s="117">
        <v>1</v>
      </c>
      <c r="C109" s="220">
        <v>2</v>
      </c>
      <c r="D109" s="221">
        <v>9471470</v>
      </c>
      <c r="E109" s="251">
        <f t="shared" si="1"/>
        <v>50.974301442235785</v>
      </c>
      <c r="F109" s="223">
        <f t="shared" si="2"/>
        <v>1.0194860288447156</v>
      </c>
    </row>
    <row r="110" spans="1:10" ht="26.25" customHeight="1" x14ac:dyDescent="0.4">
      <c r="A110" s="116" t="s">
        <v>96</v>
      </c>
      <c r="B110" s="117">
        <v>1</v>
      </c>
      <c r="C110" s="220">
        <v>3</v>
      </c>
      <c r="D110" s="221">
        <v>9306815</v>
      </c>
      <c r="E110" s="251">
        <f t="shared" si="1"/>
        <v>50.088148225895416</v>
      </c>
      <c r="F110" s="223">
        <f t="shared" si="2"/>
        <v>1.0017629645179082</v>
      </c>
    </row>
    <row r="111" spans="1:10" ht="26.25" customHeight="1" x14ac:dyDescent="0.4">
      <c r="A111" s="116" t="s">
        <v>97</v>
      </c>
      <c r="B111" s="117">
        <v>1</v>
      </c>
      <c r="C111" s="220">
        <v>4</v>
      </c>
      <c r="D111" s="221">
        <v>9285612</v>
      </c>
      <c r="E111" s="251">
        <f t="shared" si="1"/>
        <v>49.974036254524584</v>
      </c>
      <c r="F111" s="223">
        <f t="shared" si="2"/>
        <v>0.99948072509049168</v>
      </c>
    </row>
    <row r="112" spans="1:10" ht="26.25" customHeight="1" x14ac:dyDescent="0.4">
      <c r="A112" s="116" t="s">
        <v>98</v>
      </c>
      <c r="B112" s="117">
        <v>1</v>
      </c>
      <c r="C112" s="220">
        <v>5</v>
      </c>
      <c r="D112" s="221">
        <v>9236619</v>
      </c>
      <c r="E112" s="251">
        <f t="shared" si="1"/>
        <v>49.710361877626433</v>
      </c>
      <c r="F112" s="223">
        <f t="shared" si="2"/>
        <v>0.9942072375525286</v>
      </c>
    </row>
    <row r="113" spans="1:10" ht="26.25" customHeight="1" x14ac:dyDescent="0.4">
      <c r="A113" s="116" t="s">
        <v>100</v>
      </c>
      <c r="B113" s="117">
        <v>1</v>
      </c>
      <c r="C113" s="224">
        <v>6</v>
      </c>
      <c r="D113" s="225">
        <v>9350072</v>
      </c>
      <c r="E113" s="252">
        <f t="shared" si="1"/>
        <v>50.320952147302208</v>
      </c>
      <c r="F113" s="226">
        <f t="shared" si="2"/>
        <v>1.0064190429460442</v>
      </c>
    </row>
    <row r="114" spans="1:10" ht="26.25" customHeight="1" x14ac:dyDescent="0.4">
      <c r="A114" s="116" t="s">
        <v>101</v>
      </c>
      <c r="B114" s="117">
        <v>1</v>
      </c>
      <c r="C114" s="220"/>
      <c r="D114" s="203"/>
      <c r="E114" s="188"/>
      <c r="F114" s="227"/>
    </row>
    <row r="115" spans="1:10" ht="26.25" customHeight="1" x14ac:dyDescent="0.4">
      <c r="A115" s="116" t="s">
        <v>102</v>
      </c>
      <c r="B115" s="117">
        <v>1</v>
      </c>
      <c r="C115" s="220"/>
      <c r="D115" s="228" t="s">
        <v>71</v>
      </c>
      <c r="E115" s="254">
        <f>AVERAGE(E108:E113)</f>
        <v>50.217113285146347</v>
      </c>
      <c r="F115" s="229">
        <f>AVERAGE(F108:F113)</f>
        <v>1.0043422657029268</v>
      </c>
    </row>
    <row r="116" spans="1:10" ht="27" customHeight="1" thickBot="1" x14ac:dyDescent="0.45">
      <c r="A116" s="116" t="s">
        <v>103</v>
      </c>
      <c r="B116" s="145">
        <f>(B115/B114)*(B113/B112)*(B111/B110)*(B109/B108)*B107</f>
        <v>900</v>
      </c>
      <c r="C116" s="230"/>
      <c r="D116" s="195" t="s">
        <v>84</v>
      </c>
      <c r="E116" s="231">
        <f>STDEV(E108:E113)/E115</f>
        <v>8.5277701218248389E-3</v>
      </c>
      <c r="F116" s="231">
        <f>STDEV(F108:F113)/F115</f>
        <v>8.5277701218248372E-3</v>
      </c>
      <c r="I116" s="188"/>
    </row>
    <row r="117" spans="1:10" ht="27" customHeight="1" thickBot="1" x14ac:dyDescent="0.45">
      <c r="A117" s="294" t="s">
        <v>78</v>
      </c>
      <c r="B117" s="295"/>
      <c r="C117" s="232"/>
      <c r="D117" s="233" t="s">
        <v>20</v>
      </c>
      <c r="E117" s="234">
        <f>COUNT(E108:E113)</f>
        <v>6</v>
      </c>
      <c r="F117" s="234">
        <f>COUNT(F108:F113)</f>
        <v>6</v>
      </c>
      <c r="I117" s="188"/>
      <c r="J117" s="214"/>
    </row>
    <row r="118" spans="1:10" ht="19.5" customHeight="1" thickBot="1" x14ac:dyDescent="0.35">
      <c r="A118" s="296"/>
      <c r="B118" s="297"/>
      <c r="C118" s="188"/>
      <c r="D118" s="188"/>
      <c r="E118" s="188"/>
      <c r="F118" s="203"/>
      <c r="G118" s="188"/>
      <c r="H118" s="188"/>
      <c r="I118" s="188"/>
    </row>
    <row r="119" spans="1:10" ht="18.75" x14ac:dyDescent="0.3">
      <c r="A119" s="241"/>
      <c r="B119" s="112"/>
      <c r="C119" s="188"/>
      <c r="D119" s="188"/>
      <c r="E119" s="188"/>
      <c r="F119" s="203"/>
      <c r="G119" s="188"/>
      <c r="H119" s="188"/>
      <c r="I119" s="188"/>
    </row>
    <row r="120" spans="1:10" ht="26.25" customHeight="1" x14ac:dyDescent="0.4">
      <c r="A120" s="237" t="s">
        <v>106</v>
      </c>
      <c r="B120" s="195" t="s">
        <v>123</v>
      </c>
      <c r="C120" s="311" t="str">
        <f>B20</f>
        <v xml:space="preserve">Nevirapine  </v>
      </c>
      <c r="D120" s="311"/>
      <c r="E120" s="188" t="s">
        <v>124</v>
      </c>
      <c r="F120" s="188"/>
      <c r="G120" s="189">
        <f>F115</f>
        <v>1.0043422657029268</v>
      </c>
      <c r="H120" s="188"/>
      <c r="I120" s="188"/>
    </row>
    <row r="121" spans="1:10" ht="19.5" customHeight="1" thickBot="1" x14ac:dyDescent="0.35">
      <c r="A121" s="264"/>
      <c r="B121" s="264"/>
      <c r="C121" s="235"/>
      <c r="D121" s="235"/>
      <c r="E121" s="235"/>
      <c r="F121" s="235"/>
      <c r="G121" s="235"/>
      <c r="H121" s="235"/>
    </row>
    <row r="122" spans="1:10" ht="18.75" x14ac:dyDescent="0.3">
      <c r="B122" s="313" t="s">
        <v>26</v>
      </c>
      <c r="C122" s="313"/>
      <c r="E122" s="263" t="s">
        <v>27</v>
      </c>
      <c r="F122" s="236"/>
      <c r="G122" s="313" t="s">
        <v>28</v>
      </c>
      <c r="H122" s="313"/>
    </row>
    <row r="123" spans="1:10" ht="69.95" customHeight="1" x14ac:dyDescent="0.3">
      <c r="A123" s="237" t="s">
        <v>29</v>
      </c>
      <c r="B123" s="238"/>
      <c r="C123" s="238"/>
      <c r="E123" s="238"/>
      <c r="F123" s="188"/>
      <c r="G123" s="238"/>
      <c r="H123" s="238"/>
    </row>
    <row r="124" spans="1:10" ht="69.95" customHeight="1" x14ac:dyDescent="0.3">
      <c r="A124" s="237" t="s">
        <v>30</v>
      </c>
      <c r="B124" s="239"/>
      <c r="C124" s="239"/>
      <c r="E124" s="239"/>
      <c r="F124" s="188"/>
      <c r="G124" s="240"/>
      <c r="H124" s="240"/>
    </row>
    <row r="125" spans="1:10" ht="18.75" x14ac:dyDescent="0.3">
      <c r="A125" s="203"/>
      <c r="B125" s="203"/>
      <c r="C125" s="203"/>
      <c r="D125" s="203"/>
      <c r="E125" s="203"/>
      <c r="F125" s="185"/>
      <c r="G125" s="203"/>
      <c r="H125" s="203"/>
      <c r="I125" s="188"/>
    </row>
    <row r="126" spans="1:10" ht="18.75" x14ac:dyDescent="0.3">
      <c r="A126" s="203"/>
      <c r="B126" s="203"/>
      <c r="C126" s="203"/>
      <c r="D126" s="203"/>
      <c r="E126" s="203"/>
      <c r="F126" s="185"/>
      <c r="G126" s="203"/>
      <c r="H126" s="203"/>
      <c r="I126" s="188"/>
    </row>
    <row r="127" spans="1:10" ht="18.75" x14ac:dyDescent="0.3">
      <c r="A127" s="203"/>
      <c r="B127" s="203"/>
      <c r="C127" s="203"/>
      <c r="D127" s="203"/>
      <c r="E127" s="203"/>
      <c r="F127" s="185"/>
      <c r="G127" s="203"/>
      <c r="H127" s="203"/>
      <c r="I127" s="188"/>
    </row>
    <row r="128" spans="1:10" ht="18.75" x14ac:dyDescent="0.3">
      <c r="A128" s="203"/>
      <c r="B128" s="203"/>
      <c r="C128" s="203"/>
      <c r="D128" s="203"/>
      <c r="E128" s="203"/>
      <c r="F128" s="185"/>
      <c r="G128" s="203"/>
      <c r="H128" s="203"/>
      <c r="I128" s="188"/>
    </row>
    <row r="129" spans="1:9" ht="18.75" x14ac:dyDescent="0.3">
      <c r="A129" s="203"/>
      <c r="B129" s="203"/>
      <c r="C129" s="203"/>
      <c r="D129" s="203"/>
      <c r="E129" s="203"/>
      <c r="F129" s="185"/>
      <c r="G129" s="203"/>
      <c r="H129" s="203"/>
      <c r="I129" s="188"/>
    </row>
    <row r="130" spans="1:9" ht="18.75" x14ac:dyDescent="0.3">
      <c r="A130" s="203"/>
      <c r="B130" s="203"/>
      <c r="C130" s="203"/>
      <c r="D130" s="203"/>
      <c r="E130" s="203"/>
      <c r="F130" s="185"/>
      <c r="G130" s="203"/>
      <c r="H130" s="203"/>
      <c r="I130" s="188"/>
    </row>
    <row r="131" spans="1:9" ht="18.75" x14ac:dyDescent="0.3">
      <c r="A131" s="203"/>
      <c r="B131" s="203"/>
      <c r="C131" s="203"/>
      <c r="D131" s="203"/>
      <c r="E131" s="203"/>
      <c r="F131" s="185"/>
      <c r="G131" s="203"/>
      <c r="H131" s="203"/>
      <c r="I131" s="188"/>
    </row>
    <row r="132" spans="1:9" ht="18.75" x14ac:dyDescent="0.3">
      <c r="A132" s="203"/>
      <c r="B132" s="203"/>
      <c r="C132" s="203"/>
      <c r="D132" s="203"/>
      <c r="E132" s="203"/>
      <c r="F132" s="185"/>
      <c r="G132" s="203"/>
      <c r="H132" s="203"/>
      <c r="I132" s="188"/>
    </row>
    <row r="133" spans="1:9" ht="18.75" x14ac:dyDescent="0.3">
      <c r="A133" s="203"/>
      <c r="B133" s="203"/>
      <c r="C133" s="203"/>
      <c r="D133" s="203"/>
      <c r="E133" s="203"/>
      <c r="F133" s="185"/>
      <c r="G133" s="203"/>
      <c r="H133" s="203"/>
      <c r="I133" s="188"/>
    </row>
    <row r="250" spans="1:1" x14ac:dyDescent="0.25">
      <c r="A250" s="206">
        <v>5</v>
      </c>
    </row>
  </sheetData>
  <sheetProtection password="F258" sheet="1" formatColumns="0" formatRows="0" insertColumns="0" insertHyperlinks="0" deleteColumns="0" deleteRows="0" autoFilter="0" pivotTables="0"/>
  <mergeCells count="35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D36:E36"/>
    <mergeCell ref="F36:G36"/>
    <mergeCell ref="A1:I7"/>
    <mergeCell ref="A8:I14"/>
    <mergeCell ref="A16:H16"/>
    <mergeCell ref="A17:H17"/>
    <mergeCell ref="B18:C18"/>
    <mergeCell ref="B21:H21"/>
    <mergeCell ref="B26:C26"/>
    <mergeCell ref="B27:C27"/>
    <mergeCell ref="C29:G29"/>
    <mergeCell ref="C31:H31"/>
    <mergeCell ref="C32:H32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4" zoomScale="60" zoomScaleNormal="40" zoomScalePageLayoutView="50" workbookViewId="0">
      <selection activeCell="G124" sqref="G124"/>
    </sheetView>
  </sheetViews>
  <sheetFormatPr defaultColWidth="9.140625" defaultRowHeight="13.5" x14ac:dyDescent="0.25"/>
  <cols>
    <col min="1" max="1" width="55.42578125" style="206" customWidth="1"/>
    <col min="2" max="2" width="33.7109375" style="206" customWidth="1"/>
    <col min="3" max="3" width="42.28515625" style="206" customWidth="1"/>
    <col min="4" max="4" width="30.5703125" style="206" customWidth="1"/>
    <col min="5" max="5" width="39.85546875" style="206" customWidth="1"/>
    <col min="6" max="6" width="30.7109375" style="206" customWidth="1"/>
    <col min="7" max="7" width="39.85546875" style="206" customWidth="1"/>
    <col min="8" max="8" width="30" style="206" customWidth="1"/>
    <col min="9" max="9" width="30.28515625" style="206" hidden="1" customWidth="1"/>
    <col min="10" max="10" width="30.42578125" style="206" customWidth="1"/>
    <col min="11" max="11" width="21.28515625" style="206" customWidth="1"/>
    <col min="12" max="12" width="9.140625" style="206"/>
    <col min="13" max="16384" width="9.140625" style="44"/>
  </cols>
  <sheetData>
    <row r="1" spans="1:9" ht="18.75" customHeight="1" x14ac:dyDescent="0.25">
      <c r="A1" s="278" t="s">
        <v>45</v>
      </c>
      <c r="B1" s="278"/>
      <c r="C1" s="278"/>
      <c r="D1" s="278"/>
      <c r="E1" s="278"/>
      <c r="F1" s="278"/>
      <c r="G1" s="278"/>
      <c r="H1" s="278"/>
      <c r="I1" s="278"/>
    </row>
    <row r="2" spans="1:9" ht="18.7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9" ht="18.75" customHeight="1" x14ac:dyDescent="0.25">
      <c r="A3" s="278"/>
      <c r="B3" s="278"/>
      <c r="C3" s="278"/>
      <c r="D3" s="278"/>
      <c r="E3" s="278"/>
      <c r="F3" s="278"/>
      <c r="G3" s="278"/>
      <c r="H3" s="278"/>
      <c r="I3" s="278"/>
    </row>
    <row r="4" spans="1:9" ht="18.75" customHeight="1" x14ac:dyDescent="0.25">
      <c r="A4" s="278"/>
      <c r="B4" s="278"/>
      <c r="C4" s="278"/>
      <c r="D4" s="278"/>
      <c r="E4" s="278"/>
      <c r="F4" s="278"/>
      <c r="G4" s="278"/>
      <c r="H4" s="278"/>
      <c r="I4" s="278"/>
    </row>
    <row r="5" spans="1:9" ht="18.75" customHeight="1" x14ac:dyDescent="0.25">
      <c r="A5" s="278"/>
      <c r="B5" s="278"/>
      <c r="C5" s="278"/>
      <c r="D5" s="278"/>
      <c r="E5" s="278"/>
      <c r="F5" s="278"/>
      <c r="G5" s="278"/>
      <c r="H5" s="278"/>
      <c r="I5" s="278"/>
    </row>
    <row r="6" spans="1:9" ht="18.75" customHeight="1" x14ac:dyDescent="0.25">
      <c r="A6" s="278"/>
      <c r="B6" s="278"/>
      <c r="C6" s="278"/>
      <c r="D6" s="278"/>
      <c r="E6" s="278"/>
      <c r="F6" s="278"/>
      <c r="G6" s="278"/>
      <c r="H6" s="278"/>
      <c r="I6" s="278"/>
    </row>
    <row r="7" spans="1:9" ht="18.75" customHeight="1" x14ac:dyDescent="0.25">
      <c r="A7" s="278"/>
      <c r="B7" s="278"/>
      <c r="C7" s="278"/>
      <c r="D7" s="278"/>
      <c r="E7" s="278"/>
      <c r="F7" s="278"/>
      <c r="G7" s="278"/>
      <c r="H7" s="278"/>
      <c r="I7" s="278"/>
    </row>
    <row r="8" spans="1:9" x14ac:dyDescent="0.25">
      <c r="A8" s="279" t="s">
        <v>46</v>
      </c>
      <c r="B8" s="279"/>
      <c r="C8" s="279"/>
      <c r="D8" s="279"/>
      <c r="E8" s="279"/>
      <c r="F8" s="279"/>
      <c r="G8" s="279"/>
      <c r="H8" s="279"/>
      <c r="I8" s="279"/>
    </row>
    <row r="9" spans="1:9" x14ac:dyDescent="0.25">
      <c r="A9" s="279"/>
      <c r="B9" s="279"/>
      <c r="C9" s="279"/>
      <c r="D9" s="279"/>
      <c r="E9" s="279"/>
      <c r="F9" s="279"/>
      <c r="G9" s="279"/>
      <c r="H9" s="279"/>
      <c r="I9" s="279"/>
    </row>
    <row r="10" spans="1:9" x14ac:dyDescent="0.25">
      <c r="A10" s="279"/>
      <c r="B10" s="279"/>
      <c r="C10" s="279"/>
      <c r="D10" s="279"/>
      <c r="E10" s="279"/>
      <c r="F10" s="279"/>
      <c r="G10" s="279"/>
      <c r="H10" s="279"/>
      <c r="I10" s="279"/>
    </row>
    <row r="11" spans="1:9" x14ac:dyDescent="0.25">
      <c r="A11" s="279"/>
      <c r="B11" s="279"/>
      <c r="C11" s="279"/>
      <c r="D11" s="279"/>
      <c r="E11" s="279"/>
      <c r="F11" s="279"/>
      <c r="G11" s="279"/>
      <c r="H11" s="279"/>
      <c r="I11" s="279"/>
    </row>
    <row r="12" spans="1:9" x14ac:dyDescent="0.25">
      <c r="A12" s="279"/>
      <c r="B12" s="279"/>
      <c r="C12" s="279"/>
      <c r="D12" s="279"/>
      <c r="E12" s="279"/>
      <c r="F12" s="279"/>
      <c r="G12" s="279"/>
      <c r="H12" s="279"/>
      <c r="I12" s="279"/>
    </row>
    <row r="13" spans="1:9" x14ac:dyDescent="0.25">
      <c r="A13" s="279"/>
      <c r="B13" s="279"/>
      <c r="C13" s="279"/>
      <c r="D13" s="279"/>
      <c r="E13" s="279"/>
      <c r="F13" s="279"/>
      <c r="G13" s="279"/>
      <c r="H13" s="279"/>
      <c r="I13" s="279"/>
    </row>
    <row r="14" spans="1:9" x14ac:dyDescent="0.25">
      <c r="A14" s="279"/>
      <c r="B14" s="279"/>
      <c r="C14" s="279"/>
      <c r="D14" s="279"/>
      <c r="E14" s="279"/>
      <c r="F14" s="279"/>
      <c r="G14" s="279"/>
      <c r="H14" s="279"/>
      <c r="I14" s="279"/>
    </row>
    <row r="15" spans="1:9" ht="19.5" customHeight="1" thickBot="1" x14ac:dyDescent="0.35">
      <c r="A15" s="188"/>
    </row>
    <row r="16" spans="1:9" ht="19.5" customHeight="1" thickBot="1" x14ac:dyDescent="0.35">
      <c r="A16" s="280" t="s">
        <v>31</v>
      </c>
      <c r="B16" s="281"/>
      <c r="C16" s="281"/>
      <c r="D16" s="281"/>
      <c r="E16" s="281"/>
      <c r="F16" s="281"/>
      <c r="G16" s="281"/>
      <c r="H16" s="282"/>
    </row>
    <row r="17" spans="1:14" ht="20.25" customHeight="1" x14ac:dyDescent="0.25">
      <c r="A17" s="283" t="s">
        <v>47</v>
      </c>
      <c r="B17" s="283"/>
      <c r="C17" s="283"/>
      <c r="D17" s="283"/>
      <c r="E17" s="283"/>
      <c r="F17" s="283"/>
      <c r="G17" s="283"/>
      <c r="H17" s="283"/>
    </row>
    <row r="18" spans="1:14" ht="26.25" customHeight="1" x14ac:dyDescent="0.4">
      <c r="A18" s="98" t="s">
        <v>33</v>
      </c>
      <c r="B18" s="284" t="s">
        <v>5</v>
      </c>
      <c r="C18" s="284"/>
      <c r="D18" s="242"/>
      <c r="E18" s="99"/>
      <c r="F18" s="255"/>
      <c r="G18" s="255"/>
      <c r="H18" s="255"/>
    </row>
    <row r="19" spans="1:14" ht="26.25" customHeight="1" x14ac:dyDescent="0.4">
      <c r="A19" s="98" t="s">
        <v>34</v>
      </c>
      <c r="B19" s="259" t="s">
        <v>7</v>
      </c>
      <c r="C19" s="255">
        <v>29</v>
      </c>
      <c r="D19" s="255"/>
      <c r="E19" s="255"/>
      <c r="F19" s="255"/>
      <c r="G19" s="255"/>
      <c r="H19" s="255"/>
    </row>
    <row r="20" spans="1:14" ht="26.25" customHeight="1" x14ac:dyDescent="0.4">
      <c r="A20" s="98" t="s">
        <v>35</v>
      </c>
      <c r="B20" s="285" t="s">
        <v>127</v>
      </c>
      <c r="C20" s="285"/>
      <c r="D20" s="255"/>
      <c r="E20" s="255"/>
      <c r="F20" s="255"/>
      <c r="G20" s="255"/>
      <c r="H20" s="255"/>
    </row>
    <row r="21" spans="1:14" ht="26.25" customHeight="1" x14ac:dyDescent="0.4">
      <c r="A21" s="98" t="s">
        <v>36</v>
      </c>
      <c r="B21" s="285" t="s">
        <v>11</v>
      </c>
      <c r="C21" s="285"/>
      <c r="D21" s="285"/>
      <c r="E21" s="285"/>
      <c r="F21" s="285"/>
      <c r="G21" s="285"/>
      <c r="H21" s="285"/>
      <c r="I21" s="100"/>
    </row>
    <row r="22" spans="1:14" ht="26.25" customHeight="1" x14ac:dyDescent="0.4">
      <c r="A22" s="98" t="s">
        <v>37</v>
      </c>
      <c r="B22" s="101">
        <v>42482</v>
      </c>
      <c r="C22" s="255"/>
      <c r="D22" s="255"/>
      <c r="E22" s="255"/>
      <c r="F22" s="255"/>
      <c r="G22" s="255"/>
      <c r="H22" s="255"/>
    </row>
    <row r="23" spans="1:14" ht="26.25" customHeight="1" x14ac:dyDescent="0.4">
      <c r="A23" s="98" t="s">
        <v>38</v>
      </c>
      <c r="B23" s="101">
        <v>42485</v>
      </c>
      <c r="C23" s="255"/>
      <c r="D23" s="255"/>
      <c r="E23" s="255"/>
      <c r="F23" s="255"/>
      <c r="G23" s="255"/>
      <c r="H23" s="255"/>
    </row>
    <row r="24" spans="1:14" ht="18.75" x14ac:dyDescent="0.3">
      <c r="A24" s="98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237" t="s">
        <v>4</v>
      </c>
      <c r="B26" s="284" t="s">
        <v>127</v>
      </c>
      <c r="C26" s="284"/>
    </row>
    <row r="27" spans="1:14" ht="26.25" customHeight="1" x14ac:dyDescent="0.4">
      <c r="A27" s="195" t="s">
        <v>48</v>
      </c>
      <c r="B27" s="286" t="s">
        <v>131</v>
      </c>
      <c r="C27" s="286"/>
    </row>
    <row r="28" spans="1:14" ht="27" customHeight="1" thickBot="1" x14ac:dyDescent="0.45">
      <c r="A28" s="195" t="s">
        <v>6</v>
      </c>
      <c r="B28" s="190">
        <v>99.4</v>
      </c>
    </row>
    <row r="29" spans="1:14" s="16" customFormat="1" ht="27" customHeight="1" thickBot="1" x14ac:dyDescent="0.45">
      <c r="A29" s="195" t="s">
        <v>49</v>
      </c>
      <c r="B29" s="104">
        <v>0</v>
      </c>
      <c r="C29" s="287" t="s">
        <v>50</v>
      </c>
      <c r="D29" s="288"/>
      <c r="E29" s="288"/>
      <c r="F29" s="288"/>
      <c r="G29" s="289"/>
      <c r="I29" s="105"/>
      <c r="J29" s="105"/>
      <c r="K29" s="105"/>
      <c r="L29" s="105"/>
    </row>
    <row r="30" spans="1:14" s="16" customFormat="1" ht="19.5" customHeight="1" thickBot="1" x14ac:dyDescent="0.35">
      <c r="A30" s="195" t="s">
        <v>51</v>
      </c>
      <c r="B30" s="262">
        <f>B28-B29</f>
        <v>99.4</v>
      </c>
      <c r="C30" s="106"/>
      <c r="D30" s="106"/>
      <c r="E30" s="106"/>
      <c r="F30" s="106"/>
      <c r="G30" s="107"/>
      <c r="I30" s="105"/>
      <c r="J30" s="105"/>
      <c r="K30" s="105"/>
      <c r="L30" s="105"/>
    </row>
    <row r="31" spans="1:14" s="16" customFormat="1" ht="27" customHeight="1" thickBot="1" x14ac:dyDescent="0.45">
      <c r="A31" s="195" t="s">
        <v>52</v>
      </c>
      <c r="B31" s="108">
        <v>1</v>
      </c>
      <c r="C31" s="290" t="s">
        <v>53</v>
      </c>
      <c r="D31" s="291"/>
      <c r="E31" s="291"/>
      <c r="F31" s="291"/>
      <c r="G31" s="291"/>
      <c r="H31" s="292"/>
      <c r="I31" s="105"/>
      <c r="J31" s="105"/>
      <c r="K31" s="105"/>
      <c r="L31" s="105"/>
    </row>
    <row r="32" spans="1:14" s="16" customFormat="1" ht="27" customHeight="1" thickBot="1" x14ac:dyDescent="0.45">
      <c r="A32" s="195" t="s">
        <v>54</v>
      </c>
      <c r="B32" s="108">
        <v>1</v>
      </c>
      <c r="C32" s="290" t="s">
        <v>55</v>
      </c>
      <c r="D32" s="291"/>
      <c r="E32" s="291"/>
      <c r="F32" s="291"/>
      <c r="G32" s="291"/>
      <c r="H32" s="292"/>
      <c r="I32" s="105"/>
      <c r="J32" s="105"/>
      <c r="K32" s="105"/>
      <c r="L32" s="109"/>
      <c r="M32" s="109"/>
      <c r="N32" s="110"/>
    </row>
    <row r="33" spans="1:14" s="16" customFormat="1" ht="17.25" customHeight="1" x14ac:dyDescent="0.3">
      <c r="A33" s="195"/>
      <c r="B33" s="111"/>
      <c r="C33" s="112"/>
      <c r="D33" s="112"/>
      <c r="E33" s="112"/>
      <c r="F33" s="112"/>
      <c r="G33" s="112"/>
      <c r="H33" s="112"/>
      <c r="I33" s="105"/>
      <c r="J33" s="105"/>
      <c r="K33" s="105"/>
      <c r="L33" s="109"/>
      <c r="M33" s="109"/>
      <c r="N33" s="110"/>
    </row>
    <row r="34" spans="1:14" s="16" customFormat="1" ht="18.75" x14ac:dyDescent="0.3">
      <c r="A34" s="195" t="s">
        <v>56</v>
      </c>
      <c r="B34" s="113">
        <f>B31/B32</f>
        <v>1</v>
      </c>
      <c r="C34" s="188" t="s">
        <v>57</v>
      </c>
      <c r="D34" s="188"/>
      <c r="E34" s="188"/>
      <c r="F34" s="188"/>
      <c r="G34" s="188"/>
      <c r="I34" s="105"/>
      <c r="J34" s="105"/>
      <c r="K34" s="105"/>
      <c r="L34" s="109"/>
      <c r="M34" s="109"/>
      <c r="N34" s="110"/>
    </row>
    <row r="35" spans="1:14" s="16" customFormat="1" ht="19.5" customHeight="1" thickBot="1" x14ac:dyDescent="0.35">
      <c r="A35" s="195"/>
      <c r="B35" s="262"/>
      <c r="G35" s="188"/>
      <c r="I35" s="105"/>
      <c r="J35" s="105"/>
      <c r="K35" s="105"/>
      <c r="L35" s="109"/>
      <c r="M35" s="109"/>
      <c r="N35" s="110"/>
    </row>
    <row r="36" spans="1:14" s="16" customFormat="1" ht="27" customHeight="1" thickBot="1" x14ac:dyDescent="0.45">
      <c r="A36" s="114" t="s">
        <v>58</v>
      </c>
      <c r="B36" s="115">
        <v>20</v>
      </c>
      <c r="C36" s="188"/>
      <c r="D36" s="275" t="s">
        <v>59</v>
      </c>
      <c r="E36" s="276"/>
      <c r="F36" s="275" t="s">
        <v>60</v>
      </c>
      <c r="G36" s="277"/>
      <c r="J36" s="105"/>
      <c r="K36" s="105"/>
      <c r="L36" s="109"/>
      <c r="M36" s="109"/>
      <c r="N36" s="110"/>
    </row>
    <row r="37" spans="1:14" s="16" customFormat="1" ht="27" customHeight="1" thickBot="1" x14ac:dyDescent="0.45">
      <c r="A37" s="116" t="s">
        <v>61</v>
      </c>
      <c r="B37" s="117">
        <v>4</v>
      </c>
      <c r="C37" s="118" t="s">
        <v>62</v>
      </c>
      <c r="D37" s="119" t="s">
        <v>63</v>
      </c>
      <c r="E37" s="120" t="s">
        <v>64</v>
      </c>
      <c r="F37" s="119" t="s">
        <v>63</v>
      </c>
      <c r="G37" s="121" t="s">
        <v>64</v>
      </c>
      <c r="I37" s="122" t="s">
        <v>65</v>
      </c>
      <c r="J37" s="105"/>
      <c r="K37" s="105"/>
      <c r="L37" s="109"/>
      <c r="M37" s="109"/>
      <c r="N37" s="110"/>
    </row>
    <row r="38" spans="1:14" s="16" customFormat="1" ht="26.25" customHeight="1" x14ac:dyDescent="0.4">
      <c r="A38" s="116" t="s">
        <v>66</v>
      </c>
      <c r="B38" s="117">
        <v>20</v>
      </c>
      <c r="C38" s="123">
        <v>1</v>
      </c>
      <c r="D38" s="124">
        <v>251366363</v>
      </c>
      <c r="E38" s="125">
        <f>IF(ISBLANK(D38),"-",$D$48/$D$45*D38)</f>
        <v>256647833.2103582</v>
      </c>
      <c r="F38" s="124">
        <v>295841825</v>
      </c>
      <c r="G38" s="126">
        <f>IF(ISBLANK(F38),"-",$D$48/$F$45*F38)</f>
        <v>262999343.63174626</v>
      </c>
      <c r="I38" s="127"/>
      <c r="J38" s="105"/>
      <c r="K38" s="105"/>
      <c r="L38" s="109"/>
      <c r="M38" s="109"/>
      <c r="N38" s="110"/>
    </row>
    <row r="39" spans="1:14" s="16" customFormat="1" ht="26.25" customHeight="1" x14ac:dyDescent="0.4">
      <c r="A39" s="116" t="s">
        <v>67</v>
      </c>
      <c r="B39" s="117">
        <v>1</v>
      </c>
      <c r="C39" s="145">
        <v>2</v>
      </c>
      <c r="D39" s="128">
        <v>251430081</v>
      </c>
      <c r="E39" s="129">
        <f>IF(ISBLANK(D39),"-",$D$48/$D$45*D39)</f>
        <v>256712889.99218586</v>
      </c>
      <c r="F39" s="128">
        <v>295918275</v>
      </c>
      <c r="G39" s="130">
        <f>IF(ISBLANK(F39),"-",$D$48/$F$45*F39)</f>
        <v>263067306.63806102</v>
      </c>
      <c r="I39" s="293">
        <f>ABS((F43/D43*D42)-F42)/D42</f>
        <v>2.8483796933965373E-2</v>
      </c>
      <c r="J39" s="105"/>
      <c r="K39" s="105"/>
      <c r="L39" s="109"/>
      <c r="M39" s="109"/>
      <c r="N39" s="110"/>
    </row>
    <row r="40" spans="1:14" ht="26.25" customHeight="1" x14ac:dyDescent="0.4">
      <c r="A40" s="116" t="s">
        <v>68</v>
      </c>
      <c r="B40" s="117">
        <v>1</v>
      </c>
      <c r="C40" s="145">
        <v>3</v>
      </c>
      <c r="D40" s="128">
        <v>251335156</v>
      </c>
      <c r="E40" s="129">
        <f>IF(ISBLANK(D40),"-",$D$48/$D$45*D40)</f>
        <v>256615970.51864639</v>
      </c>
      <c r="F40" s="128">
        <v>295849248</v>
      </c>
      <c r="G40" s="130">
        <f>IF(ISBLANK(F40),"-",$D$48/$F$45*F40)</f>
        <v>263005942.57740846</v>
      </c>
      <c r="I40" s="293"/>
      <c r="L40" s="109"/>
      <c r="M40" s="109"/>
      <c r="N40" s="188"/>
    </row>
    <row r="41" spans="1:14" ht="27" customHeight="1" thickBot="1" x14ac:dyDescent="0.45">
      <c r="A41" s="116" t="s">
        <v>69</v>
      </c>
      <c r="B41" s="117">
        <v>1</v>
      </c>
      <c r="C41" s="131">
        <v>4</v>
      </c>
      <c r="D41" s="132"/>
      <c r="E41" s="133" t="str">
        <f>IF(ISBLANK(D41),"-",$D$48/$D$45*D41)</f>
        <v>-</v>
      </c>
      <c r="F41" s="132"/>
      <c r="G41" s="134" t="str">
        <f>IF(ISBLANK(F41),"-",$D$48/$F$45*F41)</f>
        <v>-</v>
      </c>
      <c r="I41" s="135"/>
      <c r="L41" s="109"/>
      <c r="M41" s="109"/>
      <c r="N41" s="188"/>
    </row>
    <row r="42" spans="1:14" ht="27" customHeight="1" thickBot="1" x14ac:dyDescent="0.45">
      <c r="A42" s="116" t="s">
        <v>70</v>
      </c>
      <c r="B42" s="117">
        <v>1</v>
      </c>
      <c r="C42" s="136" t="s">
        <v>71</v>
      </c>
      <c r="D42" s="137">
        <f>AVERAGE(D38:D41)</f>
        <v>251377200</v>
      </c>
      <c r="E42" s="138">
        <f>AVERAGE(E38:E41)</f>
        <v>256658897.90706348</v>
      </c>
      <c r="F42" s="137">
        <f>AVERAGE(F38:F41)</f>
        <v>295869782.66666669</v>
      </c>
      <c r="G42" s="139">
        <f>AVERAGE(G38:G41)</f>
        <v>263024197.6157386</v>
      </c>
      <c r="H42" s="140"/>
    </row>
    <row r="43" spans="1:14" ht="26.25" customHeight="1" x14ac:dyDescent="0.4">
      <c r="A43" s="116" t="s">
        <v>72</v>
      </c>
      <c r="B43" s="117">
        <v>1</v>
      </c>
      <c r="C43" s="141" t="s">
        <v>73</v>
      </c>
      <c r="D43" s="142">
        <v>29.56</v>
      </c>
      <c r="E43" s="188"/>
      <c r="F43" s="142">
        <v>33.950000000000003</v>
      </c>
      <c r="H43" s="140"/>
    </row>
    <row r="44" spans="1:14" ht="26.25" customHeight="1" x14ac:dyDescent="0.4">
      <c r="A44" s="116" t="s">
        <v>74</v>
      </c>
      <c r="B44" s="117">
        <v>1</v>
      </c>
      <c r="C44" s="143" t="s">
        <v>75</v>
      </c>
      <c r="D44" s="144">
        <f>D43*$B$34</f>
        <v>29.56</v>
      </c>
      <c r="E44" s="203"/>
      <c r="F44" s="144">
        <f>F43*$B$34</f>
        <v>33.950000000000003</v>
      </c>
      <c r="H44" s="140"/>
    </row>
    <row r="45" spans="1:14" ht="19.5" customHeight="1" thickBot="1" x14ac:dyDescent="0.35">
      <c r="A45" s="116" t="s">
        <v>76</v>
      </c>
      <c r="B45" s="145">
        <f>(B44/B43)*(B42/B41)*(B40/B39)*(B38/B37)*B36</f>
        <v>100</v>
      </c>
      <c r="C45" s="143" t="s">
        <v>77</v>
      </c>
      <c r="D45" s="146">
        <f>D44*$B$30/100</f>
        <v>29.382640000000002</v>
      </c>
      <c r="E45" s="185"/>
      <c r="F45" s="146">
        <f>F44*$B$30/100</f>
        <v>33.746300000000005</v>
      </c>
      <c r="H45" s="140"/>
    </row>
    <row r="46" spans="1:14" ht="19.5" customHeight="1" thickBot="1" x14ac:dyDescent="0.35">
      <c r="A46" s="294" t="s">
        <v>78</v>
      </c>
      <c r="B46" s="295"/>
      <c r="C46" s="143" t="s">
        <v>79</v>
      </c>
      <c r="D46" s="147">
        <f>D45/$B$45</f>
        <v>0.29382640000000004</v>
      </c>
      <c r="E46" s="148"/>
      <c r="F46" s="149">
        <f>F45/$B$45</f>
        <v>0.33746300000000007</v>
      </c>
      <c r="H46" s="140"/>
    </row>
    <row r="47" spans="1:14" ht="27" customHeight="1" thickBot="1" x14ac:dyDescent="0.45">
      <c r="A47" s="296"/>
      <c r="B47" s="297"/>
      <c r="C47" s="150" t="s">
        <v>80</v>
      </c>
      <c r="D47" s="151">
        <v>0.3</v>
      </c>
      <c r="E47" s="152"/>
      <c r="F47" s="148"/>
      <c r="H47" s="140"/>
    </row>
    <row r="48" spans="1:14" ht="18.75" x14ac:dyDescent="0.3">
      <c r="C48" s="153" t="s">
        <v>81</v>
      </c>
      <c r="D48" s="146">
        <f>D47*$B$45</f>
        <v>30</v>
      </c>
      <c r="F48" s="154"/>
      <c r="H48" s="140"/>
    </row>
    <row r="49" spans="1:12" ht="19.5" customHeight="1" thickBot="1" x14ac:dyDescent="0.35">
      <c r="C49" s="155" t="s">
        <v>82</v>
      </c>
      <c r="D49" s="156">
        <f>D48/B34</f>
        <v>30</v>
      </c>
      <c r="F49" s="154"/>
      <c r="H49" s="140"/>
    </row>
    <row r="50" spans="1:12" ht="18.75" x14ac:dyDescent="0.3">
      <c r="C50" s="114" t="s">
        <v>83</v>
      </c>
      <c r="D50" s="157">
        <f>AVERAGE(E38:E41,G38:G41)</f>
        <v>259841547.76140106</v>
      </c>
      <c r="F50" s="158"/>
      <c r="H50" s="140"/>
    </row>
    <row r="51" spans="1:12" ht="18.75" x14ac:dyDescent="0.3">
      <c r="C51" s="116" t="s">
        <v>84</v>
      </c>
      <c r="D51" s="159">
        <f>STDEV(E38:E41,G38:G41)/D50</f>
        <v>1.341832674585852E-2</v>
      </c>
      <c r="F51" s="158"/>
      <c r="H51" s="140"/>
    </row>
    <row r="52" spans="1:12" ht="19.5" customHeight="1" thickBot="1" x14ac:dyDescent="0.35">
      <c r="C52" s="160" t="s">
        <v>20</v>
      </c>
      <c r="D52" s="161">
        <f>COUNT(E38:E41,G38:G41)</f>
        <v>6</v>
      </c>
      <c r="F52" s="158"/>
    </row>
    <row r="54" spans="1:12" ht="18.75" x14ac:dyDescent="0.3">
      <c r="A54" s="162" t="s">
        <v>1</v>
      </c>
      <c r="B54" s="163" t="s">
        <v>85</v>
      </c>
    </row>
    <row r="55" spans="1:12" ht="18.75" x14ac:dyDescent="0.3">
      <c r="A55" s="188" t="s">
        <v>86</v>
      </c>
      <c r="B55" s="164" t="str">
        <f>B21</f>
        <v xml:space="preserve">Each tablet contains: Lamivudine 30mg + Zidovudine 60mg + Nevirapine 50mg </v>
      </c>
    </row>
    <row r="56" spans="1:12" ht="26.25" customHeight="1" x14ac:dyDescent="0.4">
      <c r="A56" s="164" t="s">
        <v>87</v>
      </c>
      <c r="B56" s="165">
        <v>60</v>
      </c>
      <c r="C56" s="188" t="str">
        <f>B20</f>
        <v xml:space="preserve">Zidovudine </v>
      </c>
      <c r="H56" s="203"/>
    </row>
    <row r="57" spans="1:12" ht="18.75" x14ac:dyDescent="0.3">
      <c r="A57" s="164" t="s">
        <v>88</v>
      </c>
      <c r="B57" s="243">
        <f>Uniformity!C46</f>
        <v>302.935</v>
      </c>
      <c r="H57" s="203"/>
    </row>
    <row r="58" spans="1:12" ht="19.5" customHeight="1" thickBot="1" x14ac:dyDescent="0.35">
      <c r="H58" s="203"/>
    </row>
    <row r="59" spans="1:12" s="16" customFormat="1" ht="27" customHeight="1" thickBot="1" x14ac:dyDescent="0.45">
      <c r="A59" s="114" t="s">
        <v>89</v>
      </c>
      <c r="B59" s="115">
        <v>100</v>
      </c>
      <c r="C59" s="188"/>
      <c r="D59" s="166" t="s">
        <v>90</v>
      </c>
      <c r="E59" s="167" t="s">
        <v>62</v>
      </c>
      <c r="F59" s="167" t="s">
        <v>63</v>
      </c>
      <c r="G59" s="167" t="s">
        <v>91</v>
      </c>
      <c r="H59" s="118" t="s">
        <v>92</v>
      </c>
      <c r="L59" s="105"/>
    </row>
    <row r="60" spans="1:12" s="16" customFormat="1" ht="26.25" customHeight="1" x14ac:dyDescent="0.4">
      <c r="A60" s="116" t="s">
        <v>93</v>
      </c>
      <c r="B60" s="117">
        <v>1</v>
      </c>
      <c r="C60" s="298" t="s">
        <v>94</v>
      </c>
      <c r="D60" s="301">
        <v>153.22999999999999</v>
      </c>
      <c r="E60" s="168">
        <v>1</v>
      </c>
      <c r="F60" s="169">
        <v>263135302</v>
      </c>
      <c r="G60" s="244">
        <f>IF(ISBLANK(F60),"-",(F60/$D$50*$D$47*$B$68)*($B$57/$D$60))</f>
        <v>60.061673425586655</v>
      </c>
      <c r="H60" s="170">
        <f t="shared" ref="H60:H71" si="0">IF(ISBLANK(F60),"-",G60/$B$56)</f>
        <v>1.0010278904264442</v>
      </c>
      <c r="L60" s="105"/>
    </row>
    <row r="61" spans="1:12" s="16" customFormat="1" ht="26.25" customHeight="1" x14ac:dyDescent="0.4">
      <c r="A61" s="116" t="s">
        <v>95</v>
      </c>
      <c r="B61" s="117">
        <v>1</v>
      </c>
      <c r="C61" s="299"/>
      <c r="D61" s="302"/>
      <c r="E61" s="171">
        <v>2</v>
      </c>
      <c r="F61" s="128">
        <v>262853151</v>
      </c>
      <c r="G61" s="245">
        <f>IF(ISBLANK(F61),"-",(F61/$D$50*$D$47*$B$68)*($B$57/$D$60))</f>
        <v>59.997271343882296</v>
      </c>
      <c r="H61" s="172">
        <f t="shared" si="0"/>
        <v>0.99995452239803828</v>
      </c>
      <c r="L61" s="105"/>
    </row>
    <row r="62" spans="1:12" s="16" customFormat="1" ht="26.25" customHeight="1" x14ac:dyDescent="0.4">
      <c r="A62" s="116" t="s">
        <v>96</v>
      </c>
      <c r="B62" s="117">
        <v>1</v>
      </c>
      <c r="C62" s="299"/>
      <c r="D62" s="302"/>
      <c r="E62" s="171">
        <v>3</v>
      </c>
      <c r="F62" s="173">
        <v>262952382</v>
      </c>
      <c r="G62" s="245">
        <f>IF(ISBLANK(F62),"-",(F62/$D$50*$D$47*$B$68)*($B$57/$D$60))</f>
        <v>60.019921212107491</v>
      </c>
      <c r="H62" s="172">
        <f t="shared" si="0"/>
        <v>1.0003320202017916</v>
      </c>
      <c r="L62" s="105"/>
    </row>
    <row r="63" spans="1:12" ht="27" customHeight="1" thickBot="1" x14ac:dyDescent="0.45">
      <c r="A63" s="116" t="s">
        <v>97</v>
      </c>
      <c r="B63" s="117">
        <v>1</v>
      </c>
      <c r="C63" s="300"/>
      <c r="D63" s="303"/>
      <c r="E63" s="174">
        <v>4</v>
      </c>
      <c r="F63" s="175"/>
      <c r="G63" s="245" t="str">
        <f>IF(ISBLANK(F63),"-",(F63/$D$50*$D$47*$B$68)*($B$57/$D$60))</f>
        <v>-</v>
      </c>
      <c r="H63" s="172" t="str">
        <f t="shared" si="0"/>
        <v>-</v>
      </c>
    </row>
    <row r="64" spans="1:12" ht="26.25" customHeight="1" x14ac:dyDescent="0.4">
      <c r="A64" s="116" t="s">
        <v>98</v>
      </c>
      <c r="B64" s="117">
        <v>1</v>
      </c>
      <c r="C64" s="298" t="s">
        <v>99</v>
      </c>
      <c r="D64" s="301">
        <v>152.16999999999999</v>
      </c>
      <c r="E64" s="168">
        <v>1</v>
      </c>
      <c r="F64" s="169">
        <v>259740791</v>
      </c>
      <c r="G64" s="246">
        <f>IF(ISBLANK(F64),"-",(F64/$D$50*$D$47*$B$68)*($B$57/$D$64))</f>
        <v>59.699848831224429</v>
      </c>
      <c r="H64" s="176">
        <f t="shared" si="0"/>
        <v>0.99499748052040715</v>
      </c>
    </row>
    <row r="65" spans="1:8" ht="26.25" customHeight="1" x14ac:dyDescent="0.4">
      <c r="A65" s="116" t="s">
        <v>100</v>
      </c>
      <c r="B65" s="117">
        <v>1</v>
      </c>
      <c r="C65" s="299"/>
      <c r="D65" s="302"/>
      <c r="E65" s="171">
        <v>2</v>
      </c>
      <c r="F65" s="128">
        <v>259604351</v>
      </c>
      <c r="G65" s="247">
        <f>IF(ISBLANK(F65),"-",(F65/$D$50*$D$47*$B$68)*($B$57/$D$64))</f>
        <v>59.668488922974468</v>
      </c>
      <c r="H65" s="177">
        <f t="shared" si="0"/>
        <v>0.99447481538290783</v>
      </c>
    </row>
    <row r="66" spans="1:8" ht="26.25" customHeight="1" x14ac:dyDescent="0.4">
      <c r="A66" s="116" t="s">
        <v>101</v>
      </c>
      <c r="B66" s="117">
        <v>1</v>
      </c>
      <c r="C66" s="299"/>
      <c r="D66" s="302"/>
      <c r="E66" s="171">
        <v>3</v>
      </c>
      <c r="F66" s="128">
        <v>259707520</v>
      </c>
      <c r="G66" s="247">
        <f>IF(ISBLANK(F66),"-",(F66/$D$50*$D$47*$B$68)*($B$57/$D$64))</f>
        <v>59.692201693234217</v>
      </c>
      <c r="H66" s="177">
        <f t="shared" si="0"/>
        <v>0.99487002822057025</v>
      </c>
    </row>
    <row r="67" spans="1:8" ht="27" customHeight="1" thickBot="1" x14ac:dyDescent="0.45">
      <c r="A67" s="116" t="s">
        <v>102</v>
      </c>
      <c r="B67" s="117">
        <v>1</v>
      </c>
      <c r="C67" s="300"/>
      <c r="D67" s="303"/>
      <c r="E67" s="174">
        <v>4</v>
      </c>
      <c r="F67" s="175"/>
      <c r="G67" s="248" t="str">
        <f>IF(ISBLANK(F67),"-",(F67/$D$50*$D$47*$B$68)*($B$57/$D$64))</f>
        <v>-</v>
      </c>
      <c r="H67" s="178" t="str">
        <f t="shared" si="0"/>
        <v>-</v>
      </c>
    </row>
    <row r="68" spans="1:8" ht="26.25" customHeight="1" x14ac:dyDescent="0.4">
      <c r="A68" s="116" t="s">
        <v>103</v>
      </c>
      <c r="B68" s="179">
        <f>(B67/B66)*(B65/B64)*(B63/B62)*(B61/B60)*B59</f>
        <v>100</v>
      </c>
      <c r="C68" s="298" t="s">
        <v>104</v>
      </c>
      <c r="D68" s="301">
        <v>151.41999999999999</v>
      </c>
      <c r="E68" s="168">
        <v>1</v>
      </c>
      <c r="F68" s="169">
        <v>258162733</v>
      </c>
      <c r="G68" s="246">
        <f>IF(ISBLANK(F68),"-",(F68/$D$50*$D$47*$B$68)*($B$57/$D$68))</f>
        <v>59.631045173521429</v>
      </c>
      <c r="H68" s="172">
        <f t="shared" si="0"/>
        <v>0.99385075289202385</v>
      </c>
    </row>
    <row r="69" spans="1:8" ht="27" customHeight="1" thickBot="1" x14ac:dyDescent="0.45">
      <c r="A69" s="160" t="s">
        <v>105</v>
      </c>
      <c r="B69" s="180">
        <f>(D47*B68)/B56*B57</f>
        <v>151.4675</v>
      </c>
      <c r="C69" s="299"/>
      <c r="D69" s="302"/>
      <c r="E69" s="171">
        <v>2</v>
      </c>
      <c r="F69" s="128">
        <v>258072993</v>
      </c>
      <c r="G69" s="247">
        <f>IF(ISBLANK(F69),"-",(F69/$D$50*$D$47*$B$68)*($B$57/$D$68))</f>
        <v>59.610316813809369</v>
      </c>
      <c r="H69" s="172">
        <f t="shared" si="0"/>
        <v>0.99350528023015616</v>
      </c>
    </row>
    <row r="70" spans="1:8" ht="26.25" customHeight="1" x14ac:dyDescent="0.4">
      <c r="A70" s="307" t="s">
        <v>78</v>
      </c>
      <c r="B70" s="308"/>
      <c r="C70" s="299"/>
      <c r="D70" s="302"/>
      <c r="E70" s="171">
        <v>3</v>
      </c>
      <c r="F70" s="128">
        <v>258251965</v>
      </c>
      <c r="G70" s="247">
        <f>IF(ISBLANK(F70),"-",(F70/$D$50*$D$47*$B$68)*($B$57/$D$68))</f>
        <v>59.651656194179175</v>
      </c>
      <c r="H70" s="172">
        <f t="shared" si="0"/>
        <v>0.99419426990298621</v>
      </c>
    </row>
    <row r="71" spans="1:8" ht="27" customHeight="1" thickBot="1" x14ac:dyDescent="0.45">
      <c r="A71" s="309"/>
      <c r="B71" s="310"/>
      <c r="C71" s="306"/>
      <c r="D71" s="303"/>
      <c r="E71" s="174">
        <v>4</v>
      </c>
      <c r="F71" s="175"/>
      <c r="G71" s="248" t="str">
        <f>IF(ISBLANK(F71),"-",(F71/$D$50*$D$47*$B$68)*($B$57/$D$68))</f>
        <v>-</v>
      </c>
      <c r="H71" s="181" t="str">
        <f t="shared" si="0"/>
        <v>-</v>
      </c>
    </row>
    <row r="72" spans="1:8" ht="26.25" customHeight="1" x14ac:dyDescent="0.4">
      <c r="A72" s="203"/>
      <c r="B72" s="203"/>
      <c r="C72" s="203"/>
      <c r="D72" s="203"/>
      <c r="E72" s="203"/>
      <c r="F72" s="182" t="s">
        <v>71</v>
      </c>
      <c r="G72" s="253">
        <f>AVERAGE(G60:G71)</f>
        <v>59.781380401168839</v>
      </c>
      <c r="H72" s="183">
        <f>AVERAGE(H60:H71)</f>
        <v>0.9963563400194807</v>
      </c>
    </row>
    <row r="73" spans="1:8" ht="26.25" customHeight="1" x14ac:dyDescent="0.4">
      <c r="C73" s="203"/>
      <c r="D73" s="203"/>
      <c r="E73" s="203"/>
      <c r="F73" s="184" t="s">
        <v>84</v>
      </c>
      <c r="G73" s="249">
        <f>STDEV(G60:G71)/G72</f>
        <v>3.1188781170725854E-3</v>
      </c>
      <c r="H73" s="249">
        <f>STDEV(H60:H71)/H72</f>
        <v>3.1188781170725967E-3</v>
      </c>
    </row>
    <row r="74" spans="1:8" ht="27" customHeight="1" thickBot="1" x14ac:dyDescent="0.45">
      <c r="A74" s="203"/>
      <c r="B74" s="203"/>
      <c r="C74" s="203"/>
      <c r="D74" s="203"/>
      <c r="E74" s="185"/>
      <c r="F74" s="186" t="s">
        <v>20</v>
      </c>
      <c r="G74" s="187">
        <f>COUNT(G60:G71)</f>
        <v>9</v>
      </c>
      <c r="H74" s="187">
        <f>COUNT(H60:H71)</f>
        <v>9</v>
      </c>
    </row>
    <row r="76" spans="1:8" ht="26.25" customHeight="1" x14ac:dyDescent="0.4">
      <c r="A76" s="237" t="s">
        <v>106</v>
      </c>
      <c r="B76" s="195" t="s">
        <v>107</v>
      </c>
      <c r="C76" s="311" t="str">
        <f>B20</f>
        <v xml:space="preserve">Zidovudine </v>
      </c>
      <c r="D76" s="311"/>
      <c r="E76" s="188" t="s">
        <v>108</v>
      </c>
      <c r="F76" s="188"/>
      <c r="G76" s="189">
        <f>H72</f>
        <v>0.9963563400194807</v>
      </c>
      <c r="H76" s="262"/>
    </row>
    <row r="77" spans="1:8" ht="18.75" x14ac:dyDescent="0.3">
      <c r="A77" s="103" t="s">
        <v>109</v>
      </c>
      <c r="B77" s="103" t="s">
        <v>110</v>
      </c>
    </row>
    <row r="78" spans="1:8" ht="18.75" x14ac:dyDescent="0.3">
      <c r="A78" s="103"/>
      <c r="B78" s="103"/>
    </row>
    <row r="79" spans="1:8" ht="26.25" customHeight="1" x14ac:dyDescent="0.4">
      <c r="A79" s="237" t="s">
        <v>4</v>
      </c>
      <c r="B79" s="312" t="str">
        <f>B26</f>
        <v xml:space="preserve">Zidovudine </v>
      </c>
      <c r="C79" s="312"/>
    </row>
    <row r="80" spans="1:8" ht="26.25" customHeight="1" x14ac:dyDescent="0.4">
      <c r="A80" s="195" t="s">
        <v>48</v>
      </c>
      <c r="B80" s="312" t="str">
        <f>B27</f>
        <v>Z1-3</v>
      </c>
      <c r="C80" s="312"/>
    </row>
    <row r="81" spans="1:12" ht="27" customHeight="1" thickBot="1" x14ac:dyDescent="0.45">
      <c r="A81" s="195" t="s">
        <v>6</v>
      </c>
      <c r="B81" s="190">
        <f>B28</f>
        <v>99.4</v>
      </c>
    </row>
    <row r="82" spans="1:12" s="16" customFormat="1" ht="27" customHeight="1" thickBot="1" x14ac:dyDescent="0.45">
      <c r="A82" s="195" t="s">
        <v>49</v>
      </c>
      <c r="B82" s="104">
        <v>0</v>
      </c>
      <c r="C82" s="287" t="s">
        <v>50</v>
      </c>
      <c r="D82" s="288"/>
      <c r="E82" s="288"/>
      <c r="F82" s="288"/>
      <c r="G82" s="289"/>
      <c r="I82" s="105"/>
      <c r="J82" s="105"/>
      <c r="K82" s="105"/>
      <c r="L82" s="105"/>
    </row>
    <row r="83" spans="1:12" s="16" customFormat="1" ht="19.5" customHeight="1" thickBot="1" x14ac:dyDescent="0.35">
      <c r="A83" s="195" t="s">
        <v>51</v>
      </c>
      <c r="B83" s="262">
        <f>B81-B82</f>
        <v>99.4</v>
      </c>
      <c r="C83" s="106"/>
      <c r="D83" s="106"/>
      <c r="E83" s="106"/>
      <c r="F83" s="106"/>
      <c r="G83" s="107"/>
      <c r="I83" s="105"/>
      <c r="J83" s="105"/>
      <c r="K83" s="105"/>
      <c r="L83" s="105"/>
    </row>
    <row r="84" spans="1:12" s="16" customFormat="1" ht="27" customHeight="1" thickBot="1" x14ac:dyDescent="0.45">
      <c r="A84" s="195" t="s">
        <v>52</v>
      </c>
      <c r="B84" s="108">
        <v>1</v>
      </c>
      <c r="C84" s="290" t="s">
        <v>111</v>
      </c>
      <c r="D84" s="291"/>
      <c r="E84" s="291"/>
      <c r="F84" s="291"/>
      <c r="G84" s="291"/>
      <c r="H84" s="292"/>
      <c r="I84" s="105"/>
      <c r="J84" s="105"/>
      <c r="K84" s="105"/>
      <c r="L84" s="105"/>
    </row>
    <row r="85" spans="1:12" s="16" customFormat="1" ht="27" customHeight="1" thickBot="1" x14ac:dyDescent="0.45">
      <c r="A85" s="195" t="s">
        <v>54</v>
      </c>
      <c r="B85" s="108">
        <v>1</v>
      </c>
      <c r="C85" s="290" t="s">
        <v>112</v>
      </c>
      <c r="D85" s="291"/>
      <c r="E85" s="291"/>
      <c r="F85" s="291"/>
      <c r="G85" s="291"/>
      <c r="H85" s="292"/>
      <c r="I85" s="105"/>
      <c r="J85" s="105"/>
      <c r="K85" s="105"/>
      <c r="L85" s="105"/>
    </row>
    <row r="86" spans="1:12" s="16" customFormat="1" ht="18.75" x14ac:dyDescent="0.3">
      <c r="A86" s="195"/>
      <c r="B86" s="111"/>
      <c r="C86" s="112"/>
      <c r="D86" s="112"/>
      <c r="E86" s="112"/>
      <c r="F86" s="112"/>
      <c r="G86" s="112"/>
      <c r="H86" s="112"/>
      <c r="I86" s="105"/>
      <c r="J86" s="105"/>
      <c r="K86" s="105"/>
      <c r="L86" s="105"/>
    </row>
    <row r="87" spans="1:12" s="16" customFormat="1" ht="18.75" x14ac:dyDescent="0.3">
      <c r="A87" s="195" t="s">
        <v>56</v>
      </c>
      <c r="B87" s="113">
        <f>B84/B85</f>
        <v>1</v>
      </c>
      <c r="C87" s="188" t="s">
        <v>57</v>
      </c>
      <c r="D87" s="188"/>
      <c r="E87" s="188"/>
      <c r="F87" s="188"/>
      <c r="G87" s="188"/>
      <c r="I87" s="105"/>
      <c r="J87" s="105"/>
      <c r="K87" s="105"/>
      <c r="L87" s="105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4" t="s">
        <v>58</v>
      </c>
      <c r="B89" s="115">
        <v>100</v>
      </c>
      <c r="D89" s="260" t="s">
        <v>59</v>
      </c>
      <c r="E89" s="261"/>
      <c r="F89" s="275" t="s">
        <v>60</v>
      </c>
      <c r="G89" s="277"/>
    </row>
    <row r="90" spans="1:12" ht="27" customHeight="1" thickBot="1" x14ac:dyDescent="0.45">
      <c r="A90" s="116" t="s">
        <v>61</v>
      </c>
      <c r="B90" s="117">
        <v>4</v>
      </c>
      <c r="C90" s="263" t="s">
        <v>62</v>
      </c>
      <c r="D90" s="119" t="s">
        <v>63</v>
      </c>
      <c r="E90" s="120" t="s">
        <v>64</v>
      </c>
      <c r="F90" s="119" t="s">
        <v>63</v>
      </c>
      <c r="G90" s="191" t="s">
        <v>64</v>
      </c>
      <c r="I90" s="122" t="s">
        <v>65</v>
      </c>
    </row>
    <row r="91" spans="1:12" ht="26.25" customHeight="1" x14ac:dyDescent="0.4">
      <c r="A91" s="116" t="s">
        <v>66</v>
      </c>
      <c r="B91" s="117">
        <v>20</v>
      </c>
      <c r="C91" s="192">
        <v>1</v>
      </c>
      <c r="D91" s="124">
        <v>15287824</v>
      </c>
      <c r="E91" s="125">
        <f>IF(ISBLANK(D91),"-",$D$101/$D$98*D91)</f>
        <v>15221797.92930186</v>
      </c>
      <c r="F91" s="124">
        <v>13901257</v>
      </c>
      <c r="G91" s="126">
        <f>IF(ISBLANK(F91),"-",$D$101/$F$98*F91)</f>
        <v>15294365.71308868</v>
      </c>
      <c r="I91" s="127"/>
    </row>
    <row r="92" spans="1:12" ht="26.25" customHeight="1" x14ac:dyDescent="0.4">
      <c r="A92" s="116" t="s">
        <v>67</v>
      </c>
      <c r="B92" s="117">
        <v>1</v>
      </c>
      <c r="C92" s="203">
        <v>2</v>
      </c>
      <c r="D92" s="128">
        <v>15070277</v>
      </c>
      <c r="E92" s="129">
        <f>IF(ISBLANK(D92),"-",$D$101/$D$98*D92)</f>
        <v>15005190.485749014</v>
      </c>
      <c r="F92" s="128">
        <v>14076305</v>
      </c>
      <c r="G92" s="130">
        <f>IF(ISBLANK(F92),"-",$D$101/$F$98*F92)</f>
        <v>15486956.075913046</v>
      </c>
      <c r="I92" s="293">
        <f>ABS((F96/D96*D95)-F95)/D95</f>
        <v>1.03410854061994E-2</v>
      </c>
    </row>
    <row r="93" spans="1:12" ht="26.25" customHeight="1" x14ac:dyDescent="0.4">
      <c r="A93" s="116" t="s">
        <v>68</v>
      </c>
      <c r="B93" s="117">
        <v>1</v>
      </c>
      <c r="C93" s="203">
        <v>3</v>
      </c>
      <c r="D93" s="128">
        <v>15474375</v>
      </c>
      <c r="E93" s="129">
        <f>IF(ISBLANK(D93),"-",$D$101/$D$98*D93)</f>
        <v>15407543.240440264</v>
      </c>
      <c r="F93" s="128">
        <v>13974242</v>
      </c>
      <c r="G93" s="130">
        <f>IF(ISBLANK(F93),"-",$D$101/$F$98*F93)</f>
        <v>15374664.874637149</v>
      </c>
      <c r="I93" s="293"/>
    </row>
    <row r="94" spans="1:12" ht="27" customHeight="1" thickBot="1" x14ac:dyDescent="0.45">
      <c r="A94" s="116" t="s">
        <v>69</v>
      </c>
      <c r="B94" s="117">
        <v>1</v>
      </c>
      <c r="C94" s="193">
        <v>4</v>
      </c>
      <c r="D94" s="132"/>
      <c r="E94" s="133" t="str">
        <f>IF(ISBLANK(D94),"-",$D$101/$D$98*D94)</f>
        <v>-</v>
      </c>
      <c r="F94" s="194"/>
      <c r="G94" s="134" t="str">
        <f>IF(ISBLANK(F94),"-",$D$101/$F$98*F94)</f>
        <v>-</v>
      </c>
      <c r="I94" s="135"/>
    </row>
    <row r="95" spans="1:12" ht="27" customHeight="1" thickBot="1" x14ac:dyDescent="0.45">
      <c r="A95" s="116" t="s">
        <v>70</v>
      </c>
      <c r="B95" s="117">
        <v>1</v>
      </c>
      <c r="C95" s="195" t="s">
        <v>71</v>
      </c>
      <c r="D95" s="196">
        <f>AVERAGE(D91:D94)</f>
        <v>15277492</v>
      </c>
      <c r="E95" s="138">
        <f>AVERAGE(E91:E94)</f>
        <v>15211510.551830379</v>
      </c>
      <c r="F95" s="197">
        <f>AVERAGE(F91:F94)</f>
        <v>13983934.666666666</v>
      </c>
      <c r="G95" s="198">
        <f>AVERAGE(G91:G94)</f>
        <v>15385328.887879625</v>
      </c>
    </row>
    <row r="96" spans="1:12" ht="26.25" customHeight="1" x14ac:dyDescent="0.4">
      <c r="A96" s="116" t="s">
        <v>72</v>
      </c>
      <c r="B96" s="190">
        <v>1</v>
      </c>
      <c r="C96" s="199" t="s">
        <v>113</v>
      </c>
      <c r="D96" s="200">
        <v>33.68</v>
      </c>
      <c r="E96" s="188"/>
      <c r="F96" s="142">
        <v>30.48</v>
      </c>
    </row>
    <row r="97" spans="1:10" ht="26.25" customHeight="1" x14ac:dyDescent="0.4">
      <c r="A97" s="116" t="s">
        <v>74</v>
      </c>
      <c r="B97" s="190">
        <v>1</v>
      </c>
      <c r="C97" s="201" t="s">
        <v>114</v>
      </c>
      <c r="D97" s="202">
        <f>D96*$B$87</f>
        <v>33.68</v>
      </c>
      <c r="E97" s="203"/>
      <c r="F97" s="144">
        <f>F96*$B$87</f>
        <v>30.48</v>
      </c>
    </row>
    <row r="98" spans="1:10" ht="19.5" customHeight="1" thickBot="1" x14ac:dyDescent="0.35">
      <c r="A98" s="116" t="s">
        <v>76</v>
      </c>
      <c r="B98" s="203">
        <f>(B97/B96)*(B95/B94)*(B93/B92)*(B91/B90)*B89</f>
        <v>500</v>
      </c>
      <c r="C98" s="201" t="s">
        <v>115</v>
      </c>
      <c r="D98" s="204">
        <f>D97*$B$83/100</f>
        <v>33.477920000000005</v>
      </c>
      <c r="E98" s="185"/>
      <c r="F98" s="146">
        <f>F97*$B$83/100</f>
        <v>30.29712</v>
      </c>
    </row>
    <row r="99" spans="1:10" ht="19.5" customHeight="1" thickBot="1" x14ac:dyDescent="0.35">
      <c r="A99" s="294" t="s">
        <v>78</v>
      </c>
      <c r="B99" s="304"/>
      <c r="C99" s="201" t="s">
        <v>116</v>
      </c>
      <c r="D99" s="205">
        <f>D98/$B$98</f>
        <v>6.6955840000000003E-2</v>
      </c>
      <c r="E99" s="185"/>
      <c r="F99" s="149">
        <f>F98/$B$98</f>
        <v>6.0594240000000001E-2</v>
      </c>
      <c r="H99" s="140"/>
    </row>
    <row r="100" spans="1:10" ht="19.5" customHeight="1" thickBot="1" x14ac:dyDescent="0.35">
      <c r="A100" s="296"/>
      <c r="B100" s="305"/>
      <c r="C100" s="201" t="s">
        <v>80</v>
      </c>
      <c r="D100" s="207">
        <f>$B$56/$B$116</f>
        <v>6.6666666666666666E-2</v>
      </c>
      <c r="F100" s="154"/>
      <c r="G100" s="213"/>
      <c r="H100" s="140"/>
    </row>
    <row r="101" spans="1:10" ht="18.75" x14ac:dyDescent="0.3">
      <c r="C101" s="201" t="s">
        <v>81</v>
      </c>
      <c r="D101" s="202">
        <f>D100*$B$98</f>
        <v>33.333333333333336</v>
      </c>
      <c r="F101" s="154"/>
      <c r="H101" s="140"/>
    </row>
    <row r="102" spans="1:10" ht="19.5" customHeight="1" thickBot="1" x14ac:dyDescent="0.35">
      <c r="C102" s="208" t="s">
        <v>82</v>
      </c>
      <c r="D102" s="209">
        <f>D101/B34</f>
        <v>33.333333333333336</v>
      </c>
      <c r="F102" s="158"/>
      <c r="H102" s="140"/>
      <c r="J102" s="210"/>
    </row>
    <row r="103" spans="1:10" ht="18.75" x14ac:dyDescent="0.3">
      <c r="C103" s="211" t="s">
        <v>117</v>
      </c>
      <c r="D103" s="212">
        <f>AVERAGE(E91:E94,G91:G94)</f>
        <v>15298419.719855001</v>
      </c>
      <c r="F103" s="158"/>
      <c r="G103" s="213"/>
      <c r="H103" s="140"/>
      <c r="J103" s="214"/>
    </row>
    <row r="104" spans="1:10" ht="18.75" x14ac:dyDescent="0.3">
      <c r="C104" s="184" t="s">
        <v>84</v>
      </c>
      <c r="D104" s="215">
        <f>STDEV(E91:E94,G91:G94)/D103</f>
        <v>1.1136761150185663E-2</v>
      </c>
      <c r="F104" s="158"/>
      <c r="H104" s="140"/>
      <c r="J104" s="214"/>
    </row>
    <row r="105" spans="1:10" ht="19.5" customHeight="1" thickBot="1" x14ac:dyDescent="0.35">
      <c r="C105" s="186" t="s">
        <v>20</v>
      </c>
      <c r="D105" s="216">
        <f>COUNT(E91:E94,G91:G94)</f>
        <v>6</v>
      </c>
      <c r="F105" s="158"/>
      <c r="H105" s="140"/>
      <c r="J105" s="214"/>
    </row>
    <row r="106" spans="1:10" ht="19.5" customHeight="1" thickBot="1" x14ac:dyDescent="0.35">
      <c r="A106" s="162"/>
      <c r="B106" s="162"/>
      <c r="C106" s="162"/>
      <c r="D106" s="162"/>
      <c r="E106" s="162"/>
    </row>
    <row r="107" spans="1:10" ht="26.25" customHeight="1" x14ac:dyDescent="0.4">
      <c r="A107" s="114" t="s">
        <v>118</v>
      </c>
      <c r="B107" s="115">
        <v>900</v>
      </c>
      <c r="C107" s="260" t="s">
        <v>119</v>
      </c>
      <c r="D107" s="217" t="s">
        <v>63</v>
      </c>
      <c r="E107" s="218" t="s">
        <v>120</v>
      </c>
      <c r="F107" s="219" t="s">
        <v>121</v>
      </c>
    </row>
    <row r="108" spans="1:10" ht="26.25" customHeight="1" x14ac:dyDescent="0.4">
      <c r="A108" s="116" t="s">
        <v>122</v>
      </c>
      <c r="B108" s="117">
        <v>1</v>
      </c>
      <c r="C108" s="220">
        <v>1</v>
      </c>
      <c r="D108" s="221">
        <v>15466333</v>
      </c>
      <c r="E108" s="250">
        <f t="shared" ref="E108:E113" si="1">IF(ISBLANK(D108),"-",D108/$D$103*$D$100*$B$116)</f>
        <v>60.65855147088326</v>
      </c>
      <c r="F108" s="222">
        <f t="shared" ref="F108:F113" si="2">IF(ISBLANK(D108), "-", E108/$B$56)</f>
        <v>1.0109758578480543</v>
      </c>
    </row>
    <row r="109" spans="1:10" ht="26.25" customHeight="1" x14ac:dyDescent="0.4">
      <c r="A109" s="116" t="s">
        <v>95</v>
      </c>
      <c r="B109" s="117">
        <v>1</v>
      </c>
      <c r="C109" s="220">
        <v>2</v>
      </c>
      <c r="D109" s="221">
        <v>15623330</v>
      </c>
      <c r="E109" s="251">
        <f t="shared" si="1"/>
        <v>61.274289577988164</v>
      </c>
      <c r="F109" s="223">
        <f t="shared" si="2"/>
        <v>1.0212381596331361</v>
      </c>
    </row>
    <row r="110" spans="1:10" ht="26.25" customHeight="1" x14ac:dyDescent="0.4">
      <c r="A110" s="116" t="s">
        <v>96</v>
      </c>
      <c r="B110" s="117">
        <v>1</v>
      </c>
      <c r="C110" s="220">
        <v>3</v>
      </c>
      <c r="D110" s="221">
        <v>15388807</v>
      </c>
      <c r="E110" s="251">
        <f t="shared" si="1"/>
        <v>60.354496536767222</v>
      </c>
      <c r="F110" s="223">
        <f t="shared" si="2"/>
        <v>1.0059082756127871</v>
      </c>
    </row>
    <row r="111" spans="1:10" ht="26.25" customHeight="1" x14ac:dyDescent="0.4">
      <c r="A111" s="116" t="s">
        <v>97</v>
      </c>
      <c r="B111" s="117">
        <v>1</v>
      </c>
      <c r="C111" s="220">
        <v>4</v>
      </c>
      <c r="D111" s="221">
        <v>15312795</v>
      </c>
      <c r="E111" s="251">
        <f t="shared" si="1"/>
        <v>60.056379470853479</v>
      </c>
      <c r="F111" s="223">
        <f t="shared" si="2"/>
        <v>1.000939657847558</v>
      </c>
    </row>
    <row r="112" spans="1:10" ht="26.25" customHeight="1" x14ac:dyDescent="0.4">
      <c r="A112" s="116" t="s">
        <v>98</v>
      </c>
      <c r="B112" s="117">
        <v>1</v>
      </c>
      <c r="C112" s="220">
        <v>5</v>
      </c>
      <c r="D112" s="221">
        <v>15519769</v>
      </c>
      <c r="E112" s="251">
        <f t="shared" si="1"/>
        <v>60.868126058240072</v>
      </c>
      <c r="F112" s="223">
        <f t="shared" si="2"/>
        <v>1.0144687676373345</v>
      </c>
    </row>
    <row r="113" spans="1:10" ht="26.25" customHeight="1" x14ac:dyDescent="0.4">
      <c r="A113" s="116" t="s">
        <v>100</v>
      </c>
      <c r="B113" s="117">
        <v>1</v>
      </c>
      <c r="C113" s="224">
        <v>6</v>
      </c>
      <c r="D113" s="225">
        <v>15488485</v>
      </c>
      <c r="E113" s="252">
        <f t="shared" si="1"/>
        <v>60.745431032585635</v>
      </c>
      <c r="F113" s="226">
        <f t="shared" si="2"/>
        <v>1.012423850543094</v>
      </c>
    </row>
    <row r="114" spans="1:10" ht="26.25" customHeight="1" x14ac:dyDescent="0.4">
      <c r="A114" s="116" t="s">
        <v>101</v>
      </c>
      <c r="B114" s="117">
        <v>1</v>
      </c>
      <c r="C114" s="220"/>
      <c r="D114" s="203"/>
      <c r="E114" s="188"/>
      <c r="F114" s="227"/>
    </row>
    <row r="115" spans="1:10" ht="26.25" customHeight="1" x14ac:dyDescent="0.4">
      <c r="A115" s="116" t="s">
        <v>102</v>
      </c>
      <c r="B115" s="117">
        <v>1</v>
      </c>
      <c r="C115" s="220"/>
      <c r="D115" s="228" t="s">
        <v>71</v>
      </c>
      <c r="E115" s="254">
        <f>AVERAGE(E108:E113)</f>
        <v>60.659545691219641</v>
      </c>
      <c r="F115" s="229">
        <f>AVERAGE(F108:F113)</f>
        <v>1.010992428186994</v>
      </c>
    </row>
    <row r="116" spans="1:10" ht="27" customHeight="1" thickBot="1" x14ac:dyDescent="0.45">
      <c r="A116" s="116" t="s">
        <v>103</v>
      </c>
      <c r="B116" s="145">
        <f>(B115/B114)*(B113/B112)*(B111/B110)*(B109/B108)*B107</f>
        <v>900</v>
      </c>
      <c r="C116" s="230"/>
      <c r="D116" s="195" t="s">
        <v>84</v>
      </c>
      <c r="E116" s="231">
        <f>STDEV(E108:E113)/E115</f>
        <v>6.9382311515405436E-3</v>
      </c>
      <c r="F116" s="231">
        <f>STDEV(F108:F113)/F115</f>
        <v>6.9382311515405531E-3</v>
      </c>
      <c r="I116" s="188"/>
    </row>
    <row r="117" spans="1:10" ht="27" customHeight="1" thickBot="1" x14ac:dyDescent="0.45">
      <c r="A117" s="294" t="s">
        <v>78</v>
      </c>
      <c r="B117" s="295"/>
      <c r="C117" s="232"/>
      <c r="D117" s="233" t="s">
        <v>20</v>
      </c>
      <c r="E117" s="234">
        <f>COUNT(E108:E113)</f>
        <v>6</v>
      </c>
      <c r="F117" s="234">
        <f>COUNT(F108:F113)</f>
        <v>6</v>
      </c>
      <c r="I117" s="188"/>
      <c r="J117" s="214"/>
    </row>
    <row r="118" spans="1:10" ht="19.5" customHeight="1" thickBot="1" x14ac:dyDescent="0.35">
      <c r="A118" s="296"/>
      <c r="B118" s="297"/>
      <c r="C118" s="188"/>
      <c r="D118" s="188"/>
      <c r="E118" s="188"/>
      <c r="F118" s="203"/>
      <c r="G118" s="188"/>
      <c r="H118" s="188"/>
      <c r="I118" s="188"/>
    </row>
    <row r="119" spans="1:10" ht="18.75" x14ac:dyDescent="0.3">
      <c r="A119" s="241"/>
      <c r="B119" s="112"/>
      <c r="C119" s="188"/>
      <c r="D119" s="188"/>
      <c r="E119" s="188"/>
      <c r="F119" s="203"/>
      <c r="G119" s="188"/>
      <c r="H119" s="188"/>
      <c r="I119" s="188"/>
    </row>
    <row r="120" spans="1:10" ht="26.25" customHeight="1" x14ac:dyDescent="0.4">
      <c r="A120" s="237" t="s">
        <v>106</v>
      </c>
      <c r="B120" s="195" t="s">
        <v>123</v>
      </c>
      <c r="C120" s="311" t="str">
        <f>B20</f>
        <v xml:space="preserve">Zidovudine </v>
      </c>
      <c r="D120" s="311"/>
      <c r="E120" s="188" t="s">
        <v>124</v>
      </c>
      <c r="F120" s="188"/>
      <c r="G120" s="189">
        <f>F115</f>
        <v>1.010992428186994</v>
      </c>
      <c r="H120" s="188"/>
      <c r="I120" s="188"/>
    </row>
    <row r="121" spans="1:10" ht="19.5" customHeight="1" thickBot="1" x14ac:dyDescent="0.35">
      <c r="A121" s="264"/>
      <c r="B121" s="264"/>
      <c r="C121" s="235"/>
      <c r="D121" s="235"/>
      <c r="E121" s="235"/>
      <c r="F121" s="235"/>
      <c r="G121" s="235"/>
      <c r="H121" s="235"/>
    </row>
    <row r="122" spans="1:10" ht="18.75" x14ac:dyDescent="0.3">
      <c r="B122" s="313" t="s">
        <v>26</v>
      </c>
      <c r="C122" s="313"/>
      <c r="E122" s="263" t="s">
        <v>27</v>
      </c>
      <c r="F122" s="236"/>
      <c r="G122" s="313" t="s">
        <v>28</v>
      </c>
      <c r="H122" s="313"/>
    </row>
    <row r="123" spans="1:10" ht="69.95" customHeight="1" x14ac:dyDescent="0.3">
      <c r="A123" s="237" t="s">
        <v>29</v>
      </c>
      <c r="B123" s="238"/>
      <c r="C123" s="238"/>
      <c r="E123" s="238"/>
      <c r="F123" s="188"/>
      <c r="G123" s="238"/>
      <c r="H123" s="238"/>
    </row>
    <row r="124" spans="1:10" ht="69.95" customHeight="1" x14ac:dyDescent="0.3">
      <c r="A124" s="237" t="s">
        <v>30</v>
      </c>
      <c r="B124" s="239"/>
      <c r="C124" s="239"/>
      <c r="E124" s="239"/>
      <c r="F124" s="188"/>
      <c r="G124" s="240"/>
      <c r="H124" s="240"/>
    </row>
    <row r="125" spans="1:10" ht="18.75" x14ac:dyDescent="0.3">
      <c r="A125" s="203"/>
      <c r="B125" s="203"/>
      <c r="C125" s="203"/>
      <c r="D125" s="203"/>
      <c r="E125" s="203"/>
      <c r="F125" s="185"/>
      <c r="G125" s="203"/>
      <c r="H125" s="203"/>
      <c r="I125" s="188"/>
    </row>
    <row r="126" spans="1:10" ht="18.75" x14ac:dyDescent="0.3">
      <c r="A126" s="203"/>
      <c r="B126" s="203"/>
      <c r="C126" s="203"/>
      <c r="D126" s="203"/>
      <c r="E126" s="203"/>
      <c r="F126" s="185"/>
      <c r="G126" s="203"/>
      <c r="H126" s="203"/>
      <c r="I126" s="188"/>
    </row>
    <row r="127" spans="1:10" ht="18.75" x14ac:dyDescent="0.3">
      <c r="A127" s="203"/>
      <c r="B127" s="203"/>
      <c r="C127" s="203"/>
      <c r="D127" s="203"/>
      <c r="E127" s="203"/>
      <c r="F127" s="185"/>
      <c r="G127" s="203"/>
      <c r="H127" s="203"/>
      <c r="I127" s="188"/>
    </row>
    <row r="128" spans="1:10" ht="18.75" x14ac:dyDescent="0.3">
      <c r="A128" s="203"/>
      <c r="B128" s="203"/>
      <c r="C128" s="203"/>
      <c r="D128" s="203"/>
      <c r="E128" s="203"/>
      <c r="F128" s="185"/>
      <c r="G128" s="203"/>
      <c r="H128" s="203"/>
      <c r="I128" s="188"/>
    </row>
    <row r="129" spans="1:9" ht="18.75" x14ac:dyDescent="0.3">
      <c r="A129" s="203"/>
      <c r="B129" s="203"/>
      <c r="C129" s="203"/>
      <c r="D129" s="203"/>
      <c r="E129" s="203"/>
      <c r="F129" s="185"/>
      <c r="G129" s="203"/>
      <c r="H129" s="203"/>
      <c r="I129" s="188"/>
    </row>
    <row r="130" spans="1:9" ht="18.75" x14ac:dyDescent="0.3">
      <c r="A130" s="203"/>
      <c r="B130" s="203"/>
      <c r="C130" s="203"/>
      <c r="D130" s="203"/>
      <c r="E130" s="203"/>
      <c r="F130" s="185"/>
      <c r="G130" s="203"/>
      <c r="H130" s="203"/>
      <c r="I130" s="188"/>
    </row>
    <row r="131" spans="1:9" ht="18.75" x14ac:dyDescent="0.3">
      <c r="A131" s="203"/>
      <c r="B131" s="203"/>
      <c r="C131" s="203"/>
      <c r="D131" s="203"/>
      <c r="E131" s="203"/>
      <c r="F131" s="185"/>
      <c r="G131" s="203"/>
      <c r="H131" s="203"/>
      <c r="I131" s="188"/>
    </row>
    <row r="132" spans="1:9" ht="18.75" x14ac:dyDescent="0.3">
      <c r="A132" s="203"/>
      <c r="B132" s="203"/>
      <c r="C132" s="203"/>
      <c r="D132" s="203"/>
      <c r="E132" s="203"/>
      <c r="F132" s="185"/>
      <c r="G132" s="203"/>
      <c r="H132" s="203"/>
      <c r="I132" s="188"/>
    </row>
    <row r="133" spans="1:9" ht="18.75" x14ac:dyDescent="0.3">
      <c r="A133" s="203"/>
      <c r="B133" s="203"/>
      <c r="C133" s="203"/>
      <c r="D133" s="203"/>
      <c r="E133" s="203"/>
      <c r="F133" s="185"/>
      <c r="G133" s="203"/>
      <c r="H133" s="203"/>
      <c r="I133" s="188"/>
    </row>
    <row r="250" spans="1:1" x14ac:dyDescent="0.25">
      <c r="A250" s="206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Nevirapine</vt:lpstr>
      <vt:lpstr>SST Zidovudine</vt:lpstr>
      <vt:lpstr>Uniformity</vt:lpstr>
      <vt:lpstr>Lamivudine </vt:lpstr>
      <vt:lpstr>Nevirapine </vt:lpstr>
      <vt:lpstr>Zidovudine </vt:lpstr>
      <vt:lpstr>'Lamivudine '!Print_Area</vt:lpstr>
      <vt:lpstr>'Nevirapine '!Print_Area</vt:lpstr>
      <vt:lpstr>'SST Lamivudine'!Print_Area</vt:lpstr>
      <vt:lpstr>'SST Nevirapine'!Print_Area</vt:lpstr>
      <vt:lpstr>'SST Zidovudine'!Print_Area</vt:lpstr>
      <vt:lpstr>Uniformity!Print_Area</vt:lpstr>
      <vt:lpstr>'Zidovudine 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2016-05-13T07:35:33Z</cp:lastPrinted>
  <dcterms:created xsi:type="dcterms:W3CDTF">2005-07-05T10:19:27Z</dcterms:created>
  <dcterms:modified xsi:type="dcterms:W3CDTF">2016-05-20T09:37:28Z</dcterms:modified>
  <cp:category/>
</cp:coreProperties>
</file>