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October\"/>
    </mc:Choice>
  </mc:AlternateContent>
  <bookViews>
    <workbookView xWindow="480" yWindow="495" windowWidth="20775" windowHeight="9405" firstSheet="2" activeTab="5"/>
  </bookViews>
  <sheets>
    <sheet name="SST EMT" sheetId="1" r:id="rId1"/>
    <sheet name="SST TDF" sheetId="7" r:id="rId2"/>
    <sheet name="SST EFAV" sheetId="8" r:id="rId3"/>
    <sheet name="Uniformity" sheetId="2" r:id="rId4"/>
    <sheet name="Emtricitab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Emtricitabine!$A$1:$I$124</definedName>
    <definedName name="_xlnm.Print_Area" localSheetId="2">'SST EFAV'!$A$15:$G$61</definedName>
    <definedName name="_xlnm.Print_Area" localSheetId="0">'SST EMT'!$A$15:$G$61</definedName>
    <definedName name="_xlnm.Print_Area" localSheetId="1">'SST TDF'!$A$15:$G$61</definedName>
    <definedName name="_xlnm.Print_Area" localSheetId="5">'Tenofovir Disoproxil Fumarate'!$A$1:$I$124</definedName>
    <definedName name="_xlnm.Print_Area" localSheetId="3">Uniformity!$A$12:$F$54</definedName>
  </definedNames>
  <calcPr calcId="152511"/>
</workbook>
</file>

<file path=xl/calcChain.xml><?xml version="1.0" encoding="utf-8"?>
<calcChain xmlns="http://schemas.openxmlformats.org/spreadsheetml/2006/main">
  <c r="B40" i="8" l="1"/>
  <c r="B39" i="8"/>
  <c r="B40" i="7"/>
  <c r="B39" i="7"/>
  <c r="B40" i="1"/>
  <c r="B39" i="1"/>
  <c r="D68" i="4"/>
  <c r="B20" i="8"/>
  <c r="B41" i="8" s="1"/>
  <c r="B20" i="1"/>
  <c r="B41" i="1" s="1"/>
  <c r="B20" i="7"/>
  <c r="B41" i="7" s="1"/>
  <c r="D68" i="5"/>
  <c r="D64" i="5"/>
  <c r="D60" i="5"/>
  <c r="D64" i="4"/>
  <c r="D60" i="4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C120" i="5" l="1"/>
  <c r="B116" i="5"/>
  <c r="D100" i="5" s="1"/>
  <c r="B98" i="5"/>
  <c r="F95" i="5"/>
  <c r="D95" i="5"/>
  <c r="G94" i="5"/>
  <c r="E94" i="5"/>
  <c r="B87" i="5"/>
  <c r="D97" i="5" s="1"/>
  <c r="B81" i="5"/>
  <c r="B83" i="5" s="1"/>
  <c r="B80" i="5"/>
  <c r="B79" i="5"/>
  <c r="C76" i="5"/>
  <c r="B68" i="5"/>
  <c r="C56" i="5"/>
  <c r="B55" i="5"/>
  <c r="B45" i="5"/>
  <c r="F42" i="5"/>
  <c r="D42" i="5"/>
  <c r="G41" i="5"/>
  <c r="E41" i="5"/>
  <c r="B34" i="5"/>
  <c r="D44" i="5" s="1"/>
  <c r="B30" i="5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G71" i="3"/>
  <c r="H71" i="3" s="1"/>
  <c r="B68" i="3"/>
  <c r="H67" i="3"/>
  <c r="G67" i="3"/>
  <c r="H63" i="3"/>
  <c r="G63" i="3"/>
  <c r="C56" i="3"/>
  <c r="B55" i="3"/>
  <c r="D48" i="3"/>
  <c r="B45" i="3"/>
  <c r="F42" i="3"/>
  <c r="D42" i="3"/>
  <c r="G41" i="3"/>
  <c r="E41" i="3"/>
  <c r="B34" i="3"/>
  <c r="B30" i="3"/>
  <c r="C46" i="2"/>
  <c r="D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I39" i="5"/>
  <c r="D29" i="2"/>
  <c r="D33" i="2"/>
  <c r="D41" i="2"/>
  <c r="C50" i="2"/>
  <c r="D26" i="2"/>
  <c r="D30" i="2"/>
  <c r="D34" i="2"/>
  <c r="D38" i="2"/>
  <c r="D42" i="2"/>
  <c r="B49" i="2"/>
  <c r="D50" i="2"/>
  <c r="D101" i="3"/>
  <c r="D102" i="3" s="1"/>
  <c r="B42" i="1"/>
  <c r="B57" i="5"/>
  <c r="B69" i="5" s="1"/>
  <c r="D27" i="2"/>
  <c r="D31" i="2"/>
  <c r="D35" i="2"/>
  <c r="D39" i="2"/>
  <c r="D43" i="2"/>
  <c r="C49" i="2"/>
  <c r="B57" i="3"/>
  <c r="B57" i="4"/>
  <c r="B69" i="4" s="1"/>
  <c r="D25" i="2"/>
  <c r="D37" i="2"/>
  <c r="D24" i="2"/>
  <c r="D28" i="2"/>
  <c r="D32" i="2"/>
  <c r="D36" i="2"/>
  <c r="D40" i="2"/>
  <c r="F97" i="5"/>
  <c r="F98" i="5" s="1"/>
  <c r="F99" i="5" s="1"/>
  <c r="I92" i="4"/>
  <c r="D101" i="4"/>
  <c r="D101" i="5"/>
  <c r="D97" i="3"/>
  <c r="F44" i="5"/>
  <c r="F45" i="5" s="1"/>
  <c r="F46" i="5" s="1"/>
  <c r="D45" i="5"/>
  <c r="D46" i="5" s="1"/>
  <c r="B21" i="8" s="1"/>
  <c r="D48" i="5"/>
  <c r="D49" i="3"/>
  <c r="F97" i="4"/>
  <c r="F98" i="4" s="1"/>
  <c r="D98" i="5"/>
  <c r="D99" i="5" s="1"/>
  <c r="B42" i="8" s="1"/>
  <c r="I92" i="5"/>
  <c r="I39" i="4"/>
  <c r="I92" i="3"/>
  <c r="D44" i="4"/>
  <c r="D45" i="4" s="1"/>
  <c r="D46" i="4" s="1"/>
  <c r="B21" i="7" s="1"/>
  <c r="D49" i="4"/>
  <c r="D102" i="4"/>
  <c r="D98" i="4"/>
  <c r="F45" i="4"/>
  <c r="F44" i="3"/>
  <c r="F45" i="3"/>
  <c r="G38" i="3" s="1"/>
  <c r="D44" i="3"/>
  <c r="D45" i="3" s="1"/>
  <c r="D98" i="3"/>
  <c r="F98" i="3"/>
  <c r="G40" i="3" l="1"/>
  <c r="D46" i="3"/>
  <c r="B21" i="1" s="1"/>
  <c r="E40" i="3"/>
  <c r="E38" i="3"/>
  <c r="D49" i="5"/>
  <c r="G39" i="5"/>
  <c r="E39" i="5"/>
  <c r="E40" i="5"/>
  <c r="E38" i="5"/>
  <c r="G40" i="5"/>
  <c r="G38" i="5"/>
  <c r="G42" i="5" s="1"/>
  <c r="E39" i="3"/>
  <c r="F46" i="3"/>
  <c r="G39" i="3"/>
  <c r="G42" i="3" s="1"/>
  <c r="B69" i="3"/>
  <c r="E40" i="4"/>
  <c r="D102" i="5"/>
  <c r="G93" i="5"/>
  <c r="G92" i="5"/>
  <c r="E93" i="5"/>
  <c r="E91" i="5"/>
  <c r="G91" i="5"/>
  <c r="E92" i="5"/>
  <c r="G71" i="5"/>
  <c r="H71" i="5" s="1"/>
  <c r="G63" i="5"/>
  <c r="H63" i="5" s="1"/>
  <c r="G67" i="5"/>
  <c r="H67" i="5" s="1"/>
  <c r="E38" i="4"/>
  <c r="E39" i="4"/>
  <c r="E41" i="4"/>
  <c r="E94" i="4"/>
  <c r="E91" i="4"/>
  <c r="E93" i="4"/>
  <c r="D99" i="4"/>
  <c r="B42" i="7" s="1"/>
  <c r="E92" i="4"/>
  <c r="F99" i="4"/>
  <c r="G92" i="4"/>
  <c r="G91" i="4"/>
  <c r="G93" i="4"/>
  <c r="G94" i="4"/>
  <c r="G40" i="4"/>
  <c r="F46" i="4"/>
  <c r="G41" i="4"/>
  <c r="G39" i="4"/>
  <c r="G38" i="4"/>
  <c r="F99" i="3"/>
  <c r="G92" i="3"/>
  <c r="G94" i="3"/>
  <c r="G91" i="3"/>
  <c r="G93" i="3"/>
  <c r="E94" i="3"/>
  <c r="E91" i="3"/>
  <c r="E93" i="3"/>
  <c r="D99" i="3"/>
  <c r="E92" i="3"/>
  <c r="G95" i="5" l="1"/>
  <c r="E42" i="3"/>
  <c r="D50" i="3"/>
  <c r="D52" i="3"/>
  <c r="E42" i="5"/>
  <c r="D52" i="5"/>
  <c r="D50" i="5"/>
  <c r="D103" i="5"/>
  <c r="D104" i="5" s="1"/>
  <c r="E95" i="5"/>
  <c r="D105" i="5"/>
  <c r="E42" i="4"/>
  <c r="G42" i="4"/>
  <c r="D103" i="4"/>
  <c r="D105" i="4"/>
  <c r="E95" i="4"/>
  <c r="D52" i="4"/>
  <c r="G95" i="4"/>
  <c r="D50" i="4"/>
  <c r="D103" i="3"/>
  <c r="D105" i="3"/>
  <c r="E95" i="3"/>
  <c r="G95" i="3"/>
  <c r="E108" i="5" l="1"/>
  <c r="E113" i="5"/>
  <c r="F113" i="5" s="1"/>
  <c r="E110" i="5"/>
  <c r="F110" i="5" s="1"/>
  <c r="E109" i="5"/>
  <c r="F109" i="5" s="1"/>
  <c r="E112" i="5"/>
  <c r="F112" i="5" s="1"/>
  <c r="E111" i="5"/>
  <c r="F111" i="5" s="1"/>
  <c r="G70" i="5"/>
  <c r="H70" i="5" s="1"/>
  <c r="G61" i="5"/>
  <c r="H61" i="5" s="1"/>
  <c r="D51" i="5"/>
  <c r="G62" i="5"/>
  <c r="H62" i="5" s="1"/>
  <c r="G60" i="5"/>
  <c r="G69" i="5"/>
  <c r="H69" i="5" s="1"/>
  <c r="G68" i="5"/>
  <c r="H68" i="5" s="1"/>
  <c r="G65" i="5"/>
  <c r="H65" i="5" s="1"/>
  <c r="G66" i="5"/>
  <c r="H66" i="5" s="1"/>
  <c r="G64" i="5"/>
  <c r="H64" i="5" s="1"/>
  <c r="D51" i="3"/>
  <c r="G70" i="3"/>
  <c r="H70" i="3" s="1"/>
  <c r="G60" i="3"/>
  <c r="G64" i="3"/>
  <c r="H64" i="3" s="1"/>
  <c r="G61" i="3"/>
  <c r="H61" i="3" s="1"/>
  <c r="G68" i="3"/>
  <c r="H68" i="3" s="1"/>
  <c r="G66" i="3"/>
  <c r="H66" i="3" s="1"/>
  <c r="G62" i="3"/>
  <c r="H62" i="3" s="1"/>
  <c r="G65" i="3"/>
  <c r="H65" i="3" s="1"/>
  <c r="G69" i="3"/>
  <c r="H69" i="3" s="1"/>
  <c r="G70" i="4"/>
  <c r="H70" i="4" s="1"/>
  <c r="G67" i="4"/>
  <c r="H67" i="4" s="1"/>
  <c r="G65" i="4"/>
  <c r="H65" i="4" s="1"/>
  <c r="G61" i="4"/>
  <c r="H61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68" i="4"/>
  <c r="H68" i="4" s="1"/>
  <c r="G63" i="4"/>
  <c r="H63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H60" i="3" l="1"/>
  <c r="G74" i="3"/>
  <c r="G72" i="3"/>
  <c r="G73" i="3" s="1"/>
  <c r="G74" i="5"/>
  <c r="H60" i="5"/>
  <c r="G72" i="5"/>
  <c r="G73" i="5" s="1"/>
  <c r="F108" i="5"/>
  <c r="E117" i="5"/>
  <c r="E115" i="5"/>
  <c r="E116" i="5" s="1"/>
  <c r="E117" i="4"/>
  <c r="F108" i="4"/>
  <c r="E115" i="4"/>
  <c r="E116" i="4" s="1"/>
  <c r="G74" i="4"/>
  <c r="G72" i="4"/>
  <c r="G73" i="4" s="1"/>
  <c r="H60" i="4"/>
  <c r="E117" i="3"/>
  <c r="F108" i="3"/>
  <c r="E115" i="3"/>
  <c r="E116" i="3" s="1"/>
  <c r="H72" i="5" l="1"/>
  <c r="H74" i="5"/>
  <c r="H74" i="3"/>
  <c r="H72" i="3"/>
  <c r="F117" i="5"/>
  <c r="F115" i="5"/>
  <c r="H74" i="4"/>
  <c r="H72" i="4"/>
  <c r="F115" i="4"/>
  <c r="F117" i="4"/>
  <c r="F115" i="3"/>
  <c r="F117" i="3"/>
  <c r="G76" i="3" l="1"/>
  <c r="H73" i="3"/>
  <c r="F116" i="5"/>
  <c r="G120" i="5"/>
  <c r="G76" i="5"/>
  <c r="H73" i="5"/>
  <c r="G76" i="4"/>
  <c r="H73" i="4"/>
  <c r="G120" i="4"/>
  <c r="F116" i="4"/>
  <c r="G120" i="3"/>
  <c r="F116" i="3"/>
</calcChain>
</file>

<file path=xl/sharedStrings.xml><?xml version="1.0" encoding="utf-8"?>
<sst xmlns="http://schemas.openxmlformats.org/spreadsheetml/2006/main" count="641" uniqueCount="133">
  <si>
    <t>HPLC System Suitability Report</t>
  </si>
  <si>
    <t>Analysis Data</t>
  </si>
  <si>
    <t>Assay</t>
  </si>
  <si>
    <t>Sample(s)</t>
  </si>
  <si>
    <t>Reference Substance:</t>
  </si>
  <si>
    <t>Efavirenz, Emtricitabine, and Tenofovir Disoproxil Fumarate  Tablets</t>
  </si>
  <si>
    <t>% age Purity:</t>
  </si>
  <si>
    <t>NDQD201603786</t>
  </si>
  <si>
    <t>Weight (mg):</t>
  </si>
  <si>
    <t>favirenz 600 mg, Emtricitabine 200mg, and Tenofovir Disoproxil Fumarate 300 mg Tablets</t>
  </si>
  <si>
    <t>Standard Conc (mg/mL):</t>
  </si>
  <si>
    <t>Efavirenz 600 mg, Emtricitabine 200mg, and Tenofovir Disoproxil Fumarate 300 mg Tablets equivant to Tenifovir Disoproxil 245 mg</t>
  </si>
  <si>
    <t>2016-03-04 13:03:13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</si>
  <si>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</si>
  <si>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</si>
  <si>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</si>
  <si>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</si>
  <si>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</si>
  <si>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</si>
  <si>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</si>
  <si>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</si>
  <si>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</si>
  <si>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</si>
  <si>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</si>
  <si>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</si>
  <si>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</si>
  <si>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</si>
  <si>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</si>
  <si>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</si>
  <si>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</si>
  <si>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</si>
  <si>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</si>
  <si>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</si>
  <si>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</si>
  <si>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</si>
  <si>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</si>
  <si>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</si>
  <si>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</si>
  <si>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</si>
  <si>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</si>
  <si>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</si>
  <si>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</si>
  <si>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</si>
  <si>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</si>
  <si>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</si>
  <si>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</si>
  <si>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</si>
  <si>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</si>
  <si>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</si>
  <si>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</si>
  <si>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</si>
  <si>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</si>
  <si>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</si>
  <si>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</si>
  <si>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</si>
  <si>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</si>
  <si>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</si>
  <si>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</si>
  <si>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</si>
  <si>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</si>
  <si>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</si>
  <si>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</si>
  <si>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</si>
  <si>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</si>
  <si>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</si>
  <si>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</si>
  <si>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</si>
  <si>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</si>
  <si>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</si>
  <si>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</si>
  <si>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</si>
  <si>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</si>
  <si>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</si>
  <si>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</si>
  <si>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</si>
  <si>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</si>
  <si>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</si>
  <si>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</si>
  <si>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</si>
  <si>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</si>
  <si>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</si>
  <si>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</si>
  <si>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</si>
  <si>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</si>
  <si>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</si>
  <si>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</si>
  <si>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</si>
  <si>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</si>
  <si>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</si>
  <si>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</si>
  <si>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</si>
  <si>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</si>
  <si>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</si>
  <si>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</si>
  <si>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</si>
  <si>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</si>
  <si>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</si>
  <si>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</si>
  <si>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</si>
  <si>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</si>
  <si>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</si>
  <si>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</si>
  <si>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</si>
  <si>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</si>
  <si>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</si>
  <si>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</si>
  <si>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</si>
  <si>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</si>
  <si>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</si>
  <si>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</si>
  <si>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</si>
  <si>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</si>
  <si>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</si>
  <si>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</si>
  <si>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</si>
  <si>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</si>
  <si>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</si>
  <si>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</si>
  <si>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</si>
  <si>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</si>
  <si>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</si>
  <si>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</si>
  <si>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</si>
  <si>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</si>
  <si>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</si>
  <si>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</si>
  <si>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Emtricitabine</t>
  </si>
  <si>
    <t>E11-3</t>
  </si>
  <si>
    <t>Tenofovir Disproxil Fumarate</t>
  </si>
  <si>
    <t>T11-8</t>
  </si>
  <si>
    <t>E15-3</t>
  </si>
  <si>
    <t xml:space="preserve"> Emtricitabine</t>
  </si>
  <si>
    <t xml:space="preserve">Tenofovir Disoproxil Fumarate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</si>
</sst>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5" fillId="2" borderId="0"/>
    <xf numFmtId="0" fontId="24" fillId="2" borderId="0"/>
  </cellStyleXfs>
  <cellXfs count="6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3" fontId="5" fillId="4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2 2" xfId="3"/>
    <cellStyle name="Normal 3" xfId="4"/>
    <cellStyle name="Normal 4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6" workbookViewId="0">
      <selection activeCell="E50" sqref="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7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f>Emtricitabine!D43</f>
        <v>9.9499999999999993</v>
      </c>
      <c r="C20" s="10"/>
      <c r="D20" s="10"/>
      <c r="E20" s="10"/>
    </row>
    <row r="21" spans="1:6" ht="16.5" customHeight="1" x14ac:dyDescent="0.3">
      <c r="A21" s="7" t="s">
        <v>10</v>
      </c>
      <c r="B21" s="13">
        <f>Emtricitabine!D46</f>
        <v>3.9720399999999996E-2</v>
      </c>
      <c r="C21" s="10"/>
      <c r="D21" s="10"/>
      <c r="E21" s="10"/>
    </row>
    <row r="22" spans="1:6" ht="15.75" customHeight="1" x14ac:dyDescent="0.25">
      <c r="A22" s="10"/>
      <c r="B22" s="646">
        <v>42578.543900462966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12797961</v>
      </c>
      <c r="C24" s="18">
        <v>29962.6</v>
      </c>
      <c r="D24" s="19">
        <v>0.8</v>
      </c>
      <c r="E24" s="20">
        <v>4.5999999999999996</v>
      </c>
    </row>
    <row r="25" spans="1:6" ht="16.5" customHeight="1" x14ac:dyDescent="0.3">
      <c r="A25" s="17">
        <v>2</v>
      </c>
      <c r="B25" s="18">
        <v>12855082</v>
      </c>
      <c r="C25" s="18">
        <v>30146.2</v>
      </c>
      <c r="D25" s="19">
        <v>0.8</v>
      </c>
      <c r="E25" s="19">
        <v>4.5999999999999996</v>
      </c>
    </row>
    <row r="26" spans="1:6" ht="16.5" customHeight="1" x14ac:dyDescent="0.3">
      <c r="A26" s="17">
        <v>3</v>
      </c>
      <c r="B26" s="18">
        <v>12819040</v>
      </c>
      <c r="C26" s="18">
        <v>30012</v>
      </c>
      <c r="D26" s="19">
        <v>0.8</v>
      </c>
      <c r="E26" s="19">
        <v>4.5999999999999996</v>
      </c>
    </row>
    <row r="27" spans="1:6" ht="16.5" customHeight="1" x14ac:dyDescent="0.3">
      <c r="A27" s="17">
        <v>4</v>
      </c>
      <c r="B27" s="18">
        <v>12888244</v>
      </c>
      <c r="C27" s="18">
        <v>30191.7</v>
      </c>
      <c r="D27" s="19">
        <v>0.9</v>
      </c>
      <c r="E27" s="19">
        <v>4.5999999999999996</v>
      </c>
    </row>
    <row r="28" spans="1:6" ht="16.5" customHeight="1" x14ac:dyDescent="0.3">
      <c r="A28" s="17">
        <v>5</v>
      </c>
      <c r="B28" s="18">
        <v>12929091</v>
      </c>
      <c r="C28" s="18">
        <v>30538.1</v>
      </c>
      <c r="D28" s="19">
        <v>0.8</v>
      </c>
      <c r="E28" s="19">
        <v>4.5999999999999996</v>
      </c>
    </row>
    <row r="29" spans="1:6" ht="16.5" customHeight="1" x14ac:dyDescent="0.3">
      <c r="A29" s="17">
        <v>6</v>
      </c>
      <c r="B29" s="21">
        <v>13009761</v>
      </c>
      <c r="C29" s="21">
        <v>30650</v>
      </c>
      <c r="D29" s="22">
        <v>0.9</v>
      </c>
      <c r="E29" s="22">
        <v>4.5999999999999996</v>
      </c>
    </row>
    <row r="30" spans="1:6" ht="16.5" customHeight="1" x14ac:dyDescent="0.3">
      <c r="A30" s="23" t="s">
        <v>18</v>
      </c>
      <c r="B30" s="24">
        <f>AVERAGE(B24:B29)</f>
        <v>12883196.5</v>
      </c>
      <c r="C30" s="25">
        <f>AVERAGE(C24:C29)</f>
        <v>30250.100000000002</v>
      </c>
      <c r="D30" s="26">
        <f>AVERAGE(D24:D29)</f>
        <v>0.83333333333333348</v>
      </c>
      <c r="E30" s="26">
        <f>AVERAGE(E24:E29)</f>
        <v>4.6000000000000005</v>
      </c>
    </row>
    <row r="31" spans="1:6" ht="16.5" customHeight="1" x14ac:dyDescent="0.3">
      <c r="A31" s="27" t="s">
        <v>19</v>
      </c>
      <c r="B31" s="28">
        <f>(STDEV(B24:B29)/B30)</f>
        <v>6.0446306179179256E-3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 xml:space="preserve"> Emtricitabine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f>B20</f>
        <v>9.9499999999999993</v>
      </c>
      <c r="C41" s="10"/>
      <c r="D41" s="10"/>
      <c r="E41" s="10"/>
    </row>
    <row r="42" spans="1:6" ht="16.5" customHeight="1" x14ac:dyDescent="0.3">
      <c r="A42" s="7" t="s">
        <v>10</v>
      </c>
      <c r="B42" s="13">
        <f>Emtricitabine!D100</f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63802983</v>
      </c>
      <c r="C45" s="18">
        <v>39155.9</v>
      </c>
      <c r="D45" s="19">
        <v>1</v>
      </c>
      <c r="E45" s="20">
        <v>4.5999999999999996</v>
      </c>
    </row>
    <row r="46" spans="1:6" ht="16.5" customHeight="1" x14ac:dyDescent="0.3">
      <c r="A46" s="17">
        <v>2</v>
      </c>
      <c r="B46" s="18">
        <v>63792721</v>
      </c>
      <c r="C46" s="18">
        <v>38925.4</v>
      </c>
      <c r="D46" s="19">
        <v>1</v>
      </c>
      <c r="E46" s="19">
        <v>4.5999999999999996</v>
      </c>
    </row>
    <row r="47" spans="1:6" ht="16.5" customHeight="1" x14ac:dyDescent="0.3">
      <c r="A47" s="17">
        <v>3</v>
      </c>
      <c r="B47" s="18">
        <v>65441568</v>
      </c>
      <c r="C47" s="18">
        <v>39718.300000000003</v>
      </c>
      <c r="D47" s="19">
        <v>1</v>
      </c>
      <c r="E47" s="19">
        <v>4.5999999999999996</v>
      </c>
    </row>
    <row r="48" spans="1:6" ht="16.5" customHeight="1" x14ac:dyDescent="0.3">
      <c r="A48" s="17">
        <v>4</v>
      </c>
      <c r="B48" s="18">
        <v>65830276</v>
      </c>
      <c r="C48" s="18">
        <v>39494.6</v>
      </c>
      <c r="D48" s="19">
        <v>1</v>
      </c>
      <c r="E48" s="19">
        <v>4.5999999999999996</v>
      </c>
    </row>
    <row r="49" spans="1:7" ht="16.5" customHeight="1" x14ac:dyDescent="0.3">
      <c r="A49" s="17">
        <v>5</v>
      </c>
      <c r="B49" s="18">
        <v>65846451</v>
      </c>
      <c r="C49" s="18">
        <v>39607.300000000003</v>
      </c>
      <c r="D49" s="19">
        <v>1</v>
      </c>
      <c r="E49" s="19">
        <v>4.5999999999999996</v>
      </c>
    </row>
    <row r="50" spans="1:7" ht="16.5" customHeight="1" x14ac:dyDescent="0.3">
      <c r="A50" s="17">
        <v>6</v>
      </c>
      <c r="B50" s="21">
        <v>65815299</v>
      </c>
      <c r="C50" s="21">
        <v>39847.800000000003</v>
      </c>
      <c r="D50" s="22">
        <v>1</v>
      </c>
      <c r="E50" s="22">
        <v>4.5999999999999996</v>
      </c>
    </row>
    <row r="51" spans="1:7" ht="16.5" customHeight="1" x14ac:dyDescent="0.3">
      <c r="A51" s="23" t="s">
        <v>18</v>
      </c>
      <c r="B51" s="24">
        <f>AVERAGE(B45:B50)</f>
        <v>65088216.333333336</v>
      </c>
      <c r="C51" s="25">
        <f>AVERAGE(C45:C50)</f>
        <v>39458.216666666667</v>
      </c>
      <c r="D51" s="26">
        <f>AVERAGE(D45:D50)</f>
        <v>1</v>
      </c>
      <c r="E51" s="26">
        <f>AVERAGE(E45:E50)</f>
        <v>4.6000000000000005</v>
      </c>
    </row>
    <row r="52" spans="1:7" ht="16.5" customHeight="1" x14ac:dyDescent="0.3">
      <c r="A52" s="27" t="s">
        <v>19</v>
      </c>
      <c r="B52" s="28">
        <f>(STDEV(B45:B50)/B51)</f>
        <v>1.5530648213231898E-2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48" t="s">
        <v>26</v>
      </c>
      <c r="C59" s="6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E51" sqref="E51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7</v>
      </c>
      <c r="D17" s="9"/>
      <c r="E17" s="72"/>
    </row>
    <row r="18" spans="1:5" ht="16.5" customHeight="1" x14ac:dyDescent="0.3">
      <c r="A18" s="75" t="s">
        <v>4</v>
      </c>
      <c r="B18" s="8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98.8</v>
      </c>
      <c r="C19" s="72"/>
      <c r="D19" s="72"/>
      <c r="E19" s="72"/>
    </row>
    <row r="20" spans="1:5" ht="16.5" customHeight="1" x14ac:dyDescent="0.3">
      <c r="A20" s="8" t="s">
        <v>8</v>
      </c>
      <c r="B20" s="12">
        <f>'Tenofovir Disoproxil Fumarate'!D43</f>
        <v>15.16</v>
      </c>
      <c r="C20" s="72"/>
      <c r="D20" s="72"/>
      <c r="E20" s="72"/>
    </row>
    <row r="21" spans="1:5" ht="16.5" customHeight="1" x14ac:dyDescent="0.3">
      <c r="A21" s="8" t="s">
        <v>10</v>
      </c>
      <c r="B21" s="13">
        <f>'Tenofovir Disoproxil Fumarate'!D46</f>
        <v>5.9912319999999998E-2</v>
      </c>
      <c r="C21" s="72"/>
      <c r="D21" s="72"/>
      <c r="E21" s="72"/>
    </row>
    <row r="22" spans="1:5" ht="15.75" customHeight="1" x14ac:dyDescent="0.25">
      <c r="A22" s="72"/>
      <c r="B22" s="646">
        <v>42578.543900462966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15400791</v>
      </c>
      <c r="C24" s="18">
        <v>124734</v>
      </c>
      <c r="D24" s="19">
        <v>1.1000000000000001</v>
      </c>
      <c r="E24" s="20">
        <v>8.6</v>
      </c>
    </row>
    <row r="25" spans="1:5" ht="16.5" customHeight="1" x14ac:dyDescent="0.3">
      <c r="A25" s="17">
        <v>2</v>
      </c>
      <c r="B25" s="18">
        <v>15475768</v>
      </c>
      <c r="C25" s="18">
        <v>125699.8</v>
      </c>
      <c r="D25" s="19">
        <v>1.1000000000000001</v>
      </c>
      <c r="E25" s="19">
        <v>8.6</v>
      </c>
    </row>
    <row r="26" spans="1:5" ht="16.5" customHeight="1" x14ac:dyDescent="0.3">
      <c r="A26" s="17">
        <v>3</v>
      </c>
      <c r="B26" s="18">
        <v>15440031</v>
      </c>
      <c r="C26" s="18">
        <v>124984.6</v>
      </c>
      <c r="D26" s="19">
        <v>1.1000000000000001</v>
      </c>
      <c r="E26" s="19">
        <v>8.6</v>
      </c>
    </row>
    <row r="27" spans="1:5" ht="16.5" customHeight="1" x14ac:dyDescent="0.3">
      <c r="A27" s="17">
        <v>4</v>
      </c>
      <c r="B27" s="18">
        <v>15486550</v>
      </c>
      <c r="C27" s="18">
        <v>125539.6</v>
      </c>
      <c r="D27" s="19">
        <v>1.1000000000000001</v>
      </c>
      <c r="E27" s="19">
        <v>8.6</v>
      </c>
    </row>
    <row r="28" spans="1:5" ht="16.5" customHeight="1" x14ac:dyDescent="0.3">
      <c r="A28" s="17">
        <v>5</v>
      </c>
      <c r="B28" s="18">
        <v>15533602</v>
      </c>
      <c r="C28" s="18">
        <v>126315.7</v>
      </c>
      <c r="D28" s="19">
        <v>1.1000000000000001</v>
      </c>
      <c r="E28" s="19">
        <v>8.6</v>
      </c>
    </row>
    <row r="29" spans="1:5" ht="16.5" customHeight="1" x14ac:dyDescent="0.3">
      <c r="A29" s="17">
        <v>6</v>
      </c>
      <c r="B29" s="21">
        <v>15620903</v>
      </c>
      <c r="C29" s="21">
        <v>126693.1</v>
      </c>
      <c r="D29" s="22">
        <v>1.1000000000000001</v>
      </c>
      <c r="E29" s="22">
        <v>8.6</v>
      </c>
    </row>
    <row r="30" spans="1:5" ht="16.5" customHeight="1" x14ac:dyDescent="0.3">
      <c r="A30" s="23" t="s">
        <v>18</v>
      </c>
      <c r="B30" s="24">
        <f>AVERAGE(B24:B29)</f>
        <v>15492940.833333334</v>
      </c>
      <c r="C30" s="25">
        <f>AVERAGE(C24:C29)</f>
        <v>125661.13333333332</v>
      </c>
      <c r="D30" s="26">
        <f>AVERAGE(D24:D29)</f>
        <v>1.0999999999999999</v>
      </c>
      <c r="E30" s="26">
        <f>AVERAGE(E24:E29)</f>
        <v>8.6</v>
      </c>
    </row>
    <row r="31" spans="1:5" ht="16.5" customHeight="1" x14ac:dyDescent="0.3">
      <c r="A31" s="27" t="s">
        <v>19</v>
      </c>
      <c r="B31" s="28">
        <f>(STDEV(B24:B29)/B30)</f>
        <v>4.9707964874798312E-3</v>
      </c>
      <c r="C31" s="29"/>
      <c r="D31" s="29"/>
      <c r="E31" s="30"/>
    </row>
    <row r="32" spans="1:5" s="59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2" customFormat="1" ht="15.75" customHeight="1" x14ac:dyDescent="0.25">
      <c r="A33" s="72"/>
      <c r="B33" s="72"/>
      <c r="C33" s="72"/>
      <c r="D33" s="72"/>
      <c r="E33" s="72"/>
    </row>
    <row r="34" spans="1:5" s="592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tr">
        <f>B18</f>
        <v xml:space="preserve">Tenofovir Disoproxil Fumarate </v>
      </c>
      <c r="C39" s="72"/>
      <c r="D39" s="72"/>
      <c r="E39" s="72"/>
    </row>
    <row r="40" spans="1:5" ht="16.5" customHeight="1" x14ac:dyDescent="0.3">
      <c r="A40" s="75" t="s">
        <v>6</v>
      </c>
      <c r="B40" s="12">
        <f>B19</f>
        <v>98.8</v>
      </c>
      <c r="C40" s="72"/>
      <c r="D40" s="72"/>
      <c r="E40" s="72"/>
    </row>
    <row r="41" spans="1:5" ht="16.5" customHeight="1" x14ac:dyDescent="0.3">
      <c r="A41" s="8" t="s">
        <v>8</v>
      </c>
      <c r="B41" s="12">
        <f>B20</f>
        <v>15.16</v>
      </c>
      <c r="C41" s="72"/>
      <c r="D41" s="72"/>
      <c r="E41" s="72"/>
    </row>
    <row r="42" spans="1:5" ht="16.5" customHeight="1" x14ac:dyDescent="0.3">
      <c r="A42" s="8" t="s">
        <v>10</v>
      </c>
      <c r="B42" s="13">
        <f>'Tenofovir Disoproxil Fumarate'!D99</f>
        <v>0.29956159999999998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75432734</v>
      </c>
      <c r="C45" s="18">
        <v>126989.5</v>
      </c>
      <c r="D45" s="19">
        <v>1.1000000000000001</v>
      </c>
      <c r="E45" s="20">
        <v>8.5</v>
      </c>
    </row>
    <row r="46" spans="1:5" ht="16.5" customHeight="1" x14ac:dyDescent="0.3">
      <c r="A46" s="17">
        <v>2</v>
      </c>
      <c r="B46" s="18">
        <v>75382952</v>
      </c>
      <c r="C46" s="18">
        <v>127671.5</v>
      </c>
      <c r="D46" s="19">
        <v>1.1000000000000001</v>
      </c>
      <c r="E46" s="19">
        <v>8.5</v>
      </c>
    </row>
    <row r="47" spans="1:5" ht="16.5" customHeight="1" x14ac:dyDescent="0.3">
      <c r="A47" s="17">
        <v>3</v>
      </c>
      <c r="B47" s="18">
        <v>77317296</v>
      </c>
      <c r="C47" s="18">
        <v>127546.8</v>
      </c>
      <c r="D47" s="19">
        <v>1.1000000000000001</v>
      </c>
      <c r="E47" s="19">
        <v>8.5</v>
      </c>
    </row>
    <row r="48" spans="1:5" ht="16.5" customHeight="1" x14ac:dyDescent="0.3">
      <c r="A48" s="17">
        <v>4</v>
      </c>
      <c r="B48" s="18">
        <v>77755503</v>
      </c>
      <c r="C48" s="18">
        <v>127079.9</v>
      </c>
      <c r="D48" s="19">
        <v>1.1000000000000001</v>
      </c>
      <c r="E48" s="19">
        <v>8.5</v>
      </c>
    </row>
    <row r="49" spans="1:7" ht="16.5" customHeight="1" x14ac:dyDescent="0.3">
      <c r="A49" s="17">
        <v>5</v>
      </c>
      <c r="B49" s="18">
        <v>77778093</v>
      </c>
      <c r="C49" s="18">
        <v>127190.6</v>
      </c>
      <c r="D49" s="19">
        <v>1.1000000000000001</v>
      </c>
      <c r="E49" s="19">
        <v>8.5</v>
      </c>
    </row>
    <row r="50" spans="1:7" ht="16.5" customHeight="1" x14ac:dyDescent="0.3">
      <c r="A50" s="17">
        <v>6</v>
      </c>
      <c r="B50" s="21">
        <v>77746051</v>
      </c>
      <c r="C50" s="21">
        <v>127510.1</v>
      </c>
      <c r="D50" s="22">
        <v>1.1000000000000001</v>
      </c>
      <c r="E50" s="22">
        <v>8.5</v>
      </c>
    </row>
    <row r="51" spans="1:7" ht="16.5" customHeight="1" x14ac:dyDescent="0.3">
      <c r="A51" s="23" t="s">
        <v>18</v>
      </c>
      <c r="B51" s="24">
        <f>AVERAGE(B45:B50)</f>
        <v>76902104.833333328</v>
      </c>
      <c r="C51" s="25">
        <f>AVERAGE(C45:C50)</f>
        <v>127331.39999999998</v>
      </c>
      <c r="D51" s="26">
        <f>AVERAGE(D45:D50)</f>
        <v>1.0999999999999999</v>
      </c>
      <c r="E51" s="26">
        <f>AVERAGE(E45:E50)</f>
        <v>8.5</v>
      </c>
    </row>
    <row r="52" spans="1:7" ht="16.5" customHeight="1" x14ac:dyDescent="0.3">
      <c r="A52" s="27" t="s">
        <v>19</v>
      </c>
      <c r="B52" s="28">
        <f>(STDEV(B45:B50)/B51)</f>
        <v>1.5217091252233479E-2</v>
      </c>
      <c r="C52" s="29"/>
      <c r="D52" s="29"/>
      <c r="E52" s="30"/>
    </row>
    <row r="53" spans="1:7" s="592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2" customFormat="1" ht="15.75" customHeight="1" x14ac:dyDescent="0.25">
      <c r="A54" s="72"/>
      <c r="B54" s="72"/>
      <c r="C54" s="72"/>
      <c r="D54" s="72"/>
      <c r="E54" s="72"/>
    </row>
    <row r="55" spans="1:7" s="592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5"/>
      <c r="D58" s="43"/>
      <c r="F58" s="44"/>
      <c r="G58" s="44"/>
    </row>
    <row r="59" spans="1:7" ht="15" customHeight="1" x14ac:dyDescent="0.3">
      <c r="B59" s="648" t="s">
        <v>26</v>
      </c>
      <c r="C59" s="6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E50" sqref="E50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7</v>
      </c>
      <c r="D17" s="9"/>
      <c r="E17" s="72"/>
    </row>
    <row r="18" spans="1:5" ht="16.5" customHeight="1" x14ac:dyDescent="0.3">
      <c r="A18" s="75" t="s">
        <v>4</v>
      </c>
      <c r="B18" s="8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</v>
      </c>
      <c r="C19" s="72"/>
      <c r="D19" s="72"/>
      <c r="E19" s="72"/>
    </row>
    <row r="20" spans="1:5" ht="16.5" customHeight="1" x14ac:dyDescent="0.3">
      <c r="A20" s="8" t="s">
        <v>8</v>
      </c>
      <c r="B20" s="12">
        <f>Efavirenz!D43</f>
        <v>29.41</v>
      </c>
      <c r="C20" s="72"/>
      <c r="D20" s="72"/>
      <c r="E20" s="72"/>
    </row>
    <row r="21" spans="1:5" ht="16.5" customHeight="1" x14ac:dyDescent="0.3">
      <c r="A21" s="8" t="s">
        <v>10</v>
      </c>
      <c r="B21" s="13">
        <f>Efavirenz!D46</f>
        <v>0.11681651999999999</v>
      </c>
      <c r="C21" s="72"/>
      <c r="D21" s="72"/>
      <c r="E21" s="72"/>
    </row>
    <row r="22" spans="1:5" ht="15.75" customHeight="1" x14ac:dyDescent="0.25">
      <c r="A22" s="72"/>
      <c r="B22" s="646">
        <v>42578.543900462966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6879221</v>
      </c>
      <c r="C24" s="18">
        <v>108931.4</v>
      </c>
      <c r="D24" s="19">
        <v>1</v>
      </c>
      <c r="E24" s="20">
        <v>11.7</v>
      </c>
    </row>
    <row r="25" spans="1:5" ht="16.5" customHeight="1" x14ac:dyDescent="0.3">
      <c r="A25" s="17">
        <v>2</v>
      </c>
      <c r="B25" s="18">
        <v>6898894</v>
      </c>
      <c r="C25" s="18">
        <v>109764.7</v>
      </c>
      <c r="D25" s="19">
        <v>1</v>
      </c>
      <c r="E25" s="19">
        <v>11.7</v>
      </c>
    </row>
    <row r="26" spans="1:5" ht="16.5" customHeight="1" x14ac:dyDescent="0.3">
      <c r="A26" s="17">
        <v>3</v>
      </c>
      <c r="B26" s="18">
        <v>6883135</v>
      </c>
      <c r="C26" s="18">
        <v>110347.3</v>
      </c>
      <c r="D26" s="19">
        <v>1</v>
      </c>
      <c r="E26" s="19">
        <v>11.7</v>
      </c>
    </row>
    <row r="27" spans="1:5" ht="16.5" customHeight="1" x14ac:dyDescent="0.3">
      <c r="A27" s="17">
        <v>4</v>
      </c>
      <c r="B27" s="18">
        <v>6903940</v>
      </c>
      <c r="C27" s="18">
        <v>110661.6</v>
      </c>
      <c r="D27" s="19">
        <v>1</v>
      </c>
      <c r="E27" s="19">
        <v>11.7</v>
      </c>
    </row>
    <row r="28" spans="1:5" ht="16.5" customHeight="1" x14ac:dyDescent="0.3">
      <c r="A28" s="17">
        <v>5</v>
      </c>
      <c r="B28" s="18">
        <v>6927567</v>
      </c>
      <c r="C28" s="18">
        <v>111234.6</v>
      </c>
      <c r="D28" s="19">
        <v>1</v>
      </c>
      <c r="E28" s="19">
        <v>11.7</v>
      </c>
    </row>
    <row r="29" spans="1:5" ht="16.5" customHeight="1" x14ac:dyDescent="0.3">
      <c r="A29" s="17">
        <v>6</v>
      </c>
      <c r="B29" s="21">
        <v>6974066</v>
      </c>
      <c r="C29" s="21">
        <v>111748.9</v>
      </c>
      <c r="D29" s="22">
        <v>1</v>
      </c>
      <c r="E29" s="22">
        <v>11.7</v>
      </c>
    </row>
    <row r="30" spans="1:5" ht="16.5" customHeight="1" x14ac:dyDescent="0.3">
      <c r="A30" s="23" t="s">
        <v>18</v>
      </c>
      <c r="B30" s="24">
        <f>AVERAGE(B24:B29)</f>
        <v>6911137.166666667</v>
      </c>
      <c r="C30" s="696">
        <f>AVERAGE(C24:C29)</f>
        <v>110448.08333333333</v>
      </c>
      <c r="D30" s="26">
        <f>AVERAGE(D24:D29)</f>
        <v>1</v>
      </c>
      <c r="E30" s="26">
        <f>AVERAGE(E24:E29)</f>
        <v>11.700000000000001</v>
      </c>
    </row>
    <row r="31" spans="1:5" ht="16.5" customHeight="1" x14ac:dyDescent="0.3">
      <c r="A31" s="27" t="s">
        <v>19</v>
      </c>
      <c r="B31" s="28">
        <f>(STDEV(B24:B29)/B30)</f>
        <v>5.1093309098025723E-3</v>
      </c>
      <c r="C31" s="29"/>
      <c r="D31" s="29"/>
      <c r="E31" s="30"/>
    </row>
    <row r="32" spans="1:5" s="59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2" customFormat="1" ht="15.75" customHeight="1" x14ac:dyDescent="0.25">
      <c r="A33" s="72"/>
      <c r="B33" s="72"/>
      <c r="C33" s="72"/>
      <c r="D33" s="72"/>
      <c r="E33" s="72"/>
    </row>
    <row r="34" spans="1:5" s="592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tr">
        <f>B18</f>
        <v>Efavirenz</v>
      </c>
      <c r="C39" s="72"/>
      <c r="D39" s="72"/>
      <c r="E39" s="72"/>
    </row>
    <row r="40" spans="1:5" ht="16.5" customHeight="1" x14ac:dyDescent="0.3">
      <c r="A40" s="75" t="s">
        <v>6</v>
      </c>
      <c r="B40" s="12">
        <f>B19</f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f>B20</f>
        <v>29.41</v>
      </c>
      <c r="C41" s="72"/>
      <c r="D41" s="72"/>
      <c r="E41" s="72"/>
    </row>
    <row r="42" spans="1:5" ht="16.5" customHeight="1" x14ac:dyDescent="0.3">
      <c r="A42" s="8" t="s">
        <v>10</v>
      </c>
      <c r="B42" s="13">
        <f>Efavirenz!D99</f>
        <v>0.58408260000000001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31837818</v>
      </c>
      <c r="C45" s="18">
        <v>109110.7</v>
      </c>
      <c r="D45" s="19">
        <v>1</v>
      </c>
      <c r="E45" s="20">
        <v>11.7</v>
      </c>
    </row>
    <row r="46" spans="1:5" ht="16.5" customHeight="1" x14ac:dyDescent="0.3">
      <c r="A46" s="17">
        <v>2</v>
      </c>
      <c r="B46" s="18">
        <v>31878488</v>
      </c>
      <c r="C46" s="18">
        <v>109322.6</v>
      </c>
      <c r="D46" s="19">
        <v>1</v>
      </c>
      <c r="E46" s="19">
        <v>11.7</v>
      </c>
    </row>
    <row r="47" spans="1:5" ht="16.5" customHeight="1" x14ac:dyDescent="0.3">
      <c r="A47" s="17">
        <v>3</v>
      </c>
      <c r="B47" s="18">
        <v>32617070</v>
      </c>
      <c r="C47" s="18">
        <v>109676.1</v>
      </c>
      <c r="D47" s="19">
        <v>1.1000000000000001</v>
      </c>
      <c r="E47" s="19">
        <v>11.7</v>
      </c>
    </row>
    <row r="48" spans="1:5" ht="16.5" customHeight="1" x14ac:dyDescent="0.3">
      <c r="A48" s="17">
        <v>4</v>
      </c>
      <c r="B48" s="18">
        <v>32777849</v>
      </c>
      <c r="C48" s="18">
        <v>109616.1</v>
      </c>
      <c r="D48" s="19">
        <v>1.1000000000000001</v>
      </c>
      <c r="E48" s="19">
        <v>11.7</v>
      </c>
    </row>
    <row r="49" spans="1:7" ht="16.5" customHeight="1" x14ac:dyDescent="0.3">
      <c r="A49" s="17">
        <v>5</v>
      </c>
      <c r="B49" s="18">
        <v>32786789</v>
      </c>
      <c r="C49" s="18">
        <v>109633.5</v>
      </c>
      <c r="D49" s="19">
        <v>1</v>
      </c>
      <c r="E49" s="19">
        <v>11.7</v>
      </c>
    </row>
    <row r="50" spans="1:7" ht="16.5" customHeight="1" x14ac:dyDescent="0.3">
      <c r="A50" s="17">
        <v>6</v>
      </c>
      <c r="B50" s="21">
        <v>32759930</v>
      </c>
      <c r="C50" s="21">
        <v>110193.1</v>
      </c>
      <c r="D50" s="22">
        <v>1</v>
      </c>
      <c r="E50" s="22">
        <v>11.7</v>
      </c>
    </row>
    <row r="51" spans="1:7" ht="16.5" customHeight="1" x14ac:dyDescent="0.3">
      <c r="A51" s="23" t="s">
        <v>18</v>
      </c>
      <c r="B51" s="24">
        <f>AVERAGE(B45:B50)</f>
        <v>32442990.666666668</v>
      </c>
      <c r="C51" s="25">
        <f>AVERAGE(C45:C50)</f>
        <v>109592.01666666666</v>
      </c>
      <c r="D51" s="26">
        <f>AVERAGE(D45:D50)</f>
        <v>1.0333333333333334</v>
      </c>
      <c r="E51" s="26">
        <f>AVERAGE(E45:E50)</f>
        <v>11.700000000000001</v>
      </c>
    </row>
    <row r="52" spans="1:7" ht="16.5" customHeight="1" x14ac:dyDescent="0.3">
      <c r="A52" s="27" t="s">
        <v>19</v>
      </c>
      <c r="B52" s="28">
        <f>(STDEV(B45:B50)/B51)</f>
        <v>1.4097936533425873E-2</v>
      </c>
      <c r="C52" s="29"/>
      <c r="D52" s="29"/>
      <c r="E52" s="30"/>
    </row>
    <row r="53" spans="1:7" s="592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2" customFormat="1" ht="15.75" customHeight="1" x14ac:dyDescent="0.25">
      <c r="A54" s="72"/>
      <c r="B54" s="72"/>
      <c r="C54" s="72"/>
      <c r="D54" s="72"/>
      <c r="E54" s="72"/>
    </row>
    <row r="55" spans="1:7" s="592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5"/>
      <c r="D58" s="43"/>
      <c r="F58" s="44"/>
      <c r="G58" s="44"/>
    </row>
    <row r="59" spans="1:7" ht="15" customHeight="1" x14ac:dyDescent="0.3">
      <c r="B59" s="648" t="s">
        <v>26</v>
      </c>
      <c r="C59" s="6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D10" sqref="D1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2" t="s">
        <v>31</v>
      </c>
      <c r="B11" s="653"/>
      <c r="C11" s="653"/>
      <c r="D11" s="653"/>
      <c r="E11" s="653"/>
      <c r="F11" s="654"/>
      <c r="G11" s="91"/>
    </row>
    <row r="12" spans="1:7" ht="16.5" customHeight="1" x14ac:dyDescent="0.3">
      <c r="A12" s="651" t="s">
        <v>32</v>
      </c>
      <c r="B12" s="651"/>
      <c r="C12" s="651"/>
      <c r="D12" s="651"/>
      <c r="E12" s="651"/>
      <c r="F12" s="651"/>
      <c r="G12" s="90"/>
    </row>
    <row r="14" spans="1:7" ht="16.5" customHeight="1" x14ac:dyDescent="0.3">
      <c r="A14" s="656" t="s">
        <v>33</v>
      </c>
      <c r="B14" s="656"/>
      <c r="C14" s="60" t="s">
        <v>5</v>
      </c>
    </row>
    <row r="15" spans="1:7" ht="16.5" customHeight="1" x14ac:dyDescent="0.3">
      <c r="A15" s="656" t="s">
        <v>34</v>
      </c>
      <c r="B15" s="656"/>
      <c r="C15" s="60" t="s">
        <v>7</v>
      </c>
    </row>
    <row r="16" spans="1:7" ht="16.5" customHeight="1" x14ac:dyDescent="0.3">
      <c r="A16" s="656" t="s">
        <v>35</v>
      </c>
      <c r="B16" s="656"/>
      <c r="C16" s="60" t="s">
        <v>9</v>
      </c>
    </row>
    <row r="17" spans="1:5" ht="16.5" customHeight="1" x14ac:dyDescent="0.3">
      <c r="A17" s="656" t="s">
        <v>36</v>
      </c>
      <c r="B17" s="656"/>
      <c r="C17" s="60" t="s">
        <v>11</v>
      </c>
    </row>
    <row r="18" spans="1:5" ht="16.5" customHeight="1" x14ac:dyDescent="0.3">
      <c r="A18" s="656" t="s">
        <v>37</v>
      </c>
      <c r="B18" s="656"/>
      <c r="C18" s="97" t="s">
        <v>12</v>
      </c>
    </row>
    <row r="19" spans="1:5" ht="16.5" customHeight="1" x14ac:dyDescent="0.3">
      <c r="A19" s="656" t="s">
        <v>38</v>
      </c>
      <c r="B19" s="6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1" t="s">
        <v>1</v>
      </c>
      <c r="B21" s="651"/>
      <c r="C21" s="59" t="s">
        <v>39</v>
      </c>
      <c r="D21" s="66"/>
    </row>
    <row r="22" spans="1:5" ht="15.75" customHeight="1" x14ac:dyDescent="0.3">
      <c r="A22" s="655"/>
      <c r="B22" s="655"/>
      <c r="C22" s="57"/>
      <c r="D22" s="655"/>
      <c r="E22" s="6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1623.34</v>
      </c>
      <c r="D24" s="87">
        <f t="shared" ref="D24:D43" si="0">(C24-$C$46)/$C$46</f>
        <v>1.196713759309481E-2</v>
      </c>
      <c r="E24" s="53"/>
    </row>
    <row r="25" spans="1:5" ht="15.75" customHeight="1" x14ac:dyDescent="0.3">
      <c r="C25" s="95">
        <v>1578.09</v>
      </c>
      <c r="D25" s="88">
        <f t="shared" si="0"/>
        <v>-1.6241070777355954E-2</v>
      </c>
      <c r="E25" s="53"/>
    </row>
    <row r="26" spans="1:5" ht="15.75" customHeight="1" x14ac:dyDescent="0.3">
      <c r="C26" s="95">
        <v>1620.88</v>
      </c>
      <c r="D26" s="88">
        <f t="shared" si="0"/>
        <v>1.0433608475054954E-2</v>
      </c>
      <c r="E26" s="53"/>
    </row>
    <row r="27" spans="1:5" ht="15.75" customHeight="1" x14ac:dyDescent="0.3">
      <c r="C27" s="95">
        <v>1596.09</v>
      </c>
      <c r="D27" s="88">
        <f t="shared" si="0"/>
        <v>-5.0201260112097933E-3</v>
      </c>
      <c r="E27" s="53"/>
    </row>
    <row r="28" spans="1:5" ht="15.75" customHeight="1" x14ac:dyDescent="0.3">
      <c r="C28" s="95">
        <v>1598.49</v>
      </c>
      <c r="D28" s="88">
        <f t="shared" si="0"/>
        <v>-3.5240000423902482E-3</v>
      </c>
      <c r="E28" s="53"/>
    </row>
    <row r="29" spans="1:5" ht="15.75" customHeight="1" x14ac:dyDescent="0.3">
      <c r="C29" s="95">
        <v>1606.36</v>
      </c>
      <c r="D29" s="88">
        <f t="shared" si="0"/>
        <v>1.3820463636969216E-3</v>
      </c>
      <c r="E29" s="53"/>
    </row>
    <row r="30" spans="1:5" ht="15.75" customHeight="1" x14ac:dyDescent="0.3">
      <c r="C30" s="95">
        <v>1612.23</v>
      </c>
      <c r="D30" s="88">
        <f t="shared" si="0"/>
        <v>5.0413211291013265E-3</v>
      </c>
      <c r="E30" s="53"/>
    </row>
    <row r="31" spans="1:5" ht="15.75" customHeight="1" x14ac:dyDescent="0.3">
      <c r="C31" s="95">
        <v>1606.09</v>
      </c>
      <c r="D31" s="88">
        <f t="shared" si="0"/>
        <v>1.2137321922047405E-3</v>
      </c>
      <c r="E31" s="53"/>
    </row>
    <row r="32" spans="1:5" ht="15.75" customHeight="1" x14ac:dyDescent="0.3">
      <c r="C32" s="95">
        <v>1594.33</v>
      </c>
      <c r="D32" s="88">
        <f t="shared" si="0"/>
        <v>-6.1172850550107452E-3</v>
      </c>
      <c r="E32" s="53"/>
    </row>
    <row r="33" spans="1:7" ht="15.75" customHeight="1" x14ac:dyDescent="0.3">
      <c r="C33" s="95">
        <v>1600.86</v>
      </c>
      <c r="D33" s="88">
        <f t="shared" si="0"/>
        <v>-2.0465756481810719E-3</v>
      </c>
      <c r="E33" s="53"/>
    </row>
    <row r="34" spans="1:7" ht="15.75" customHeight="1" x14ac:dyDescent="0.3">
      <c r="C34" s="95">
        <v>1609.93</v>
      </c>
      <c r="D34" s="88">
        <f t="shared" si="0"/>
        <v>3.6075337423160121E-3</v>
      </c>
      <c r="E34" s="53"/>
    </row>
    <row r="35" spans="1:7" ht="15.75" customHeight="1" x14ac:dyDescent="0.3">
      <c r="C35" s="95">
        <v>1604.89</v>
      </c>
      <c r="D35" s="88">
        <f t="shared" si="0"/>
        <v>4.6566920779510988E-4</v>
      </c>
      <c r="E35" s="53"/>
    </row>
    <row r="36" spans="1:7" ht="15.75" customHeight="1" x14ac:dyDescent="0.3">
      <c r="C36" s="95">
        <v>1609.3</v>
      </c>
      <c r="D36" s="88">
        <f t="shared" si="0"/>
        <v>3.2148006755008283E-3</v>
      </c>
      <c r="E36" s="53"/>
    </row>
    <row r="37" spans="1:7" ht="15.75" customHeight="1" x14ac:dyDescent="0.3">
      <c r="C37" s="95">
        <v>1591.18</v>
      </c>
      <c r="D37" s="88">
        <f t="shared" si="0"/>
        <v>-8.0809503890862389E-3</v>
      </c>
      <c r="E37" s="53"/>
    </row>
    <row r="38" spans="1:7" ht="15.75" customHeight="1" x14ac:dyDescent="0.3">
      <c r="C38" s="95">
        <v>1576.11</v>
      </c>
      <c r="D38" s="88">
        <f t="shared" si="0"/>
        <v>-1.7475374701632043E-2</v>
      </c>
      <c r="E38" s="53"/>
    </row>
    <row r="39" spans="1:7" ht="15.75" customHeight="1" x14ac:dyDescent="0.3">
      <c r="C39" s="95">
        <v>1618.54</v>
      </c>
      <c r="D39" s="88">
        <f t="shared" si="0"/>
        <v>8.9748856554558634E-3</v>
      </c>
      <c r="E39" s="53"/>
    </row>
    <row r="40" spans="1:7" ht="15.75" customHeight="1" x14ac:dyDescent="0.3">
      <c r="C40" s="95">
        <v>1613.97</v>
      </c>
      <c r="D40" s="88">
        <f t="shared" si="0"/>
        <v>6.1260124564954605E-3</v>
      </c>
      <c r="E40" s="53"/>
    </row>
    <row r="41" spans="1:7" ht="15.75" customHeight="1" x14ac:dyDescent="0.3">
      <c r="C41" s="95">
        <v>1578.88</v>
      </c>
      <c r="D41" s="88">
        <f t="shared" si="0"/>
        <v>-1.5748595979286087E-2</v>
      </c>
      <c r="E41" s="53"/>
    </row>
    <row r="42" spans="1:7" ht="15.75" customHeight="1" x14ac:dyDescent="0.3">
      <c r="C42" s="95">
        <v>1608.76</v>
      </c>
      <c r="D42" s="88">
        <f t="shared" si="0"/>
        <v>2.8781723325164662E-3</v>
      </c>
      <c r="E42" s="53"/>
    </row>
    <row r="43" spans="1:7" ht="16.5" customHeight="1" x14ac:dyDescent="0.3">
      <c r="C43" s="96">
        <v>1634.54</v>
      </c>
      <c r="D43" s="89">
        <f t="shared" si="0"/>
        <v>1.8949058780919115E-2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32082.86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1604.143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49">
        <f>C46</f>
        <v>1604.143</v>
      </c>
      <c r="C49" s="93">
        <f>-IF(C46&lt;=80,10%,IF(C46&lt;250,7.5%,5%))</f>
        <v>-0.05</v>
      </c>
      <c r="D49" s="81">
        <f>IF(C46&lt;=80,C46*0.9,IF(C46&lt;250,C46*0.925,C46*0.95))</f>
        <v>1523.9358499999998</v>
      </c>
    </row>
    <row r="50" spans="1:6" ht="17.25" customHeight="1" x14ac:dyDescent="0.3">
      <c r="B50" s="650"/>
      <c r="C50" s="94">
        <f>IF(C46&lt;=80, 10%, IF(C46&lt;250, 7.5%, 5%))</f>
        <v>0.05</v>
      </c>
      <c r="D50" s="81">
        <f>IF(C46&lt;=80, C46*1.1, IF(C46&lt;250, C46*1.075, C46*1.05))</f>
        <v>1684.3501500000002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1" zoomScale="55" zoomScaleNormal="40" zoomScalePageLayoutView="55" workbookViewId="0">
      <selection activeCell="F93" sqref="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98"/>
    </row>
    <row r="16" spans="1:9" ht="19.5" customHeight="1" x14ac:dyDescent="0.3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47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100" t="s">
        <v>33</v>
      </c>
      <c r="B18" s="690" t="s">
        <v>5</v>
      </c>
      <c r="C18" s="690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95" t="s">
        <v>9</v>
      </c>
      <c r="C20" s="69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95" t="s">
        <v>11</v>
      </c>
      <c r="C21" s="695"/>
      <c r="D21" s="695"/>
      <c r="E21" s="695"/>
      <c r="F21" s="695"/>
      <c r="G21" s="695"/>
      <c r="H21" s="695"/>
      <c r="I21" s="104"/>
    </row>
    <row r="22" spans="1:14" ht="26.25" customHeight="1" x14ac:dyDescent="0.4">
      <c r="A22" s="100" t="s">
        <v>37</v>
      </c>
      <c r="B22" s="105">
        <v>42577.543900462966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470">
        <v>42579.543900462966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90" t="s">
        <v>126</v>
      </c>
      <c r="C26" s="690"/>
    </row>
    <row r="27" spans="1:14" ht="26.25" customHeight="1" x14ac:dyDescent="0.4">
      <c r="A27" s="109" t="s">
        <v>48</v>
      </c>
      <c r="B27" s="688" t="s">
        <v>127</v>
      </c>
      <c r="C27" s="688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665" t="s">
        <v>50</v>
      </c>
      <c r="D29" s="666"/>
      <c r="E29" s="666"/>
      <c r="F29" s="666"/>
      <c r="G29" s="66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68" t="s">
        <v>53</v>
      </c>
      <c r="D31" s="669"/>
      <c r="E31" s="669"/>
      <c r="F31" s="669"/>
      <c r="G31" s="669"/>
      <c r="H31" s="67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68" t="s">
        <v>55</v>
      </c>
      <c r="D32" s="669"/>
      <c r="E32" s="669"/>
      <c r="F32" s="669"/>
      <c r="G32" s="669"/>
      <c r="H32" s="67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671" t="s">
        <v>59</v>
      </c>
      <c r="E36" s="689"/>
      <c r="F36" s="671" t="s">
        <v>60</v>
      </c>
      <c r="G36" s="67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12949333</v>
      </c>
      <c r="E38" s="133">
        <f>IF(ISBLANK(D38),"-",$D$48/$D$45*D38)</f>
        <v>13040485.99711987</v>
      </c>
      <c r="F38" s="132">
        <v>13646429</v>
      </c>
      <c r="G38" s="134">
        <f>IF(ISBLANK(F38),"-",$D$48/$F$45*F38)</f>
        <v>12625832.459008504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12979941</v>
      </c>
      <c r="E39" s="138">
        <f>IF(ISBLANK(D39),"-",$D$48/$D$45*D39)</f>
        <v>13071309.453077011</v>
      </c>
      <c r="F39" s="137">
        <v>13665086</v>
      </c>
      <c r="G39" s="139">
        <f>IF(ISBLANK(F39),"-",$D$48/$F$45*F39)</f>
        <v>12643094.129163219</v>
      </c>
      <c r="I39" s="673">
        <f>ABS((F43/D43*D42)-F42)/D42</f>
        <v>3.3105597886961935E-2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12977968</v>
      </c>
      <c r="E40" s="138">
        <f>IF(ISBLANK(D40),"-",$D$48/$D$45*D40)</f>
        <v>13069322.564727446</v>
      </c>
      <c r="F40" s="137">
        <v>13748722</v>
      </c>
      <c r="G40" s="139">
        <f>IF(ISBLANK(F40),"-",$D$48/$F$45*F40)</f>
        <v>12720475.114587437</v>
      </c>
      <c r="I40" s="67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12969080.666666666</v>
      </c>
      <c r="E42" s="148">
        <f>AVERAGE(E38:E41)</f>
        <v>13060372.671641441</v>
      </c>
      <c r="F42" s="147">
        <f>AVERAGE(F38:F41)</f>
        <v>13686745.666666666</v>
      </c>
      <c r="G42" s="149">
        <f>AVERAGE(G38:G41)</f>
        <v>12663133.900919721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9.9499999999999993</v>
      </c>
      <c r="E43" s="140"/>
      <c r="F43" s="152">
        <v>10.83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9.9499999999999993</v>
      </c>
      <c r="E44" s="155"/>
      <c r="F44" s="154">
        <f>F43*$B$34</f>
        <v>10.83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9.9300999999999995</v>
      </c>
      <c r="E45" s="158"/>
      <c r="F45" s="157">
        <f>F44*$B$30/100</f>
        <v>10.808340000000001</v>
      </c>
      <c r="H45" s="150"/>
    </row>
    <row r="46" spans="1:14" ht="19.5" customHeight="1" x14ac:dyDescent="0.3">
      <c r="A46" s="659" t="s">
        <v>78</v>
      </c>
      <c r="B46" s="660"/>
      <c r="C46" s="153" t="s">
        <v>79</v>
      </c>
      <c r="D46" s="159">
        <f>D45/$B$45</f>
        <v>3.9720399999999996E-2</v>
      </c>
      <c r="E46" s="160"/>
      <c r="F46" s="161">
        <f>F45/$B$45</f>
        <v>4.3233360000000005E-2</v>
      </c>
      <c r="H46" s="150"/>
    </row>
    <row r="47" spans="1:14" ht="27" customHeight="1" x14ac:dyDescent="0.4">
      <c r="A47" s="661"/>
      <c r="B47" s="662"/>
      <c r="C47" s="162" t="s">
        <v>80</v>
      </c>
      <c r="D47" s="163">
        <v>0.04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12861753.286280582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1.7118195480150696E-2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Efavirenz 600 mg, Emtricitabine 200mg, and Tenofovir Disoproxil Fumarate 300 mg Tablets equivant to Tenifovir Disoproxil 245 mg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favirenz 600 mg, Emtricitabine 200mg, and Tenofovir Disoproxil Fumarate 300 mg Tablets</v>
      </c>
      <c r="H56" s="179"/>
    </row>
    <row r="57" spans="1:12" ht="18.75" x14ac:dyDescent="0.3">
      <c r="A57" s="176" t="s">
        <v>88</v>
      </c>
      <c r="B57" s="268">
        <f>Uniformity!C46</f>
        <v>1604.143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676" t="s">
        <v>94</v>
      </c>
      <c r="D60" s="679">
        <v>1602.55</v>
      </c>
      <c r="E60" s="182">
        <v>1</v>
      </c>
      <c r="F60" s="183">
        <v>12317643</v>
      </c>
      <c r="G60" s="269">
        <f>IF(ISBLANK(F60),"-",(F60/$D$50*$D$47*$B$68)*($B$57/$D$60))</f>
        <v>191.72949386625177</v>
      </c>
      <c r="H60" s="184">
        <f t="shared" ref="H60:H71" si="0">IF(ISBLANK(F60),"-",G60/$B$56)</f>
        <v>0.95864746933125888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677"/>
      <c r="D61" s="680"/>
      <c r="E61" s="185">
        <v>2</v>
      </c>
      <c r="F61" s="137">
        <v>12232863</v>
      </c>
      <c r="G61" s="270">
        <f>IF(ISBLANK(F61),"-",(F61/$D$50*$D$47*$B$68)*($B$57/$D$60))</f>
        <v>190.40985613280057</v>
      </c>
      <c r="H61" s="186">
        <f t="shared" si="0"/>
        <v>0.95204928066400285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77"/>
      <c r="D62" s="680"/>
      <c r="E62" s="185">
        <v>3</v>
      </c>
      <c r="F62" s="187">
        <v>12222762</v>
      </c>
      <c r="G62" s="270">
        <f>IF(ISBLANK(F62),"-",(F62/$D$50*$D$47*$B$68)*($B$57/$D$60))</f>
        <v>190.25262965549945</v>
      </c>
      <c r="H62" s="186">
        <f t="shared" si="0"/>
        <v>0.95126314827749725</v>
      </c>
      <c r="L62" s="112"/>
    </row>
    <row r="63" spans="1:12" ht="27" customHeight="1" x14ac:dyDescent="0.4">
      <c r="A63" s="124" t="s">
        <v>97</v>
      </c>
      <c r="B63" s="125">
        <v>1</v>
      </c>
      <c r="C63" s="687"/>
      <c r="D63" s="68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76" t="s">
        <v>99</v>
      </c>
      <c r="D64" s="679">
        <v>1606.41</v>
      </c>
      <c r="E64" s="182">
        <v>1</v>
      </c>
      <c r="F64" s="183">
        <v>12253065</v>
      </c>
      <c r="G64" s="271">
        <f>IF(ISBLANK(F64),"-",(F64/$D$50*$D$47*$B$68)*($B$57/$D$64))</f>
        <v>190.26602270156275</v>
      </c>
      <c r="H64" s="190">
        <f t="shared" si="0"/>
        <v>0.95133011350781371</v>
      </c>
    </row>
    <row r="65" spans="1:8" ht="26.25" customHeight="1" x14ac:dyDescent="0.4">
      <c r="A65" s="124" t="s">
        <v>100</v>
      </c>
      <c r="B65" s="125">
        <v>1</v>
      </c>
      <c r="C65" s="677"/>
      <c r="D65" s="680"/>
      <c r="E65" s="185">
        <v>2</v>
      </c>
      <c r="F65" s="137">
        <v>12315247</v>
      </c>
      <c r="G65" s="272">
        <f>IF(ISBLANK(F65),"-",(F65/$D$50*$D$47*$B$68)*($B$57/$D$64))</f>
        <v>191.23158697659341</v>
      </c>
      <c r="H65" s="191">
        <f t="shared" si="0"/>
        <v>0.95615793488296708</v>
      </c>
    </row>
    <row r="66" spans="1:8" ht="26.25" customHeight="1" x14ac:dyDescent="0.4">
      <c r="A66" s="124" t="s">
        <v>101</v>
      </c>
      <c r="B66" s="125">
        <v>1</v>
      </c>
      <c r="C66" s="677"/>
      <c r="D66" s="680"/>
      <c r="E66" s="185">
        <v>3</v>
      </c>
      <c r="F66" s="137">
        <v>12284229</v>
      </c>
      <c r="G66" s="272">
        <f>IF(ISBLANK(F66),"-",(F66/$D$50*$D$47*$B$68)*($B$57/$D$64))</f>
        <v>190.74993838563617</v>
      </c>
      <c r="H66" s="191">
        <f t="shared" si="0"/>
        <v>0.95374969192818082</v>
      </c>
    </row>
    <row r="67" spans="1:8" ht="27" customHeight="1" x14ac:dyDescent="0.4">
      <c r="A67" s="124" t="s">
        <v>102</v>
      </c>
      <c r="B67" s="125">
        <v>1</v>
      </c>
      <c r="C67" s="687"/>
      <c r="D67" s="68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5000</v>
      </c>
      <c r="C68" s="676" t="s">
        <v>104</v>
      </c>
      <c r="D68" s="679">
        <v>1607.86</v>
      </c>
      <c r="E68" s="182">
        <v>1</v>
      </c>
      <c r="F68" s="183">
        <v>12274661</v>
      </c>
      <c r="G68" s="271">
        <f>IF(ISBLANK(F68),"-",(F68/$D$50*$D$47*$B$68)*($B$57/$D$68))</f>
        <v>190.42947805850818</v>
      </c>
      <c r="H68" s="186">
        <f t="shared" si="0"/>
        <v>0.95214739029254092</v>
      </c>
    </row>
    <row r="69" spans="1:8" ht="27" customHeight="1" x14ac:dyDescent="0.4">
      <c r="A69" s="172" t="s">
        <v>105</v>
      </c>
      <c r="B69" s="194">
        <f>(D47*B68)/B56*B57</f>
        <v>1604.143</v>
      </c>
      <c r="C69" s="677"/>
      <c r="D69" s="680"/>
      <c r="E69" s="185">
        <v>2</v>
      </c>
      <c r="F69" s="137">
        <v>12385665</v>
      </c>
      <c r="G69" s="272">
        <f>IF(ISBLANK(F69),"-",(F69/$D$50*$D$47*$B$68)*($B$57/$D$68))</f>
        <v>192.15159761703669</v>
      </c>
      <c r="H69" s="186">
        <f t="shared" si="0"/>
        <v>0.96075798808518342</v>
      </c>
    </row>
    <row r="70" spans="1:8" ht="26.25" customHeight="1" x14ac:dyDescent="0.4">
      <c r="A70" s="682" t="s">
        <v>78</v>
      </c>
      <c r="B70" s="683"/>
      <c r="C70" s="677"/>
      <c r="D70" s="680"/>
      <c r="E70" s="185">
        <v>3</v>
      </c>
      <c r="F70" s="137">
        <v>12253906</v>
      </c>
      <c r="G70" s="272">
        <f>IF(ISBLANK(F70),"-",(F70/$D$50*$D$47*$B$68)*($B$57/$D$68))</f>
        <v>190.1074843336221</v>
      </c>
      <c r="H70" s="186">
        <f t="shared" si="0"/>
        <v>0.9505374216681105</v>
      </c>
    </row>
    <row r="71" spans="1:8" ht="27" customHeight="1" x14ac:dyDescent="0.4">
      <c r="A71" s="684"/>
      <c r="B71" s="685"/>
      <c r="C71" s="678"/>
      <c r="D71" s="68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190.81423196972344</v>
      </c>
      <c r="H72" s="199">
        <f>AVERAGE(H60:H71)</f>
        <v>0.95407115984861735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3.8114821623469E-3</v>
      </c>
      <c r="H73" s="274">
        <f>STDEV(H60:H71)/H72</f>
        <v>3.8114821623469034E-3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663" t="str">
        <f>B20</f>
        <v>favirenz 600 mg, Emtricitabine 200mg, and Tenofovir Disoproxil Fumarate 300 mg Tablets</v>
      </c>
      <c r="D76" s="663"/>
      <c r="E76" s="205" t="s">
        <v>108</v>
      </c>
      <c r="F76" s="205"/>
      <c r="G76" s="206">
        <f>H72</f>
        <v>0.95407115984861735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86" t="str">
        <f>B26</f>
        <v>Emtricitabine</v>
      </c>
      <c r="C79" s="686"/>
    </row>
    <row r="80" spans="1:8" ht="26.25" customHeight="1" x14ac:dyDescent="0.4">
      <c r="A80" s="109" t="s">
        <v>48</v>
      </c>
      <c r="B80" s="686" t="str">
        <f>B27</f>
        <v>E11-3</v>
      </c>
      <c r="C80" s="686"/>
    </row>
    <row r="81" spans="1:12" ht="27" customHeight="1" x14ac:dyDescent="0.4">
      <c r="A81" s="109" t="s">
        <v>6</v>
      </c>
      <c r="B81" s="208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665" t="s">
        <v>50</v>
      </c>
      <c r="D82" s="666"/>
      <c r="E82" s="666"/>
      <c r="F82" s="666"/>
      <c r="G82" s="66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68" t="s">
        <v>111</v>
      </c>
      <c r="D84" s="669"/>
      <c r="E84" s="669"/>
      <c r="F84" s="669"/>
      <c r="G84" s="669"/>
      <c r="H84" s="67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68" t="s">
        <v>112</v>
      </c>
      <c r="D85" s="669"/>
      <c r="E85" s="669"/>
      <c r="F85" s="669"/>
      <c r="G85" s="669"/>
      <c r="H85" s="67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671" t="s">
        <v>60</v>
      </c>
      <c r="G89" s="672"/>
    </row>
    <row r="90" spans="1:12" ht="27" customHeight="1" x14ac:dyDescent="0.4">
      <c r="A90" s="124" t="s">
        <v>61</v>
      </c>
      <c r="B90" s="125">
        <v>10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63802983</v>
      </c>
      <c r="E91" s="133">
        <f>IF(ISBLANK(D91),"-",$D$101/$D$98*D91)</f>
        <v>64252105.215456046</v>
      </c>
      <c r="F91" s="132">
        <v>68394663</v>
      </c>
      <c r="G91" s="134">
        <f>IF(ISBLANK(F91),"-",$D$101/$F$98*F91)</f>
        <v>63279525.810624011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497">
        <v>63792721</v>
      </c>
      <c r="E92" s="138">
        <f>IF(ISBLANK(D92),"-",$D$101/$D$98*D92)</f>
        <v>64241770.97914423</v>
      </c>
      <c r="F92" s="137">
        <v>67225280</v>
      </c>
      <c r="G92" s="139">
        <f>IF(ISBLANK(F92),"-",$D$101/$F$98*F92)</f>
        <v>62197599.261311166</v>
      </c>
      <c r="I92" s="673">
        <f>ABS((F96/D96*D95)-F95)/D95</f>
        <v>1.5620200327654491E-2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497">
        <v>63272316</v>
      </c>
      <c r="E93" s="138">
        <f>IF(ISBLANK(D93),"-",$D$101/$D$98*D93)</f>
        <v>63717702.742167763</v>
      </c>
      <c r="F93" s="137">
        <v>69147470</v>
      </c>
      <c r="G93" s="139">
        <f>IF(ISBLANK(F93),"-",$D$101/$F$98*F93)</f>
        <v>63976031.471992917</v>
      </c>
      <c r="I93" s="673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63622673.333333336</v>
      </c>
      <c r="E95" s="148">
        <f>AVERAGE(E91:E94)</f>
        <v>64070526.312256016</v>
      </c>
      <c r="F95" s="218">
        <f>AVERAGE(F91:F94)</f>
        <v>68255804.333333328</v>
      </c>
      <c r="G95" s="219">
        <f>AVERAGE(G91:G94)</f>
        <v>63151052.181309365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9.9499999999999993</v>
      </c>
      <c r="E96" s="140"/>
      <c r="F96" s="152">
        <v>10.83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9.9499999999999993</v>
      </c>
      <c r="E97" s="155"/>
      <c r="F97" s="154">
        <f>F96*$B$87</f>
        <v>10.83</v>
      </c>
    </row>
    <row r="98" spans="1:10" ht="19.5" customHeight="1" x14ac:dyDescent="0.3">
      <c r="A98" s="124" t="s">
        <v>76</v>
      </c>
      <c r="B98" s="224">
        <f>(B97/B96)*(B95/B94)*(B93/B92)*(B91/B90)*B89</f>
        <v>50</v>
      </c>
      <c r="C98" s="222" t="s">
        <v>115</v>
      </c>
      <c r="D98" s="225">
        <f>D97*$B$83/100</f>
        <v>9.9300999999999995</v>
      </c>
      <c r="E98" s="158"/>
      <c r="F98" s="157">
        <f>F97*$B$83/100</f>
        <v>10.808340000000001</v>
      </c>
    </row>
    <row r="99" spans="1:10" ht="19.5" customHeight="1" x14ac:dyDescent="0.3">
      <c r="A99" s="659" t="s">
        <v>78</v>
      </c>
      <c r="B99" s="674"/>
      <c r="C99" s="222" t="s">
        <v>116</v>
      </c>
      <c r="D99" s="226">
        <f>D98/$B$98</f>
        <v>0.198602</v>
      </c>
      <c r="E99" s="158"/>
      <c r="F99" s="161">
        <f>F98/$B$98</f>
        <v>0.21616680000000002</v>
      </c>
      <c r="G99" s="227"/>
      <c r="H99" s="150"/>
    </row>
    <row r="100" spans="1:10" ht="19.5" customHeight="1" x14ac:dyDescent="0.3">
      <c r="A100" s="661"/>
      <c r="B100" s="675"/>
      <c r="C100" s="222" t="s">
        <v>80</v>
      </c>
      <c r="D100" s="228">
        <f>$B$56/$B$116</f>
        <v>0.2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10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10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63610789.24678269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1.230050163818776E-2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61011702</v>
      </c>
      <c r="E108" s="275">
        <f t="shared" ref="E108:E113" si="1">IF(ISBLANK(D108),"-",D108/$D$103*$D$100*$B$116)</f>
        <v>191.8281559541752</v>
      </c>
      <c r="F108" s="245">
        <f t="shared" ref="F108:F113" si="2">IF(ISBLANK(D108), "-", E108/$B$56)</f>
        <v>0.95914077977087597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61495151</v>
      </c>
      <c r="E109" s="276">
        <f t="shared" si="1"/>
        <v>193.34817796844206</v>
      </c>
      <c r="F109" s="246">
        <f t="shared" si="2"/>
        <v>0.96674088984221029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61871561</v>
      </c>
      <c r="E110" s="276">
        <f t="shared" si="1"/>
        <v>194.53165644577928</v>
      </c>
      <c r="F110" s="246">
        <f t="shared" si="2"/>
        <v>0.97265828222889639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61169029</v>
      </c>
      <c r="E111" s="276">
        <f t="shared" si="1"/>
        <v>192.32281103348771</v>
      </c>
      <c r="F111" s="246">
        <f t="shared" si="2"/>
        <v>0.96161405516743859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60898816</v>
      </c>
      <c r="E112" s="276">
        <f t="shared" si="1"/>
        <v>191.47322874344042</v>
      </c>
      <c r="F112" s="246">
        <f t="shared" si="2"/>
        <v>0.95736614371720208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60229082</v>
      </c>
      <c r="E113" s="277">
        <f t="shared" si="1"/>
        <v>189.36750420227267</v>
      </c>
      <c r="F113" s="249">
        <f t="shared" si="2"/>
        <v>0.94683752101136331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192.14525572459954</v>
      </c>
      <c r="F115" s="252">
        <f>AVERAGE(F108:F113)</f>
        <v>0.96072627862299775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53"/>
      <c r="D116" s="216" t="s">
        <v>84</v>
      </c>
      <c r="E116" s="254">
        <f>STDEV(E108:E113)/E115</f>
        <v>9.1459859245378756E-3</v>
      </c>
      <c r="F116" s="254">
        <f>STDEV(F108:F113)/F115</f>
        <v>9.145985924537893E-3</v>
      </c>
      <c r="I116" s="98"/>
    </row>
    <row r="117" spans="1:10" ht="27" customHeight="1" x14ac:dyDescent="0.4">
      <c r="A117" s="659" t="s">
        <v>78</v>
      </c>
      <c r="B117" s="660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61"/>
      <c r="B118" s="66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663" t="str">
        <f>B20</f>
        <v>favirenz 600 mg, Emtricitabine 200mg, and Tenofovir Disoproxil Fumarate 300 mg Tablets</v>
      </c>
      <c r="D120" s="663"/>
      <c r="E120" s="205" t="s">
        <v>124</v>
      </c>
      <c r="F120" s="205"/>
      <c r="G120" s="206">
        <f>F115</f>
        <v>0.96072627862299775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64" t="s">
        <v>26</v>
      </c>
      <c r="C122" s="664"/>
      <c r="E122" s="211" t="s">
        <v>27</v>
      </c>
      <c r="F122" s="260"/>
      <c r="G122" s="664" t="s">
        <v>28</v>
      </c>
      <c r="H122" s="664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79" zoomScale="55" zoomScaleNormal="40" zoomScalePageLayoutView="55" workbookViewId="0">
      <selection activeCell="F93" sqref="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281"/>
    </row>
    <row r="16" spans="1:9" ht="19.5" customHeight="1" x14ac:dyDescent="0.3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47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283" t="s">
        <v>33</v>
      </c>
      <c r="B18" s="690" t="s">
        <v>5</v>
      </c>
      <c r="C18" s="690"/>
      <c r="D18" s="449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2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695" t="s">
        <v>9</v>
      </c>
      <c r="C20" s="695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695" t="s">
        <v>11</v>
      </c>
      <c r="C21" s="695"/>
      <c r="D21" s="695"/>
      <c r="E21" s="695"/>
      <c r="F21" s="695"/>
      <c r="G21" s="695"/>
      <c r="H21" s="695"/>
      <c r="I21" s="287"/>
    </row>
    <row r="22" spans="1:14" ht="26.25" customHeight="1" x14ac:dyDescent="0.4">
      <c r="A22" s="283" t="s">
        <v>37</v>
      </c>
      <c r="B22" s="470">
        <v>42577.543900462966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470">
        <v>42579.543900462966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690" t="s">
        <v>128</v>
      </c>
      <c r="C26" s="690"/>
    </row>
    <row r="27" spans="1:14" ht="26.25" customHeight="1" x14ac:dyDescent="0.4">
      <c r="A27" s="291" t="s">
        <v>48</v>
      </c>
      <c r="B27" s="688" t="s">
        <v>129</v>
      </c>
      <c r="C27" s="688"/>
    </row>
    <row r="28" spans="1:14" ht="27" customHeight="1" x14ac:dyDescent="0.4">
      <c r="A28" s="291" t="s">
        <v>6</v>
      </c>
      <c r="B28" s="292">
        <v>98.8</v>
      </c>
    </row>
    <row r="29" spans="1:14" s="14" customFormat="1" ht="27" customHeight="1" x14ac:dyDescent="0.4">
      <c r="A29" s="291" t="s">
        <v>49</v>
      </c>
      <c r="B29" s="293">
        <v>0</v>
      </c>
      <c r="C29" s="665" t="s">
        <v>50</v>
      </c>
      <c r="D29" s="666"/>
      <c r="E29" s="666"/>
      <c r="F29" s="666"/>
      <c r="G29" s="667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98.8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668" t="s">
        <v>53</v>
      </c>
      <c r="D31" s="669"/>
      <c r="E31" s="669"/>
      <c r="F31" s="669"/>
      <c r="G31" s="669"/>
      <c r="H31" s="670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668" t="s">
        <v>55</v>
      </c>
      <c r="D32" s="669"/>
      <c r="E32" s="669"/>
      <c r="F32" s="669"/>
      <c r="G32" s="669"/>
      <c r="H32" s="670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2" t="s">
        <v>57</v>
      </c>
      <c r="D34" s="282"/>
      <c r="E34" s="282"/>
      <c r="F34" s="282"/>
      <c r="G34" s="282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2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25</v>
      </c>
      <c r="C36" s="282"/>
      <c r="D36" s="671" t="s">
        <v>59</v>
      </c>
      <c r="E36" s="689"/>
      <c r="F36" s="671" t="s">
        <v>60</v>
      </c>
      <c r="G36" s="672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5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50</v>
      </c>
      <c r="C38" s="313">
        <v>1</v>
      </c>
      <c r="D38" s="314">
        <v>15527191</v>
      </c>
      <c r="E38" s="315">
        <f>IF(ISBLANK(D38),"-",$D$48/$D$45*D38)</f>
        <v>15549914.608547959</v>
      </c>
      <c r="F38" s="314">
        <v>15759304</v>
      </c>
      <c r="G38" s="316">
        <f>IF(ISBLANK(F38),"-",$D$48/$F$45*F38)</f>
        <v>15406354.685068211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15580189</v>
      </c>
      <c r="E39" s="320">
        <f>IF(ISBLANK(D39),"-",$D$48/$D$45*D39)</f>
        <v>15602990.16963456</v>
      </c>
      <c r="F39" s="319">
        <v>15798791</v>
      </c>
      <c r="G39" s="321">
        <f>IF(ISBLANK(F39),"-",$D$48/$F$45*F39)</f>
        <v>15444957.324337641</v>
      </c>
      <c r="I39" s="673">
        <f>ABS((F43/D43*D42)-F42)/D42</f>
        <v>8.2415891166594136E-3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15567843</v>
      </c>
      <c r="E40" s="320">
        <f>IF(ISBLANK(D40),"-",$D$48/$D$45*D40)</f>
        <v>15590626.101609821</v>
      </c>
      <c r="F40" s="319">
        <v>15871621</v>
      </c>
      <c r="G40" s="321">
        <f>IF(ISBLANK(F40),"-",$D$48/$F$45*F40)</f>
        <v>15516156.205437563</v>
      </c>
      <c r="I40" s="673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15558407.666666666</v>
      </c>
      <c r="E42" s="330">
        <f>AVERAGE(E38:E41)</f>
        <v>15581176.959930779</v>
      </c>
      <c r="F42" s="329">
        <f>AVERAGE(F38:F41)</f>
        <v>15809905.333333334</v>
      </c>
      <c r="G42" s="331">
        <f>AVERAGE(G38:G41)</f>
        <v>15455822.738281138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15.16</v>
      </c>
      <c r="E43" s="322"/>
      <c r="F43" s="334">
        <v>15.53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15.16</v>
      </c>
      <c r="E44" s="337"/>
      <c r="F44" s="336">
        <f>F43*$B$34</f>
        <v>15.53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250</v>
      </c>
      <c r="C45" s="335" t="s">
        <v>77</v>
      </c>
      <c r="D45" s="339">
        <f>D44*$B$30/100</f>
        <v>14.97808</v>
      </c>
      <c r="E45" s="340"/>
      <c r="F45" s="339">
        <f>F44*$B$30/100</f>
        <v>15.343639999999999</v>
      </c>
      <c r="H45" s="332"/>
    </row>
    <row r="46" spans="1:14" ht="19.5" customHeight="1" x14ac:dyDescent="0.3">
      <c r="A46" s="659" t="s">
        <v>78</v>
      </c>
      <c r="B46" s="660"/>
      <c r="C46" s="335" t="s">
        <v>79</v>
      </c>
      <c r="D46" s="341">
        <f>D45/$B$45</f>
        <v>5.9912319999999998E-2</v>
      </c>
      <c r="E46" s="342"/>
      <c r="F46" s="343">
        <f>F45/$B$45</f>
        <v>6.1374559999999995E-2</v>
      </c>
      <c r="H46" s="332"/>
    </row>
    <row r="47" spans="1:14" ht="27" customHeight="1" x14ac:dyDescent="0.4">
      <c r="A47" s="661"/>
      <c r="B47" s="662"/>
      <c r="C47" s="344" t="s">
        <v>80</v>
      </c>
      <c r="D47" s="345">
        <v>0.06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15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15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15518499.84910596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5.0999259912954042E-3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2" t="s">
        <v>86</v>
      </c>
      <c r="B55" s="358" t="str">
        <f>B21</f>
        <v>Efavirenz 600 mg, Emtricitabine 200mg, and Tenofovir Disoproxil Fumarate 300 mg Tablets equivant to Tenifovir Disoproxil 245 mg</v>
      </c>
    </row>
    <row r="56" spans="1:12" ht="26.25" customHeight="1" x14ac:dyDescent="0.4">
      <c r="A56" s="359" t="s">
        <v>87</v>
      </c>
      <c r="B56" s="360">
        <v>300</v>
      </c>
      <c r="C56" s="282" t="str">
        <f>B20</f>
        <v>favirenz 600 mg, Emtricitabine 200mg, and Tenofovir Disoproxil Fumarate 300 mg Tablets</v>
      </c>
      <c r="H56" s="361"/>
    </row>
    <row r="57" spans="1:12" ht="18.75" x14ac:dyDescent="0.3">
      <c r="A57" s="358" t="s">
        <v>88</v>
      </c>
      <c r="B57" s="450">
        <f>Uniformity!C46</f>
        <v>1604.143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89</v>
      </c>
      <c r="B59" s="305">
        <v>200</v>
      </c>
      <c r="C59" s="282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4</v>
      </c>
      <c r="C60" s="676" t="s">
        <v>94</v>
      </c>
      <c r="D60" s="679">
        <f>Emtricitabine!D60</f>
        <v>1602.55</v>
      </c>
      <c r="E60" s="364">
        <v>1</v>
      </c>
      <c r="F60" s="365">
        <v>14882404</v>
      </c>
      <c r="G60" s="451">
        <f>IF(ISBLANK(F60),"-",(F60/$D$50*$D$47*$B$68)*($B$57/$D$60))</f>
        <v>287.9891328578878</v>
      </c>
      <c r="H60" s="366">
        <f t="shared" ref="H60:H71" si="0">IF(ISBLANK(F60),"-",G60/$B$56)</f>
        <v>0.95996377619295936</v>
      </c>
      <c r="L60" s="294"/>
    </row>
    <row r="61" spans="1:12" s="14" customFormat="1" ht="26.25" customHeight="1" x14ac:dyDescent="0.4">
      <c r="A61" s="306" t="s">
        <v>95</v>
      </c>
      <c r="B61" s="307">
        <v>100</v>
      </c>
      <c r="C61" s="677"/>
      <c r="D61" s="680"/>
      <c r="E61" s="367">
        <v>2</v>
      </c>
      <c r="F61" s="319">
        <v>14848482</v>
      </c>
      <c r="G61" s="452">
        <f>IF(ISBLANK(F61),"-",(F61/$D$50*$D$47*$B$68)*($B$57/$D$60))</f>
        <v>287.33270884434774</v>
      </c>
      <c r="H61" s="368">
        <f t="shared" si="0"/>
        <v>0.95777569614782576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677"/>
      <c r="D62" s="680"/>
      <c r="E62" s="367">
        <v>3</v>
      </c>
      <c r="F62" s="369">
        <v>14794606</v>
      </c>
      <c r="G62" s="452">
        <f>IF(ISBLANK(F62),"-",(F62/$D$50*$D$47*$B$68)*($B$57/$D$60))</f>
        <v>286.29015533472312</v>
      </c>
      <c r="H62" s="368">
        <f t="shared" si="0"/>
        <v>0.95430051778241043</v>
      </c>
      <c r="L62" s="294"/>
    </row>
    <row r="63" spans="1:12" ht="27" customHeight="1" x14ac:dyDescent="0.4">
      <c r="A63" s="306" t="s">
        <v>97</v>
      </c>
      <c r="B63" s="307">
        <v>1</v>
      </c>
      <c r="C63" s="687"/>
      <c r="D63" s="681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676" t="s">
        <v>99</v>
      </c>
      <c r="D64" s="679">
        <f>Emtricitabine!D64</f>
        <v>1606.41</v>
      </c>
      <c r="E64" s="364">
        <v>1</v>
      </c>
      <c r="F64" s="365">
        <v>14831710</v>
      </c>
      <c r="G64" s="453">
        <f>IF(ISBLANK(F64),"-",(F64/$D$50*$D$47*$B$68)*($B$57/$D$64))</f>
        <v>286.31850988865966</v>
      </c>
      <c r="H64" s="372">
        <f t="shared" si="0"/>
        <v>0.95439503296219885</v>
      </c>
    </row>
    <row r="65" spans="1:8" ht="26.25" customHeight="1" x14ac:dyDescent="0.4">
      <c r="A65" s="306" t="s">
        <v>100</v>
      </c>
      <c r="B65" s="307">
        <v>1</v>
      </c>
      <c r="C65" s="677"/>
      <c r="D65" s="680"/>
      <c r="E65" s="367">
        <v>2</v>
      </c>
      <c r="F65" s="319">
        <v>14932011</v>
      </c>
      <c r="G65" s="454">
        <f>IF(ISBLANK(F65),"-",(F65/$D$50*$D$47*$B$68)*($B$57/$D$64))</f>
        <v>288.25476894849447</v>
      </c>
      <c r="H65" s="373">
        <f t="shared" si="0"/>
        <v>0.96084922982831489</v>
      </c>
    </row>
    <row r="66" spans="1:8" ht="26.25" customHeight="1" x14ac:dyDescent="0.4">
      <c r="A66" s="306" t="s">
        <v>101</v>
      </c>
      <c r="B66" s="307">
        <v>1</v>
      </c>
      <c r="C66" s="677"/>
      <c r="D66" s="680"/>
      <c r="E66" s="367">
        <v>3</v>
      </c>
      <c r="F66" s="319">
        <v>14875944</v>
      </c>
      <c r="G66" s="454">
        <f>IF(ISBLANK(F66),"-",(F66/$D$50*$D$47*$B$68)*($B$57/$D$64))</f>
        <v>287.17242443839223</v>
      </c>
      <c r="H66" s="373">
        <f t="shared" si="0"/>
        <v>0.95724141479464075</v>
      </c>
    </row>
    <row r="67" spans="1:8" ht="27" customHeight="1" x14ac:dyDescent="0.4">
      <c r="A67" s="306" t="s">
        <v>102</v>
      </c>
      <c r="B67" s="307">
        <v>1</v>
      </c>
      <c r="C67" s="687"/>
      <c r="D67" s="681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5000</v>
      </c>
      <c r="C68" s="676" t="s">
        <v>104</v>
      </c>
      <c r="D68" s="679">
        <f>Emtricitabine!D68</f>
        <v>1607.86</v>
      </c>
      <c r="E68" s="364">
        <v>1</v>
      </c>
      <c r="F68" s="365">
        <v>14885506</v>
      </c>
      <c r="G68" s="453">
        <f>IF(ISBLANK(F68),"-",(F68/$D$50*$D$47*$B$68)*($B$57/$D$68))</f>
        <v>287.0978696676242</v>
      </c>
      <c r="H68" s="368">
        <f t="shared" si="0"/>
        <v>0.95699289889208061</v>
      </c>
    </row>
    <row r="69" spans="1:8" ht="27" customHeight="1" x14ac:dyDescent="0.4">
      <c r="A69" s="354" t="s">
        <v>105</v>
      </c>
      <c r="B69" s="376">
        <f>(D47*B68)/B56*B57</f>
        <v>1604.143</v>
      </c>
      <c r="C69" s="677"/>
      <c r="D69" s="680"/>
      <c r="E69" s="367">
        <v>2</v>
      </c>
      <c r="F69" s="319">
        <v>15020741</v>
      </c>
      <c r="G69" s="454">
        <f>IF(ISBLANK(F69),"-",(F69/$D$50*$D$47*$B$68)*($B$57/$D$68))</f>
        <v>289.70615724646109</v>
      </c>
      <c r="H69" s="368">
        <f t="shared" si="0"/>
        <v>0.96568719082153698</v>
      </c>
    </row>
    <row r="70" spans="1:8" ht="26.25" customHeight="1" x14ac:dyDescent="0.4">
      <c r="A70" s="682" t="s">
        <v>78</v>
      </c>
      <c r="B70" s="683"/>
      <c r="C70" s="677"/>
      <c r="D70" s="680"/>
      <c r="E70" s="367">
        <v>3</v>
      </c>
      <c r="F70" s="319">
        <v>14917427</v>
      </c>
      <c r="G70" s="454">
        <f>IF(ISBLANK(F70),"-",(F70/$D$50*$D$47*$B$68)*($B$57/$D$68))</f>
        <v>287.71353238662488</v>
      </c>
      <c r="H70" s="368">
        <f t="shared" si="0"/>
        <v>0.95904510795541631</v>
      </c>
    </row>
    <row r="71" spans="1:8" ht="27" customHeight="1" x14ac:dyDescent="0.4">
      <c r="A71" s="684"/>
      <c r="B71" s="685"/>
      <c r="C71" s="678"/>
      <c r="D71" s="681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60">
        <f>AVERAGE(G60:G71)</f>
        <v>287.54169551257951</v>
      </c>
      <c r="H72" s="381">
        <f>AVERAGE(H60:H71)</f>
        <v>0.95847231837526492</v>
      </c>
    </row>
    <row r="73" spans="1:8" ht="26.25" customHeight="1" x14ac:dyDescent="0.4">
      <c r="C73" s="378"/>
      <c r="D73" s="378"/>
      <c r="E73" s="378"/>
      <c r="F73" s="382" t="s">
        <v>84</v>
      </c>
      <c r="G73" s="456">
        <f>STDEV(G60:G71)/G72</f>
        <v>3.6604626707647642E-3</v>
      </c>
      <c r="H73" s="456">
        <f>STDEV(H60:H71)/H72</f>
        <v>3.6604626707647733E-3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106</v>
      </c>
      <c r="B76" s="386" t="s">
        <v>107</v>
      </c>
      <c r="C76" s="663" t="str">
        <f>B20</f>
        <v>favirenz 600 mg, Emtricitabine 200mg, and Tenofovir Disoproxil Fumarate 300 mg Tablets</v>
      </c>
      <c r="D76" s="663"/>
      <c r="E76" s="387" t="s">
        <v>108</v>
      </c>
      <c r="F76" s="387"/>
      <c r="G76" s="388">
        <f>H72</f>
        <v>0.95847231837526492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686" t="str">
        <f>B26</f>
        <v>Tenofovir Disproxil Fumarate</v>
      </c>
      <c r="C79" s="686"/>
    </row>
    <row r="80" spans="1:8" ht="26.25" customHeight="1" x14ac:dyDescent="0.4">
      <c r="A80" s="291" t="s">
        <v>48</v>
      </c>
      <c r="B80" s="686" t="str">
        <f>B27</f>
        <v>T11-8</v>
      </c>
      <c r="C80" s="686"/>
    </row>
    <row r="81" spans="1:12" ht="27" customHeight="1" x14ac:dyDescent="0.4">
      <c r="A81" s="291" t="s">
        <v>6</v>
      </c>
      <c r="B81" s="390">
        <f>B28</f>
        <v>98.8</v>
      </c>
    </row>
    <row r="82" spans="1:12" s="14" customFormat="1" ht="27" customHeight="1" x14ac:dyDescent="0.4">
      <c r="A82" s="291" t="s">
        <v>49</v>
      </c>
      <c r="B82" s="293">
        <v>0</v>
      </c>
      <c r="C82" s="665" t="s">
        <v>50</v>
      </c>
      <c r="D82" s="666"/>
      <c r="E82" s="666"/>
      <c r="F82" s="666"/>
      <c r="G82" s="667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98.8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668" t="s">
        <v>111</v>
      </c>
      <c r="D84" s="669"/>
      <c r="E84" s="669"/>
      <c r="F84" s="669"/>
      <c r="G84" s="669"/>
      <c r="H84" s="670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668" t="s">
        <v>112</v>
      </c>
      <c r="D85" s="669"/>
      <c r="E85" s="669"/>
      <c r="F85" s="669"/>
      <c r="G85" s="669"/>
      <c r="H85" s="670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2" t="s">
        <v>57</v>
      </c>
      <c r="D87" s="282"/>
      <c r="E87" s="282"/>
      <c r="F87" s="282"/>
      <c r="G87" s="282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25</v>
      </c>
      <c r="D89" s="391" t="s">
        <v>59</v>
      </c>
      <c r="E89" s="392"/>
      <c r="F89" s="671" t="s">
        <v>60</v>
      </c>
      <c r="G89" s="672"/>
    </row>
    <row r="90" spans="1:12" ht="27" customHeight="1" x14ac:dyDescent="0.4">
      <c r="A90" s="306" t="s">
        <v>61</v>
      </c>
      <c r="B90" s="307">
        <v>10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20</v>
      </c>
      <c r="C91" s="395">
        <v>1</v>
      </c>
      <c r="D91" s="314">
        <v>75432734</v>
      </c>
      <c r="E91" s="315">
        <f>IF(ISBLANK(D91),"-",$D$101/$D$98*D91)</f>
        <v>75543127.690598533</v>
      </c>
      <c r="F91" s="314">
        <v>77802368</v>
      </c>
      <c r="G91" s="316">
        <f>IF(ISBLANK(F91),"-",$D$101/$F$98*F91)</f>
        <v>76059886.702242762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319">
        <v>75382952</v>
      </c>
      <c r="E92" s="320">
        <f>IF(ISBLANK(D92),"-",$D$101/$D$98*D92)</f>
        <v>75493272.836037725</v>
      </c>
      <c r="F92" s="319">
        <v>76484040</v>
      </c>
      <c r="G92" s="321">
        <f>IF(ISBLANK(F92),"-",$D$101/$F$98*F92)</f>
        <v>74771084.305940449</v>
      </c>
      <c r="I92" s="673">
        <f>ABS((F96/D96*D95)-F95)/D95</f>
        <v>7.9060435461819536E-3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319">
        <v>74812352</v>
      </c>
      <c r="E93" s="320">
        <f>IF(ISBLANK(D93),"-",$D$101/$D$98*D93)</f>
        <v>74921837.778940961</v>
      </c>
      <c r="F93" s="319">
        <v>78632208</v>
      </c>
      <c r="G93" s="321">
        <f>IF(ISBLANK(F93),"-",$D$101/$F$98*F93)</f>
        <v>76871141.397999436</v>
      </c>
      <c r="I93" s="673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8" t="s">
        <v>71</v>
      </c>
      <c r="D95" s="399">
        <f>AVERAGE(D91:D94)</f>
        <v>75209346</v>
      </c>
      <c r="E95" s="330">
        <f>AVERAGE(E91:E94)</f>
        <v>75319412.768525735</v>
      </c>
      <c r="F95" s="400">
        <f>AVERAGE(F91:F94)</f>
        <v>77639538.666666672</v>
      </c>
      <c r="G95" s="401">
        <f>AVERAGE(G91:G94)</f>
        <v>75900704.135394216</v>
      </c>
    </row>
    <row r="96" spans="1:12" ht="26.25" customHeight="1" x14ac:dyDescent="0.4">
      <c r="A96" s="306" t="s">
        <v>72</v>
      </c>
      <c r="B96" s="292">
        <v>1</v>
      </c>
      <c r="C96" s="402" t="s">
        <v>113</v>
      </c>
      <c r="D96" s="403">
        <v>15.16</v>
      </c>
      <c r="E96" s="322"/>
      <c r="F96" s="334">
        <v>15.53</v>
      </c>
    </row>
    <row r="97" spans="1:10" ht="26.25" customHeight="1" x14ac:dyDescent="0.4">
      <c r="A97" s="306" t="s">
        <v>74</v>
      </c>
      <c r="B97" s="292">
        <v>1</v>
      </c>
      <c r="C97" s="404" t="s">
        <v>114</v>
      </c>
      <c r="D97" s="405">
        <f>D96*$B$87</f>
        <v>15.16</v>
      </c>
      <c r="E97" s="337"/>
      <c r="F97" s="336">
        <f>F96*$B$87</f>
        <v>15.53</v>
      </c>
    </row>
    <row r="98" spans="1:10" ht="19.5" customHeight="1" x14ac:dyDescent="0.3">
      <c r="A98" s="306" t="s">
        <v>76</v>
      </c>
      <c r="B98" s="406">
        <f>(B97/B96)*(B95/B94)*(B93/B92)*(B91/B90)*B89</f>
        <v>50</v>
      </c>
      <c r="C98" s="404" t="s">
        <v>115</v>
      </c>
      <c r="D98" s="407">
        <f>D97*$B$83/100</f>
        <v>14.97808</v>
      </c>
      <c r="E98" s="340"/>
      <c r="F98" s="339">
        <f>F97*$B$83/100</f>
        <v>15.343639999999999</v>
      </c>
    </row>
    <row r="99" spans="1:10" ht="19.5" customHeight="1" x14ac:dyDescent="0.3">
      <c r="A99" s="659" t="s">
        <v>78</v>
      </c>
      <c r="B99" s="674"/>
      <c r="C99" s="404" t="s">
        <v>116</v>
      </c>
      <c r="D99" s="408">
        <f>D98/$B$98</f>
        <v>0.29956159999999998</v>
      </c>
      <c r="E99" s="340"/>
      <c r="F99" s="343">
        <f>F98/$B$98</f>
        <v>0.3068728</v>
      </c>
      <c r="G99" s="409"/>
      <c r="H99" s="332"/>
    </row>
    <row r="100" spans="1:10" ht="19.5" customHeight="1" x14ac:dyDescent="0.3">
      <c r="A100" s="661"/>
      <c r="B100" s="675"/>
      <c r="C100" s="404" t="s">
        <v>80</v>
      </c>
      <c r="D100" s="410">
        <f>$B$56/$B$116</f>
        <v>0.3</v>
      </c>
      <c r="F100" s="348"/>
      <c r="G100" s="411"/>
      <c r="H100" s="332"/>
    </row>
    <row r="101" spans="1:10" ht="18.75" x14ac:dyDescent="0.3">
      <c r="C101" s="404" t="s">
        <v>81</v>
      </c>
      <c r="D101" s="405">
        <f>D100*$B$98</f>
        <v>15</v>
      </c>
      <c r="F101" s="348"/>
      <c r="G101" s="409"/>
      <c r="H101" s="332"/>
    </row>
    <row r="102" spans="1:10" ht="19.5" customHeight="1" x14ac:dyDescent="0.3">
      <c r="C102" s="412" t="s">
        <v>82</v>
      </c>
      <c r="D102" s="413">
        <f>D101/B34</f>
        <v>15</v>
      </c>
      <c r="F102" s="352"/>
      <c r="G102" s="409"/>
      <c r="H102" s="332"/>
      <c r="J102" s="414"/>
    </row>
    <row r="103" spans="1:10" ht="18.75" x14ac:dyDescent="0.3">
      <c r="C103" s="415" t="s">
        <v>117</v>
      </c>
      <c r="D103" s="416">
        <f>AVERAGE(E91:E94,G91:G94)</f>
        <v>75610058.451959983</v>
      </c>
      <c r="F103" s="352"/>
      <c r="G103" s="417"/>
      <c r="H103" s="332"/>
      <c r="J103" s="418"/>
    </row>
    <row r="104" spans="1:10" ht="18.75" x14ac:dyDescent="0.3">
      <c r="C104" s="382" t="s">
        <v>84</v>
      </c>
      <c r="D104" s="419">
        <f>STDEV(E91:E94,G91:G94)/D103</f>
        <v>1.0224661606065489E-2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1000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6" t="s">
        <v>122</v>
      </c>
      <c r="B108" s="307">
        <v>1</v>
      </c>
      <c r="C108" s="425">
        <v>1</v>
      </c>
      <c r="D108" s="609">
        <v>72575469</v>
      </c>
      <c r="E108" s="457">
        <f>IF(ISBLANK(D108),"-",D108/$D$103*$D$100*$B$116)</f>
        <v>287.95958032268391</v>
      </c>
      <c r="F108" s="427">
        <f>IF(ISBLANK(D108), "-", E108/$B$56)</f>
        <v>0.95986526774227965</v>
      </c>
    </row>
    <row r="109" spans="1:10" ht="26.25" customHeight="1" x14ac:dyDescent="0.4">
      <c r="A109" s="306" t="s">
        <v>95</v>
      </c>
      <c r="B109" s="307">
        <v>1</v>
      </c>
      <c r="C109" s="425">
        <v>2</v>
      </c>
      <c r="D109" s="609">
        <v>74326333</v>
      </c>
      <c r="E109" s="458">
        <f>IF(ISBLANK(D109),"-",D109/$D$103*$D$100*$B$116)</f>
        <v>294.90652905879335</v>
      </c>
      <c r="F109" s="428">
        <f>IF(ISBLANK(D109), "-", E109/$B$56)</f>
        <v>0.98302176352931114</v>
      </c>
    </row>
    <row r="110" spans="1:10" ht="26.25" customHeight="1" x14ac:dyDescent="0.4">
      <c r="A110" s="306" t="s">
        <v>96</v>
      </c>
      <c r="B110" s="307">
        <v>1</v>
      </c>
      <c r="C110" s="425">
        <v>3</v>
      </c>
      <c r="D110" s="609">
        <v>74531536</v>
      </c>
      <c r="E110" s="458">
        <f>IF(ISBLANK(D110),"-",D110/$D$103*$D$100*$B$116)</f>
        <v>295.72071835133454</v>
      </c>
      <c r="F110" s="428">
        <f>IF(ISBLANK(D110), "-", E110/$B$56)</f>
        <v>0.98573572783778185</v>
      </c>
    </row>
    <row r="111" spans="1:10" ht="26.25" customHeight="1" x14ac:dyDescent="0.4">
      <c r="A111" s="306" t="s">
        <v>97</v>
      </c>
      <c r="B111" s="307">
        <v>1</v>
      </c>
      <c r="C111" s="425">
        <v>4</v>
      </c>
      <c r="D111" s="609">
        <v>73082217</v>
      </c>
      <c r="E111" s="458">
        <f>IF(ISBLANK(D111),"-",D111/$D$103*$D$100*$B$116)</f>
        <v>289.9702175727079</v>
      </c>
      <c r="F111" s="428">
        <f>IF(ISBLANK(D111), "-", E111/$B$56)</f>
        <v>0.9665673919090263</v>
      </c>
    </row>
    <row r="112" spans="1:10" ht="26.25" customHeight="1" x14ac:dyDescent="0.4">
      <c r="A112" s="306" t="s">
        <v>98</v>
      </c>
      <c r="B112" s="307">
        <v>1</v>
      </c>
      <c r="C112" s="425">
        <v>5</v>
      </c>
      <c r="D112" s="426">
        <v>73131672</v>
      </c>
      <c r="E112" s="458">
        <f>IF(ISBLANK(D112),"-",D112/$D$103*$D$100*$B$116)</f>
        <v>290.16644146545127</v>
      </c>
      <c r="F112" s="428">
        <f>IF(ISBLANK(D112), "-", E112/$B$56)</f>
        <v>0.96722147155150429</v>
      </c>
    </row>
    <row r="113" spans="1:10" ht="26.25" customHeight="1" x14ac:dyDescent="0.4">
      <c r="A113" s="306" t="s">
        <v>100</v>
      </c>
      <c r="B113" s="307">
        <v>1</v>
      </c>
      <c r="C113" s="429">
        <v>6</v>
      </c>
      <c r="D113" s="430">
        <v>72733722</v>
      </c>
      <c r="E113" s="459">
        <f t="shared" ref="E113" si="1">IF(ISBLANK(D113),"-",D113/$D$103*$D$100*$B$116)</f>
        <v>288.58748487628463</v>
      </c>
      <c r="F113" s="431">
        <f t="shared" ref="F113" si="2">IF(ISBLANK(D113), "-", E113/$B$56)</f>
        <v>0.96195828292094876</v>
      </c>
    </row>
    <row r="114" spans="1:10" ht="26.25" customHeight="1" x14ac:dyDescent="0.4">
      <c r="A114" s="306" t="s">
        <v>101</v>
      </c>
      <c r="B114" s="307">
        <v>1</v>
      </c>
      <c r="C114" s="425"/>
      <c r="D114" s="379"/>
      <c r="E114" s="281"/>
      <c r="F114" s="432"/>
    </row>
    <row r="115" spans="1:10" ht="26.25" customHeight="1" x14ac:dyDescent="0.4">
      <c r="A115" s="306" t="s">
        <v>102</v>
      </c>
      <c r="B115" s="307">
        <v>1</v>
      </c>
      <c r="C115" s="425"/>
      <c r="D115" s="433" t="s">
        <v>71</v>
      </c>
      <c r="E115" s="461">
        <f>AVERAGE(E108:E113)</f>
        <v>291.21849527454259</v>
      </c>
      <c r="F115" s="434">
        <f>AVERAGE(F108:F113)</f>
        <v>0.97072831758180866</v>
      </c>
    </row>
    <row r="116" spans="1:10" ht="27" customHeight="1" x14ac:dyDescent="0.4">
      <c r="A116" s="306" t="s">
        <v>103</v>
      </c>
      <c r="B116" s="338">
        <f>(B115/B114)*(B113/B112)*(B111/B110)*(B109/B108)*B107</f>
        <v>1000</v>
      </c>
      <c r="C116" s="435"/>
      <c r="D116" s="398" t="s">
        <v>84</v>
      </c>
      <c r="E116" s="436">
        <f>STDEV(E108:E113)/E115</f>
        <v>1.1293064967081946E-2</v>
      </c>
      <c r="F116" s="436">
        <f>STDEV(F108:F113)/F115</f>
        <v>1.1293064967081962E-2</v>
      </c>
      <c r="I116" s="281"/>
    </row>
    <row r="117" spans="1:10" ht="27" customHeight="1" x14ac:dyDescent="0.4">
      <c r="A117" s="659" t="s">
        <v>78</v>
      </c>
      <c r="B117" s="660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1"/>
      <c r="J117" s="418"/>
    </row>
    <row r="118" spans="1:10" ht="19.5" customHeight="1" x14ac:dyDescent="0.3">
      <c r="A118" s="661"/>
      <c r="B118" s="662"/>
      <c r="C118" s="281"/>
      <c r="D118" s="281"/>
      <c r="E118" s="281"/>
      <c r="F118" s="379"/>
      <c r="G118" s="281"/>
      <c r="H118" s="281"/>
      <c r="I118" s="281"/>
    </row>
    <row r="119" spans="1:10" ht="18.75" x14ac:dyDescent="0.3">
      <c r="A119" s="448"/>
      <c r="B119" s="302"/>
      <c r="C119" s="281"/>
      <c r="D119" s="281"/>
      <c r="E119" s="281"/>
      <c r="F119" s="379"/>
      <c r="G119" s="281"/>
      <c r="H119" s="281"/>
      <c r="I119" s="281"/>
    </row>
    <row r="120" spans="1:10" ht="26.25" customHeight="1" x14ac:dyDescent="0.4">
      <c r="A120" s="290" t="s">
        <v>106</v>
      </c>
      <c r="B120" s="386" t="s">
        <v>123</v>
      </c>
      <c r="C120" s="663" t="str">
        <f>B20</f>
        <v>favirenz 600 mg, Emtricitabine 200mg, and Tenofovir Disoproxil Fumarate 300 mg Tablets</v>
      </c>
      <c r="D120" s="663"/>
      <c r="E120" s="387" t="s">
        <v>124</v>
      </c>
      <c r="F120" s="387"/>
      <c r="G120" s="388">
        <f>F115</f>
        <v>0.97072831758180866</v>
      </c>
      <c r="H120" s="281"/>
      <c r="I120" s="281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664" t="s">
        <v>26</v>
      </c>
      <c r="C122" s="664"/>
      <c r="E122" s="393" t="s">
        <v>27</v>
      </c>
      <c r="F122" s="442"/>
      <c r="G122" s="664" t="s">
        <v>28</v>
      </c>
      <c r="H122" s="664"/>
    </row>
    <row r="123" spans="1:10" ht="69.95" customHeight="1" x14ac:dyDescent="0.3">
      <c r="A123" s="443" t="s">
        <v>29</v>
      </c>
      <c r="B123" s="444"/>
      <c r="C123" s="444"/>
      <c r="E123" s="444"/>
      <c r="F123" s="281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1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1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1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1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1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1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1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1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1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1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0" zoomScale="55" zoomScaleNormal="40" zoomScalePageLayoutView="55" workbookViewId="0">
      <selection activeCell="F70" sqref="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463"/>
    </row>
    <row r="16" spans="1:9" ht="19.5" customHeight="1" x14ac:dyDescent="0.3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47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465" t="s">
        <v>33</v>
      </c>
      <c r="B18" s="690" t="s">
        <v>5</v>
      </c>
      <c r="C18" s="690"/>
      <c r="D18" s="632"/>
      <c r="E18" s="466"/>
      <c r="F18" s="467"/>
      <c r="G18" s="467"/>
      <c r="H18" s="467"/>
    </row>
    <row r="19" spans="1:14" ht="26.25" customHeight="1" x14ac:dyDescent="0.4">
      <c r="A19" s="465" t="s">
        <v>34</v>
      </c>
      <c r="B19" s="468" t="s">
        <v>7</v>
      </c>
      <c r="C19" s="645">
        <v>29</v>
      </c>
      <c r="D19" s="467"/>
      <c r="E19" s="467"/>
      <c r="F19" s="467"/>
      <c r="G19" s="467"/>
      <c r="H19" s="467"/>
    </row>
    <row r="20" spans="1:14" ht="26.25" customHeight="1" x14ac:dyDescent="0.4">
      <c r="A20" s="465" t="s">
        <v>35</v>
      </c>
      <c r="B20" s="695" t="s">
        <v>9</v>
      </c>
      <c r="C20" s="695"/>
      <c r="D20" s="467"/>
      <c r="E20" s="467"/>
      <c r="F20" s="467"/>
      <c r="G20" s="467"/>
      <c r="H20" s="467"/>
    </row>
    <row r="21" spans="1:14" ht="26.25" customHeight="1" x14ac:dyDescent="0.4">
      <c r="A21" s="465" t="s">
        <v>36</v>
      </c>
      <c r="B21" s="695" t="s">
        <v>11</v>
      </c>
      <c r="C21" s="695"/>
      <c r="D21" s="695"/>
      <c r="E21" s="695"/>
      <c r="F21" s="695"/>
      <c r="G21" s="695"/>
      <c r="H21" s="695"/>
      <c r="I21" s="469"/>
    </row>
    <row r="22" spans="1:14" ht="26.25" customHeight="1" x14ac:dyDescent="0.4">
      <c r="A22" s="465" t="s">
        <v>37</v>
      </c>
      <c r="B22" s="470">
        <v>42577.543900462966</v>
      </c>
      <c r="C22" s="467"/>
      <c r="D22" s="467"/>
      <c r="E22" s="467"/>
      <c r="F22" s="467"/>
      <c r="G22" s="467"/>
      <c r="H22" s="467"/>
    </row>
    <row r="23" spans="1:14" ht="26.25" customHeight="1" x14ac:dyDescent="0.4">
      <c r="A23" s="465" t="s">
        <v>38</v>
      </c>
      <c r="B23" s="470">
        <v>42579.543900462966</v>
      </c>
      <c r="C23" s="467"/>
      <c r="D23" s="467"/>
      <c r="E23" s="467"/>
      <c r="F23" s="467"/>
      <c r="G23" s="467"/>
      <c r="H23" s="467"/>
    </row>
    <row r="24" spans="1:14" ht="18.75" x14ac:dyDescent="0.3">
      <c r="A24" s="465"/>
      <c r="B24" s="471"/>
    </row>
    <row r="25" spans="1:14" ht="18.75" x14ac:dyDescent="0.3">
      <c r="A25" s="472" t="s">
        <v>1</v>
      </c>
      <c r="B25" s="471"/>
    </row>
    <row r="26" spans="1:14" ht="26.25" customHeight="1" x14ac:dyDescent="0.4">
      <c r="A26" s="473" t="s">
        <v>4</v>
      </c>
      <c r="B26" s="690" t="s">
        <v>125</v>
      </c>
      <c r="C26" s="690"/>
    </row>
    <row r="27" spans="1:14" ht="26.25" customHeight="1" x14ac:dyDescent="0.4">
      <c r="A27" s="474" t="s">
        <v>48</v>
      </c>
      <c r="B27" s="688" t="s">
        <v>130</v>
      </c>
      <c r="C27" s="688"/>
    </row>
    <row r="28" spans="1:14" ht="27" customHeight="1" x14ac:dyDescent="0.4">
      <c r="A28" s="474" t="s">
        <v>6</v>
      </c>
      <c r="B28" s="475">
        <v>99.3</v>
      </c>
    </row>
    <row r="29" spans="1:14" s="14" customFormat="1" ht="27" customHeight="1" x14ac:dyDescent="0.4">
      <c r="A29" s="474" t="s">
        <v>49</v>
      </c>
      <c r="B29" s="476">
        <v>0</v>
      </c>
      <c r="C29" s="665" t="s">
        <v>50</v>
      </c>
      <c r="D29" s="666"/>
      <c r="E29" s="666"/>
      <c r="F29" s="666"/>
      <c r="G29" s="667"/>
      <c r="I29" s="477"/>
      <c r="J29" s="477"/>
      <c r="K29" s="477"/>
      <c r="L29" s="477"/>
    </row>
    <row r="30" spans="1:14" s="14" customFormat="1" ht="19.5" customHeight="1" x14ac:dyDescent="0.3">
      <c r="A30" s="474" t="s">
        <v>51</v>
      </c>
      <c r="B30" s="478">
        <f>B28-B29</f>
        <v>99.3</v>
      </c>
      <c r="C30" s="479"/>
      <c r="D30" s="479"/>
      <c r="E30" s="479"/>
      <c r="F30" s="479"/>
      <c r="G30" s="480"/>
      <c r="I30" s="477"/>
      <c r="J30" s="477"/>
      <c r="K30" s="477"/>
      <c r="L30" s="477"/>
    </row>
    <row r="31" spans="1:14" s="14" customFormat="1" ht="27" customHeight="1" x14ac:dyDescent="0.4">
      <c r="A31" s="474" t="s">
        <v>52</v>
      </c>
      <c r="B31" s="481">
        <v>1</v>
      </c>
      <c r="C31" s="668" t="s">
        <v>53</v>
      </c>
      <c r="D31" s="669"/>
      <c r="E31" s="669"/>
      <c r="F31" s="669"/>
      <c r="G31" s="669"/>
      <c r="H31" s="670"/>
      <c r="I31" s="477"/>
      <c r="J31" s="477"/>
      <c r="K31" s="477"/>
      <c r="L31" s="477"/>
    </row>
    <row r="32" spans="1:14" s="14" customFormat="1" ht="27" customHeight="1" x14ac:dyDescent="0.4">
      <c r="A32" s="474" t="s">
        <v>54</v>
      </c>
      <c r="B32" s="481">
        <v>1</v>
      </c>
      <c r="C32" s="668" t="s">
        <v>55</v>
      </c>
      <c r="D32" s="669"/>
      <c r="E32" s="669"/>
      <c r="F32" s="669"/>
      <c r="G32" s="669"/>
      <c r="H32" s="670"/>
      <c r="I32" s="477"/>
      <c r="J32" s="477"/>
      <c r="K32" s="477"/>
      <c r="L32" s="482"/>
      <c r="M32" s="482"/>
      <c r="N32" s="483"/>
    </row>
    <row r="33" spans="1:14" s="14" customFormat="1" ht="17.25" customHeight="1" x14ac:dyDescent="0.3">
      <c r="A33" s="474"/>
      <c r="B33" s="484"/>
      <c r="C33" s="485"/>
      <c r="D33" s="485"/>
      <c r="E33" s="485"/>
      <c r="F33" s="485"/>
      <c r="G33" s="485"/>
      <c r="H33" s="485"/>
      <c r="I33" s="477"/>
      <c r="J33" s="477"/>
      <c r="K33" s="477"/>
      <c r="L33" s="482"/>
      <c r="M33" s="482"/>
      <c r="N33" s="483"/>
    </row>
    <row r="34" spans="1:14" s="14" customFormat="1" ht="18.75" x14ac:dyDescent="0.3">
      <c r="A34" s="474" t="s">
        <v>56</v>
      </c>
      <c r="B34" s="486">
        <f>B31/B32</f>
        <v>1</v>
      </c>
      <c r="C34" s="464" t="s">
        <v>57</v>
      </c>
      <c r="D34" s="464"/>
      <c r="E34" s="464"/>
      <c r="F34" s="464"/>
      <c r="G34" s="464"/>
      <c r="I34" s="477"/>
      <c r="J34" s="477"/>
      <c r="K34" s="477"/>
      <c r="L34" s="482"/>
      <c r="M34" s="482"/>
      <c r="N34" s="483"/>
    </row>
    <row r="35" spans="1:14" s="14" customFormat="1" ht="19.5" customHeight="1" x14ac:dyDescent="0.3">
      <c r="A35" s="474"/>
      <c r="B35" s="478"/>
      <c r="G35" s="464"/>
      <c r="I35" s="477"/>
      <c r="J35" s="477"/>
      <c r="K35" s="477"/>
      <c r="L35" s="482"/>
      <c r="M35" s="482"/>
      <c r="N35" s="483"/>
    </row>
    <row r="36" spans="1:14" s="14" customFormat="1" ht="27" customHeight="1" x14ac:dyDescent="0.4">
      <c r="A36" s="487" t="s">
        <v>58</v>
      </c>
      <c r="B36" s="488">
        <v>25</v>
      </c>
      <c r="C36" s="464"/>
      <c r="D36" s="671" t="s">
        <v>59</v>
      </c>
      <c r="E36" s="689"/>
      <c r="F36" s="671" t="s">
        <v>60</v>
      </c>
      <c r="G36" s="672"/>
      <c r="J36" s="477"/>
      <c r="K36" s="477"/>
      <c r="L36" s="482"/>
      <c r="M36" s="482"/>
      <c r="N36" s="483"/>
    </row>
    <row r="37" spans="1:14" s="14" customFormat="1" ht="27" customHeight="1" x14ac:dyDescent="0.4">
      <c r="A37" s="489" t="s">
        <v>61</v>
      </c>
      <c r="B37" s="490">
        <v>5</v>
      </c>
      <c r="C37" s="491" t="s">
        <v>62</v>
      </c>
      <c r="D37" s="492" t="s">
        <v>63</v>
      </c>
      <c r="E37" s="493" t="s">
        <v>64</v>
      </c>
      <c r="F37" s="492" t="s">
        <v>63</v>
      </c>
      <c r="G37" s="494" t="s">
        <v>64</v>
      </c>
      <c r="I37" s="495" t="s">
        <v>65</v>
      </c>
      <c r="J37" s="477"/>
      <c r="K37" s="477"/>
      <c r="L37" s="482"/>
      <c r="M37" s="482"/>
      <c r="N37" s="483"/>
    </row>
    <row r="38" spans="1:14" s="14" customFormat="1" ht="26.25" customHeight="1" x14ac:dyDescent="0.4">
      <c r="A38" s="489" t="s">
        <v>66</v>
      </c>
      <c r="B38" s="490">
        <v>50</v>
      </c>
      <c r="C38" s="496">
        <v>1</v>
      </c>
      <c r="D38" s="497">
        <v>6936846</v>
      </c>
      <c r="E38" s="498">
        <f>IF(ISBLANK(D38),"-",$D$48/$D$45*D38)</f>
        <v>7125888.701358336</v>
      </c>
      <c r="F38" s="497">
        <v>7135330</v>
      </c>
      <c r="G38" s="499">
        <f>IF(ISBLANK(F38),"-",$D$48/$F$45*F38)</f>
        <v>7014932.7098999862</v>
      </c>
      <c r="I38" s="500"/>
      <c r="J38" s="477"/>
      <c r="K38" s="477"/>
      <c r="L38" s="482"/>
      <c r="M38" s="482"/>
      <c r="N38" s="483"/>
    </row>
    <row r="39" spans="1:14" s="14" customFormat="1" ht="26.25" customHeight="1" x14ac:dyDescent="0.4">
      <c r="A39" s="489" t="s">
        <v>67</v>
      </c>
      <c r="B39" s="490">
        <v>1</v>
      </c>
      <c r="C39" s="501">
        <v>2</v>
      </c>
      <c r="D39" s="502">
        <v>6957405</v>
      </c>
      <c r="E39" s="503">
        <f>IF(ISBLANK(D39),"-",$D$48/$D$45*D39)</f>
        <v>7147007.9745570244</v>
      </c>
      <c r="F39" s="502">
        <v>7149460</v>
      </c>
      <c r="G39" s="504">
        <f>IF(ISBLANK(F39),"-",$D$48/$F$45*F39)</f>
        <v>7028824.288732484</v>
      </c>
      <c r="I39" s="673">
        <f>ABS((F43/D43*D42)-F42)/D42</f>
        <v>1.5260864893026775E-2</v>
      </c>
      <c r="J39" s="477"/>
      <c r="K39" s="477"/>
      <c r="L39" s="482"/>
      <c r="M39" s="482"/>
      <c r="N39" s="483"/>
    </row>
    <row r="40" spans="1:14" ht="26.25" customHeight="1" x14ac:dyDescent="0.4">
      <c r="A40" s="489" t="s">
        <v>68</v>
      </c>
      <c r="B40" s="490">
        <v>1</v>
      </c>
      <c r="C40" s="501">
        <v>3</v>
      </c>
      <c r="D40" s="502">
        <v>6950580</v>
      </c>
      <c r="E40" s="503">
        <f>IF(ISBLANK(D40),"-",$D$48/$D$45*D40)</f>
        <v>7139996.9798792163</v>
      </c>
      <c r="F40" s="502">
        <v>7177503</v>
      </c>
      <c r="G40" s="504">
        <f>IF(ISBLANK(F40),"-",$D$48/$F$45*F40)</f>
        <v>7056394.1079256712</v>
      </c>
      <c r="I40" s="673"/>
      <c r="L40" s="482"/>
      <c r="M40" s="482"/>
      <c r="N40" s="505"/>
    </row>
    <row r="41" spans="1:14" ht="27" customHeight="1" x14ac:dyDescent="0.4">
      <c r="A41" s="489" t="s">
        <v>69</v>
      </c>
      <c r="B41" s="490">
        <v>1</v>
      </c>
      <c r="C41" s="506">
        <v>4</v>
      </c>
      <c r="D41" s="507"/>
      <c r="E41" s="508" t="str">
        <f>IF(ISBLANK(D41),"-",$D$48/$D$45*D41)</f>
        <v>-</v>
      </c>
      <c r="F41" s="507"/>
      <c r="G41" s="509" t="str">
        <f>IF(ISBLANK(F41),"-",$D$48/$F$45*F41)</f>
        <v>-</v>
      </c>
      <c r="I41" s="510"/>
      <c r="L41" s="482"/>
      <c r="M41" s="482"/>
      <c r="N41" s="505"/>
    </row>
    <row r="42" spans="1:14" ht="27" customHeight="1" x14ac:dyDescent="0.4">
      <c r="A42" s="489" t="s">
        <v>70</v>
      </c>
      <c r="B42" s="490">
        <v>1</v>
      </c>
      <c r="C42" s="511" t="s">
        <v>71</v>
      </c>
      <c r="D42" s="512">
        <f>AVERAGE(D38:D41)</f>
        <v>6948277</v>
      </c>
      <c r="E42" s="513">
        <f>AVERAGE(E38:E41)</f>
        <v>7137631.2185981916</v>
      </c>
      <c r="F42" s="512">
        <f>AVERAGE(F38:F41)</f>
        <v>7154097.666666667</v>
      </c>
      <c r="G42" s="514">
        <f>AVERAGE(G38:G41)</f>
        <v>7033383.7021860471</v>
      </c>
      <c r="H42" s="515"/>
    </row>
    <row r="43" spans="1:14" ht="26.25" customHeight="1" x14ac:dyDescent="0.4">
      <c r="A43" s="489" t="s">
        <v>72</v>
      </c>
      <c r="B43" s="490">
        <v>1</v>
      </c>
      <c r="C43" s="516" t="s">
        <v>73</v>
      </c>
      <c r="D43" s="517">
        <v>29.41</v>
      </c>
      <c r="E43" s="505"/>
      <c r="F43" s="517">
        <v>30.73</v>
      </c>
      <c r="H43" s="515"/>
    </row>
    <row r="44" spans="1:14" ht="26.25" customHeight="1" x14ac:dyDescent="0.4">
      <c r="A44" s="489" t="s">
        <v>74</v>
      </c>
      <c r="B44" s="490">
        <v>1</v>
      </c>
      <c r="C44" s="518" t="s">
        <v>75</v>
      </c>
      <c r="D44" s="519">
        <f>D43*$B$34</f>
        <v>29.41</v>
      </c>
      <c r="E44" s="520"/>
      <c r="F44" s="519">
        <f>F43*$B$34</f>
        <v>30.73</v>
      </c>
      <c r="H44" s="515"/>
    </row>
    <row r="45" spans="1:14" ht="19.5" customHeight="1" x14ac:dyDescent="0.3">
      <c r="A45" s="489" t="s">
        <v>76</v>
      </c>
      <c r="B45" s="521">
        <f>(B44/B43)*(B42/B41)*(B40/B39)*(B38/B37)*B36</f>
        <v>250</v>
      </c>
      <c r="C45" s="518" t="s">
        <v>77</v>
      </c>
      <c r="D45" s="522">
        <f>D44*$B$30/100</f>
        <v>29.204129999999999</v>
      </c>
      <c r="E45" s="523"/>
      <c r="F45" s="522">
        <f>F44*$B$30/100</f>
        <v>30.514890000000001</v>
      </c>
      <c r="H45" s="515"/>
    </row>
    <row r="46" spans="1:14" ht="19.5" customHeight="1" x14ac:dyDescent="0.3">
      <c r="A46" s="659" t="s">
        <v>78</v>
      </c>
      <c r="B46" s="660"/>
      <c r="C46" s="518" t="s">
        <v>79</v>
      </c>
      <c r="D46" s="524">
        <f>D45/$B$45</f>
        <v>0.11681651999999999</v>
      </c>
      <c r="E46" s="525"/>
      <c r="F46" s="526">
        <f>F45/$B$45</f>
        <v>0.12205956000000001</v>
      </c>
      <c r="H46" s="515"/>
    </row>
    <row r="47" spans="1:14" ht="27" customHeight="1" x14ac:dyDescent="0.4">
      <c r="A47" s="661"/>
      <c r="B47" s="662"/>
      <c r="C47" s="527" t="s">
        <v>80</v>
      </c>
      <c r="D47" s="528">
        <v>0.12</v>
      </c>
      <c r="E47" s="529"/>
      <c r="F47" s="525"/>
      <c r="H47" s="515"/>
    </row>
    <row r="48" spans="1:14" ht="18.75" x14ac:dyDescent="0.3">
      <c r="C48" s="530" t="s">
        <v>81</v>
      </c>
      <c r="D48" s="522">
        <f>D47*$B$45</f>
        <v>30</v>
      </c>
      <c r="F48" s="531"/>
      <c r="H48" s="515"/>
    </row>
    <row r="49" spans="1:12" ht="19.5" customHeight="1" x14ac:dyDescent="0.3">
      <c r="C49" s="532" t="s">
        <v>82</v>
      </c>
      <c r="D49" s="533">
        <f>D48/B34</f>
        <v>30</v>
      </c>
      <c r="F49" s="531"/>
      <c r="H49" s="515"/>
    </row>
    <row r="50" spans="1:12" ht="18.75" x14ac:dyDescent="0.3">
      <c r="C50" s="487" t="s">
        <v>83</v>
      </c>
      <c r="D50" s="534">
        <f>AVERAGE(E38:E41,G38:G41)</f>
        <v>7085507.4603921184</v>
      </c>
      <c r="F50" s="535"/>
      <c r="H50" s="515"/>
    </row>
    <row r="51" spans="1:12" ht="18.75" x14ac:dyDescent="0.3">
      <c r="C51" s="489" t="s">
        <v>84</v>
      </c>
      <c r="D51" s="536">
        <f>STDEV(E38:E41,G38:G41)/D50</f>
        <v>8.3312634657726169E-3</v>
      </c>
      <c r="F51" s="535"/>
      <c r="H51" s="515"/>
    </row>
    <row r="52" spans="1:12" ht="19.5" customHeight="1" x14ac:dyDescent="0.3">
      <c r="C52" s="537" t="s">
        <v>20</v>
      </c>
      <c r="D52" s="538">
        <f>COUNT(E38:E41,G38:G41)</f>
        <v>6</v>
      </c>
      <c r="F52" s="535"/>
    </row>
    <row r="54" spans="1:12" ht="18.75" x14ac:dyDescent="0.3">
      <c r="A54" s="539" t="s">
        <v>1</v>
      </c>
      <c r="B54" s="540" t="s">
        <v>85</v>
      </c>
    </row>
    <row r="55" spans="1:12" ht="18.75" x14ac:dyDescent="0.3">
      <c r="A55" s="464" t="s">
        <v>86</v>
      </c>
      <c r="B55" s="541" t="str">
        <f>B21</f>
        <v>Efavirenz 600 mg, Emtricitabine 200mg, and Tenofovir Disoproxil Fumarate 300 mg Tablets equivant to Tenifovir Disoproxil 245 mg</v>
      </c>
    </row>
    <row r="56" spans="1:12" ht="26.25" customHeight="1" x14ac:dyDescent="0.4">
      <c r="A56" s="542" t="s">
        <v>87</v>
      </c>
      <c r="B56" s="543">
        <v>600</v>
      </c>
      <c r="C56" s="464" t="str">
        <f>B20</f>
        <v>favirenz 600 mg, Emtricitabine 200mg, and Tenofovir Disoproxil Fumarate 300 mg Tablets</v>
      </c>
      <c r="H56" s="544"/>
    </row>
    <row r="57" spans="1:12" ht="18.75" x14ac:dyDescent="0.3">
      <c r="A57" s="541" t="s">
        <v>88</v>
      </c>
      <c r="B57" s="633">
        <f>Uniformity!C46</f>
        <v>1604.143</v>
      </c>
      <c r="H57" s="544"/>
    </row>
    <row r="58" spans="1:12" ht="19.5" customHeight="1" x14ac:dyDescent="0.3">
      <c r="H58" s="544"/>
    </row>
    <row r="59" spans="1:12" s="14" customFormat="1" ht="27" customHeight="1" x14ac:dyDescent="0.4">
      <c r="A59" s="487" t="s">
        <v>89</v>
      </c>
      <c r="B59" s="488">
        <v>200</v>
      </c>
      <c r="C59" s="464"/>
      <c r="D59" s="545" t="s">
        <v>90</v>
      </c>
      <c r="E59" s="546" t="s">
        <v>62</v>
      </c>
      <c r="F59" s="546" t="s">
        <v>63</v>
      </c>
      <c r="G59" s="546" t="s">
        <v>91</v>
      </c>
      <c r="H59" s="491" t="s">
        <v>92</v>
      </c>
      <c r="L59" s="477"/>
    </row>
    <row r="60" spans="1:12" s="14" customFormat="1" ht="26.25" customHeight="1" x14ac:dyDescent="0.4">
      <c r="A60" s="489" t="s">
        <v>93</v>
      </c>
      <c r="B60" s="490">
        <v>4</v>
      </c>
      <c r="C60" s="676" t="s">
        <v>94</v>
      </c>
      <c r="D60" s="679">
        <f>Emtricitabine!D60</f>
        <v>1602.55</v>
      </c>
      <c r="E60" s="547">
        <v>1</v>
      </c>
      <c r="F60" s="548">
        <v>7050481</v>
      </c>
      <c r="G60" s="634">
        <f>IF(ISBLANK(F60),"-",(F60/$D$50*$D$47*$B$68)*($B$57/$D$60))</f>
        <v>597.62743923608707</v>
      </c>
      <c r="H60" s="549">
        <f t="shared" ref="H60:H71" si="0">IF(ISBLANK(F60),"-",G60/$B$56)</f>
        <v>0.99604573206014513</v>
      </c>
      <c r="L60" s="477"/>
    </row>
    <row r="61" spans="1:12" s="14" customFormat="1" ht="26.25" customHeight="1" x14ac:dyDescent="0.4">
      <c r="A61" s="489" t="s">
        <v>95</v>
      </c>
      <c r="B61" s="490">
        <v>100</v>
      </c>
      <c r="C61" s="677"/>
      <c r="D61" s="680"/>
      <c r="E61" s="550">
        <v>2</v>
      </c>
      <c r="F61" s="502">
        <v>7030443</v>
      </c>
      <c r="G61" s="635">
        <f>IF(ISBLANK(F61),"-",(F61/$D$50*$D$47*$B$68)*($B$57/$D$60))</f>
        <v>595.92893687470018</v>
      </c>
      <c r="H61" s="551">
        <f t="shared" si="0"/>
        <v>0.99321489479116698</v>
      </c>
      <c r="L61" s="477"/>
    </row>
    <row r="62" spans="1:12" s="14" customFormat="1" ht="26.25" customHeight="1" x14ac:dyDescent="0.4">
      <c r="A62" s="489" t="s">
        <v>96</v>
      </c>
      <c r="B62" s="490">
        <v>1</v>
      </c>
      <c r="C62" s="677"/>
      <c r="D62" s="680"/>
      <c r="E62" s="550">
        <v>3</v>
      </c>
      <c r="F62" s="552">
        <v>7007738</v>
      </c>
      <c r="G62" s="635">
        <f>IF(ISBLANK(F62),"-",(F62/$D$50*$D$47*$B$68)*($B$57/$D$60))</f>
        <v>594.0043687483759</v>
      </c>
      <c r="H62" s="551">
        <f t="shared" si="0"/>
        <v>0.9900072812472932</v>
      </c>
      <c r="L62" s="477"/>
    </row>
    <row r="63" spans="1:12" ht="27" customHeight="1" x14ac:dyDescent="0.4">
      <c r="A63" s="489" t="s">
        <v>97</v>
      </c>
      <c r="B63" s="490">
        <v>1</v>
      </c>
      <c r="C63" s="687"/>
      <c r="D63" s="681"/>
      <c r="E63" s="553">
        <v>4</v>
      </c>
      <c r="F63" s="554"/>
      <c r="G63" s="635" t="str">
        <f>IF(ISBLANK(F63),"-",(F63/$D$50*$D$47*$B$68)*($B$57/$D$60))</f>
        <v>-</v>
      </c>
      <c r="H63" s="551" t="str">
        <f t="shared" si="0"/>
        <v>-</v>
      </c>
    </row>
    <row r="64" spans="1:12" ht="26.25" customHeight="1" x14ac:dyDescent="0.4">
      <c r="A64" s="489" t="s">
        <v>98</v>
      </c>
      <c r="B64" s="490">
        <v>1</v>
      </c>
      <c r="C64" s="676" t="s">
        <v>99</v>
      </c>
      <c r="D64" s="679">
        <f>Emtricitabine!D64</f>
        <v>1606.41</v>
      </c>
      <c r="E64" s="547">
        <v>1</v>
      </c>
      <c r="F64" s="548">
        <v>7046270</v>
      </c>
      <c r="G64" s="636">
        <f>IF(ISBLANK(F64),"-",(F64/$D$50*$D$47*$B$68)*($B$57/$D$64))</f>
        <v>595.83533230844819</v>
      </c>
      <c r="H64" s="555">
        <f t="shared" si="0"/>
        <v>0.99305888718074697</v>
      </c>
    </row>
    <row r="65" spans="1:8" ht="26.25" customHeight="1" x14ac:dyDescent="0.4">
      <c r="A65" s="489" t="s">
        <v>100</v>
      </c>
      <c r="B65" s="490">
        <v>1</v>
      </c>
      <c r="C65" s="677"/>
      <c r="D65" s="680"/>
      <c r="E65" s="550">
        <v>2</v>
      </c>
      <c r="F65" s="502">
        <v>7091994</v>
      </c>
      <c r="G65" s="637">
        <f>IF(ISBLANK(F65),"-",(F65/$D$50*$D$47*$B$68)*($B$57/$D$64))</f>
        <v>599.70177153579414</v>
      </c>
      <c r="H65" s="556">
        <f t="shared" si="0"/>
        <v>0.99950295255965693</v>
      </c>
    </row>
    <row r="66" spans="1:8" ht="26.25" customHeight="1" x14ac:dyDescent="0.4">
      <c r="A66" s="489" t="s">
        <v>101</v>
      </c>
      <c r="B66" s="490">
        <v>1</v>
      </c>
      <c r="C66" s="677"/>
      <c r="D66" s="680"/>
      <c r="E66" s="550">
        <v>3</v>
      </c>
      <c r="F66" s="502">
        <v>7064800</v>
      </c>
      <c r="G66" s="637">
        <f>IF(ISBLANK(F66),"-",(F66/$D$50*$D$47*$B$68)*($B$57/$D$64))</f>
        <v>597.40223631690583</v>
      </c>
      <c r="H66" s="556">
        <f t="shared" si="0"/>
        <v>0.99567039386150968</v>
      </c>
    </row>
    <row r="67" spans="1:8" ht="27" customHeight="1" x14ac:dyDescent="0.4">
      <c r="A67" s="489" t="s">
        <v>102</v>
      </c>
      <c r="B67" s="490">
        <v>1</v>
      </c>
      <c r="C67" s="687"/>
      <c r="D67" s="681"/>
      <c r="E67" s="553">
        <v>4</v>
      </c>
      <c r="F67" s="554"/>
      <c r="G67" s="638" t="str">
        <f>IF(ISBLANK(F67),"-",(F67/$D$50*$D$47*$B$68)*($B$57/$D$64))</f>
        <v>-</v>
      </c>
      <c r="H67" s="557" t="str">
        <f t="shared" si="0"/>
        <v>-</v>
      </c>
    </row>
    <row r="68" spans="1:8" ht="26.25" customHeight="1" x14ac:dyDescent="0.4">
      <c r="A68" s="489" t="s">
        <v>103</v>
      </c>
      <c r="B68" s="558">
        <f>(B67/B66)*(B65/B64)*(B63/B62)*(B61/B60)*B59</f>
        <v>5000</v>
      </c>
      <c r="C68" s="676" t="s">
        <v>104</v>
      </c>
      <c r="D68" s="679">
        <f>Emtricitabine!D68</f>
        <v>1607.86</v>
      </c>
      <c r="E68" s="547">
        <v>1</v>
      </c>
      <c r="F68" s="548">
        <v>7006763</v>
      </c>
      <c r="G68" s="636">
        <f>IF(ISBLANK(F68),"-",(F68/$D$50*$D$47*$B$68)*($B$57/$D$68))</f>
        <v>591.96028164737879</v>
      </c>
      <c r="H68" s="551">
        <f t="shared" si="0"/>
        <v>0.98660046941229795</v>
      </c>
    </row>
    <row r="69" spans="1:8" ht="27" customHeight="1" x14ac:dyDescent="0.4">
      <c r="A69" s="537" t="s">
        <v>105</v>
      </c>
      <c r="B69" s="559">
        <f>(D47*B68)/B56*B57</f>
        <v>1604.143</v>
      </c>
      <c r="C69" s="677"/>
      <c r="D69" s="680"/>
      <c r="E69" s="550">
        <v>2</v>
      </c>
      <c r="F69" s="502">
        <v>7072757</v>
      </c>
      <c r="G69" s="637">
        <f>IF(ISBLANK(F69),"-",(F69/$D$50*$D$47*$B$68)*($B$57/$D$68))</f>
        <v>597.53572737417699</v>
      </c>
      <c r="H69" s="551">
        <f t="shared" si="0"/>
        <v>0.99589287895696166</v>
      </c>
    </row>
    <row r="70" spans="1:8" ht="26.25" customHeight="1" x14ac:dyDescent="0.4">
      <c r="A70" s="682" t="s">
        <v>78</v>
      </c>
      <c r="B70" s="683"/>
      <c r="C70" s="677"/>
      <c r="D70" s="680"/>
      <c r="E70" s="550">
        <v>3</v>
      </c>
      <c r="F70" s="502">
        <v>7024566</v>
      </c>
      <c r="G70" s="637">
        <f>IF(ISBLANK(F70),"-",(F70/$D$50*$D$47*$B$68)*($B$57/$D$68))</f>
        <v>593.46435262768284</v>
      </c>
      <c r="H70" s="551">
        <f t="shared" si="0"/>
        <v>0.98910725437947145</v>
      </c>
    </row>
    <row r="71" spans="1:8" ht="27" customHeight="1" x14ac:dyDescent="0.4">
      <c r="A71" s="684"/>
      <c r="B71" s="685"/>
      <c r="C71" s="678"/>
      <c r="D71" s="681"/>
      <c r="E71" s="553">
        <v>4</v>
      </c>
      <c r="F71" s="554"/>
      <c r="G71" s="638" t="str">
        <f>IF(ISBLANK(F71),"-",(F71/$D$50*$D$47*$B$68)*($B$57/$D$68))</f>
        <v>-</v>
      </c>
      <c r="H71" s="560" t="str">
        <f t="shared" si="0"/>
        <v>-</v>
      </c>
    </row>
    <row r="72" spans="1:8" ht="26.25" customHeight="1" x14ac:dyDescent="0.4">
      <c r="A72" s="561"/>
      <c r="B72" s="561"/>
      <c r="C72" s="561"/>
      <c r="D72" s="561"/>
      <c r="E72" s="561"/>
      <c r="F72" s="563" t="s">
        <v>71</v>
      </c>
      <c r="G72" s="643">
        <f>AVERAGE(G60:G71)</f>
        <v>595.94004962995007</v>
      </c>
      <c r="H72" s="564">
        <f>AVERAGE(H60:H71)</f>
        <v>0.99323341604991677</v>
      </c>
    </row>
    <row r="73" spans="1:8" ht="26.25" customHeight="1" x14ac:dyDescent="0.4">
      <c r="C73" s="561"/>
      <c r="D73" s="561"/>
      <c r="E73" s="561"/>
      <c r="F73" s="565" t="s">
        <v>84</v>
      </c>
      <c r="G73" s="639">
        <f>STDEV(G60:G71)/G72</f>
        <v>4.0848524950049371E-3</v>
      </c>
      <c r="H73" s="639">
        <f>STDEV(H60:H71)/H72</f>
        <v>4.0848524950049415E-3</v>
      </c>
    </row>
    <row r="74" spans="1:8" ht="27" customHeight="1" x14ac:dyDescent="0.4">
      <c r="A74" s="561"/>
      <c r="B74" s="561"/>
      <c r="C74" s="562"/>
      <c r="D74" s="562"/>
      <c r="E74" s="566"/>
      <c r="F74" s="567" t="s">
        <v>20</v>
      </c>
      <c r="G74" s="568">
        <f>COUNT(G60:G71)</f>
        <v>9</v>
      </c>
      <c r="H74" s="568">
        <f>COUNT(H60:H71)</f>
        <v>9</v>
      </c>
    </row>
    <row r="76" spans="1:8" ht="26.25" customHeight="1" x14ac:dyDescent="0.4">
      <c r="A76" s="473" t="s">
        <v>106</v>
      </c>
      <c r="B76" s="569" t="s">
        <v>107</v>
      </c>
      <c r="C76" s="663" t="str">
        <f>B20</f>
        <v>favirenz 600 mg, Emtricitabine 200mg, and Tenofovir Disoproxil Fumarate 300 mg Tablets</v>
      </c>
      <c r="D76" s="663"/>
      <c r="E76" s="570" t="s">
        <v>108</v>
      </c>
      <c r="F76" s="570"/>
      <c r="G76" s="571">
        <f>H72</f>
        <v>0.99323341604991677</v>
      </c>
      <c r="H76" s="572"/>
    </row>
    <row r="77" spans="1:8" ht="18.75" x14ac:dyDescent="0.3">
      <c r="A77" s="472" t="s">
        <v>109</v>
      </c>
      <c r="B77" s="472" t="s">
        <v>110</v>
      </c>
    </row>
    <row r="78" spans="1:8" ht="18.75" x14ac:dyDescent="0.3">
      <c r="A78" s="472"/>
      <c r="B78" s="472"/>
    </row>
    <row r="79" spans="1:8" ht="26.25" customHeight="1" x14ac:dyDescent="0.4">
      <c r="A79" s="473" t="s">
        <v>4</v>
      </c>
      <c r="B79" s="686" t="str">
        <f>B26</f>
        <v>Efavirenz</v>
      </c>
      <c r="C79" s="686"/>
    </row>
    <row r="80" spans="1:8" ht="26.25" customHeight="1" x14ac:dyDescent="0.4">
      <c r="A80" s="474" t="s">
        <v>48</v>
      </c>
      <c r="B80" s="686" t="str">
        <f>B27</f>
        <v>E15-3</v>
      </c>
      <c r="C80" s="686"/>
    </row>
    <row r="81" spans="1:12" ht="27" customHeight="1" x14ac:dyDescent="0.4">
      <c r="A81" s="474" t="s">
        <v>6</v>
      </c>
      <c r="B81" s="573">
        <f>B28</f>
        <v>99.3</v>
      </c>
    </row>
    <row r="82" spans="1:12" s="14" customFormat="1" ht="27" customHeight="1" x14ac:dyDescent="0.4">
      <c r="A82" s="474" t="s">
        <v>49</v>
      </c>
      <c r="B82" s="476">
        <v>0</v>
      </c>
      <c r="C82" s="665" t="s">
        <v>50</v>
      </c>
      <c r="D82" s="666"/>
      <c r="E82" s="666"/>
      <c r="F82" s="666"/>
      <c r="G82" s="667"/>
      <c r="I82" s="477"/>
      <c r="J82" s="477"/>
      <c r="K82" s="477"/>
      <c r="L82" s="477"/>
    </row>
    <row r="83" spans="1:12" s="14" customFormat="1" ht="19.5" customHeight="1" x14ac:dyDescent="0.3">
      <c r="A83" s="474" t="s">
        <v>51</v>
      </c>
      <c r="B83" s="478">
        <f>B81-B82</f>
        <v>99.3</v>
      </c>
      <c r="C83" s="479"/>
      <c r="D83" s="479"/>
      <c r="E83" s="479"/>
      <c r="F83" s="479"/>
      <c r="G83" s="480"/>
      <c r="I83" s="477"/>
      <c r="J83" s="477"/>
      <c r="K83" s="477"/>
      <c r="L83" s="477"/>
    </row>
    <row r="84" spans="1:12" s="14" customFormat="1" ht="27" customHeight="1" x14ac:dyDescent="0.4">
      <c r="A84" s="474" t="s">
        <v>52</v>
      </c>
      <c r="B84" s="481">
        <v>1</v>
      </c>
      <c r="C84" s="668" t="s">
        <v>111</v>
      </c>
      <c r="D84" s="669"/>
      <c r="E84" s="669"/>
      <c r="F84" s="669"/>
      <c r="G84" s="669"/>
      <c r="H84" s="670"/>
      <c r="I84" s="477"/>
      <c r="J84" s="477"/>
      <c r="K84" s="477"/>
      <c r="L84" s="477"/>
    </row>
    <row r="85" spans="1:12" s="14" customFormat="1" ht="27" customHeight="1" x14ac:dyDescent="0.4">
      <c r="A85" s="474" t="s">
        <v>54</v>
      </c>
      <c r="B85" s="481">
        <v>1</v>
      </c>
      <c r="C85" s="668" t="s">
        <v>112</v>
      </c>
      <c r="D85" s="669"/>
      <c r="E85" s="669"/>
      <c r="F85" s="669"/>
      <c r="G85" s="669"/>
      <c r="H85" s="670"/>
      <c r="I85" s="477"/>
      <c r="J85" s="477"/>
      <c r="K85" s="477"/>
      <c r="L85" s="477"/>
    </row>
    <row r="86" spans="1:12" s="14" customFormat="1" ht="18.75" x14ac:dyDescent="0.3">
      <c r="A86" s="474"/>
      <c r="B86" s="484"/>
      <c r="C86" s="485"/>
      <c r="D86" s="485"/>
      <c r="E86" s="485"/>
      <c r="F86" s="485"/>
      <c r="G86" s="485"/>
      <c r="H86" s="485"/>
      <c r="I86" s="477"/>
      <c r="J86" s="477"/>
      <c r="K86" s="477"/>
      <c r="L86" s="477"/>
    </row>
    <row r="87" spans="1:12" s="14" customFormat="1" ht="18.75" x14ac:dyDescent="0.3">
      <c r="A87" s="474" t="s">
        <v>56</v>
      </c>
      <c r="B87" s="486">
        <f>B84/B85</f>
        <v>1</v>
      </c>
      <c r="C87" s="464" t="s">
        <v>57</v>
      </c>
      <c r="D87" s="464"/>
      <c r="E87" s="464"/>
      <c r="F87" s="464"/>
      <c r="G87" s="464"/>
      <c r="I87" s="477"/>
      <c r="J87" s="477"/>
      <c r="K87" s="477"/>
      <c r="L87" s="477"/>
    </row>
    <row r="88" spans="1:12" ht="19.5" customHeight="1" x14ac:dyDescent="0.3">
      <c r="A88" s="472"/>
      <c r="B88" s="472"/>
    </row>
    <row r="89" spans="1:12" ht="27" customHeight="1" x14ac:dyDescent="0.4">
      <c r="A89" s="487" t="s">
        <v>58</v>
      </c>
      <c r="B89" s="488">
        <v>25</v>
      </c>
      <c r="D89" s="574" t="s">
        <v>59</v>
      </c>
      <c r="E89" s="575"/>
      <c r="F89" s="671" t="s">
        <v>60</v>
      </c>
      <c r="G89" s="672"/>
    </row>
    <row r="90" spans="1:12" ht="27" customHeight="1" x14ac:dyDescent="0.4">
      <c r="A90" s="489" t="s">
        <v>61</v>
      </c>
      <c r="B90" s="490">
        <v>10</v>
      </c>
      <c r="C90" s="576" t="s">
        <v>62</v>
      </c>
      <c r="D90" s="492" t="s">
        <v>63</v>
      </c>
      <c r="E90" s="493" t="s">
        <v>64</v>
      </c>
      <c r="F90" s="492" t="s">
        <v>63</v>
      </c>
      <c r="G90" s="577" t="s">
        <v>64</v>
      </c>
      <c r="I90" s="495" t="s">
        <v>65</v>
      </c>
    </row>
    <row r="91" spans="1:12" ht="26.25" customHeight="1" x14ac:dyDescent="0.4">
      <c r="A91" s="489" t="s">
        <v>66</v>
      </c>
      <c r="B91" s="490">
        <v>20</v>
      </c>
      <c r="C91" s="578">
        <v>1</v>
      </c>
      <c r="D91" s="497">
        <v>31837818</v>
      </c>
      <c r="E91" s="498">
        <f>IF(ISBLANK(D91),"-",$D$101/$D$98*D91)</f>
        <v>32705461.17963453</v>
      </c>
      <c r="F91" s="497">
        <v>33208043</v>
      </c>
      <c r="G91" s="499">
        <f>IF(ISBLANK(F91),"-",$D$101/$F$98*F91)</f>
        <v>32647710.347309131</v>
      </c>
      <c r="I91" s="500"/>
    </row>
    <row r="92" spans="1:12" ht="26.25" customHeight="1" x14ac:dyDescent="0.4">
      <c r="A92" s="489" t="s">
        <v>67</v>
      </c>
      <c r="B92" s="490">
        <v>1</v>
      </c>
      <c r="C92" s="562">
        <v>2</v>
      </c>
      <c r="D92" s="502">
        <v>31878488</v>
      </c>
      <c r="E92" s="503">
        <f>IF(ISBLANK(D92),"-",$D$101/$D$98*D92)</f>
        <v>32747239.517150488</v>
      </c>
      <c r="F92" s="502">
        <v>32672534</v>
      </c>
      <c r="G92" s="504">
        <f>IF(ISBLANK(F92),"-",$D$101/$F$98*F92)</f>
        <v>32121237.205836229</v>
      </c>
      <c r="I92" s="673">
        <f>ABS((F96/D96*D95)-F95)/D95</f>
        <v>1.6003345224353885E-3</v>
      </c>
    </row>
    <row r="93" spans="1:12" ht="26.25" customHeight="1" x14ac:dyDescent="0.4">
      <c r="A93" s="489" t="s">
        <v>68</v>
      </c>
      <c r="B93" s="490">
        <v>1</v>
      </c>
      <c r="C93" s="562">
        <v>3</v>
      </c>
      <c r="D93" s="502">
        <v>31546733</v>
      </c>
      <c r="E93" s="503">
        <f>IF(ISBLANK(D93),"-",$D$101/$D$98*D93)</f>
        <v>32406443.540690996</v>
      </c>
      <c r="F93" s="502">
        <v>33505671</v>
      </c>
      <c r="G93" s="504">
        <f>IF(ISBLANK(F93),"-",$D$101/$F$98*F93)</f>
        <v>32940316.350476764</v>
      </c>
      <c r="I93" s="673"/>
    </row>
    <row r="94" spans="1:12" ht="27" customHeight="1" x14ac:dyDescent="0.4">
      <c r="A94" s="489" t="s">
        <v>69</v>
      </c>
      <c r="B94" s="490">
        <v>1</v>
      </c>
      <c r="C94" s="579">
        <v>4</v>
      </c>
      <c r="D94" s="507"/>
      <c r="E94" s="508" t="str">
        <f>IF(ISBLANK(D94),"-",$D$101/$D$98*D94)</f>
        <v>-</v>
      </c>
      <c r="F94" s="580"/>
      <c r="G94" s="509" t="str">
        <f>IF(ISBLANK(F94),"-",$D$101/$F$98*F94)</f>
        <v>-</v>
      </c>
      <c r="I94" s="510"/>
    </row>
    <row r="95" spans="1:12" ht="27" customHeight="1" x14ac:dyDescent="0.4">
      <c r="A95" s="489" t="s">
        <v>70</v>
      </c>
      <c r="B95" s="490">
        <v>1</v>
      </c>
      <c r="C95" s="581" t="s">
        <v>71</v>
      </c>
      <c r="D95" s="582">
        <f>AVERAGE(D91:D94)</f>
        <v>31754346.333333332</v>
      </c>
      <c r="E95" s="513">
        <f>AVERAGE(E91:E94)</f>
        <v>32619714.745825339</v>
      </c>
      <c r="F95" s="583">
        <f>AVERAGE(F91:F94)</f>
        <v>33128749.333333332</v>
      </c>
      <c r="G95" s="584">
        <f>AVERAGE(G91:G94)</f>
        <v>32569754.634540707</v>
      </c>
    </row>
    <row r="96" spans="1:12" ht="26.25" customHeight="1" x14ac:dyDescent="0.4">
      <c r="A96" s="489" t="s">
        <v>72</v>
      </c>
      <c r="B96" s="475">
        <v>1</v>
      </c>
      <c r="C96" s="585" t="s">
        <v>113</v>
      </c>
      <c r="D96" s="586">
        <v>29.41</v>
      </c>
      <c r="E96" s="505"/>
      <c r="F96" s="517">
        <v>30.73</v>
      </c>
    </row>
    <row r="97" spans="1:10" ht="26.25" customHeight="1" x14ac:dyDescent="0.4">
      <c r="A97" s="489" t="s">
        <v>74</v>
      </c>
      <c r="B97" s="475">
        <v>1</v>
      </c>
      <c r="C97" s="587" t="s">
        <v>114</v>
      </c>
      <c r="D97" s="588">
        <f>D96*$B$87</f>
        <v>29.41</v>
      </c>
      <c r="E97" s="520"/>
      <c r="F97" s="519">
        <f>F96*$B$87</f>
        <v>30.73</v>
      </c>
    </row>
    <row r="98" spans="1:10" ht="19.5" customHeight="1" x14ac:dyDescent="0.3">
      <c r="A98" s="489" t="s">
        <v>76</v>
      </c>
      <c r="B98" s="589">
        <f>(B97/B96)*(B95/B94)*(B93/B92)*(B91/B90)*B89</f>
        <v>50</v>
      </c>
      <c r="C98" s="587" t="s">
        <v>115</v>
      </c>
      <c r="D98" s="590">
        <f>D97*$B$83/100</f>
        <v>29.204129999999999</v>
      </c>
      <c r="E98" s="523"/>
      <c r="F98" s="522">
        <f>F97*$B$83/100</f>
        <v>30.514890000000001</v>
      </c>
    </row>
    <row r="99" spans="1:10" ht="19.5" customHeight="1" x14ac:dyDescent="0.3">
      <c r="A99" s="659" t="s">
        <v>78</v>
      </c>
      <c r="B99" s="674"/>
      <c r="C99" s="587" t="s">
        <v>116</v>
      </c>
      <c r="D99" s="591">
        <f>D98/$B$98</f>
        <v>0.58408260000000001</v>
      </c>
      <c r="E99" s="523"/>
      <c r="F99" s="526">
        <f>F98/$B$98</f>
        <v>0.6102978</v>
      </c>
      <c r="G99" s="592"/>
      <c r="H99" s="515"/>
    </row>
    <row r="100" spans="1:10" ht="19.5" customHeight="1" x14ac:dyDescent="0.3">
      <c r="A100" s="661"/>
      <c r="B100" s="675"/>
      <c r="C100" s="587" t="s">
        <v>80</v>
      </c>
      <c r="D100" s="593">
        <f>$B$56/$B$116</f>
        <v>0.6</v>
      </c>
      <c r="F100" s="531"/>
      <c r="G100" s="594"/>
      <c r="H100" s="515"/>
    </row>
    <row r="101" spans="1:10" ht="18.75" x14ac:dyDescent="0.3">
      <c r="C101" s="587" t="s">
        <v>81</v>
      </c>
      <c r="D101" s="588">
        <f>D100*$B$98</f>
        <v>30</v>
      </c>
      <c r="F101" s="531"/>
      <c r="G101" s="592"/>
      <c r="H101" s="515"/>
    </row>
    <row r="102" spans="1:10" ht="19.5" customHeight="1" x14ac:dyDescent="0.3">
      <c r="C102" s="595" t="s">
        <v>82</v>
      </c>
      <c r="D102" s="596">
        <f>D101/B34</f>
        <v>30</v>
      </c>
      <c r="F102" s="535"/>
      <c r="G102" s="592"/>
      <c r="H102" s="515"/>
      <c r="J102" s="597"/>
    </row>
    <row r="103" spans="1:10" ht="18.75" x14ac:dyDescent="0.3">
      <c r="C103" s="598" t="s">
        <v>117</v>
      </c>
      <c r="D103" s="599">
        <f>AVERAGE(E91:E94,G91:G94)</f>
        <v>32594734.690183025</v>
      </c>
      <c r="F103" s="535"/>
      <c r="G103" s="600"/>
      <c r="H103" s="515"/>
      <c r="J103" s="601"/>
    </row>
    <row r="104" spans="1:10" ht="18.75" x14ac:dyDescent="0.3">
      <c r="C104" s="565" t="s">
        <v>84</v>
      </c>
      <c r="D104" s="602">
        <f>STDEV(E91:E94,G91:G94)/D103</f>
        <v>8.8643351183258588E-3</v>
      </c>
      <c r="F104" s="535"/>
      <c r="G104" s="592"/>
      <c r="H104" s="515"/>
      <c r="J104" s="601"/>
    </row>
    <row r="105" spans="1:10" ht="19.5" customHeight="1" x14ac:dyDescent="0.3">
      <c r="C105" s="567" t="s">
        <v>20</v>
      </c>
      <c r="D105" s="603">
        <f>COUNT(E91:E94,G91:G94)</f>
        <v>6</v>
      </c>
      <c r="F105" s="535"/>
      <c r="G105" s="592"/>
      <c r="H105" s="515"/>
      <c r="J105" s="601"/>
    </row>
    <row r="106" spans="1:10" ht="19.5" customHeight="1" x14ac:dyDescent="0.3">
      <c r="A106" s="539"/>
      <c r="B106" s="539"/>
      <c r="C106" s="539"/>
      <c r="D106" s="539"/>
      <c r="E106" s="539"/>
    </row>
    <row r="107" spans="1:10" ht="26.25" customHeight="1" x14ac:dyDescent="0.4">
      <c r="A107" s="487" t="s">
        <v>118</v>
      </c>
      <c r="B107" s="488">
        <v>1000</v>
      </c>
      <c r="C107" s="604" t="s">
        <v>119</v>
      </c>
      <c r="D107" s="605" t="s">
        <v>63</v>
      </c>
      <c r="E107" s="606" t="s">
        <v>120</v>
      </c>
      <c r="F107" s="607" t="s">
        <v>121</v>
      </c>
    </row>
    <row r="108" spans="1:10" ht="26.25" customHeight="1" x14ac:dyDescent="0.4">
      <c r="A108" s="489" t="s">
        <v>122</v>
      </c>
      <c r="B108" s="490">
        <v>1</v>
      </c>
      <c r="C108" s="608">
        <v>1</v>
      </c>
      <c r="D108" s="609">
        <v>32932432</v>
      </c>
      <c r="E108" s="640">
        <f t="shared" ref="E108:E113" si="1">IF(ISBLANK(D108),"-",D108/$D$103*$D$100*$B$116)</f>
        <v>606.21629192003229</v>
      </c>
      <c r="F108" s="610">
        <f t="shared" ref="F108:F113" si="2">IF(ISBLANK(D108), "-", E108/$B$56)</f>
        <v>1.0103604865333871</v>
      </c>
    </row>
    <row r="109" spans="1:10" ht="26.25" customHeight="1" x14ac:dyDescent="0.4">
      <c r="A109" s="489" t="s">
        <v>95</v>
      </c>
      <c r="B109" s="490">
        <v>1</v>
      </c>
      <c r="C109" s="608">
        <v>2</v>
      </c>
      <c r="D109" s="609">
        <v>33699148</v>
      </c>
      <c r="E109" s="641">
        <f t="shared" si="1"/>
        <v>620.32990886990592</v>
      </c>
      <c r="F109" s="611">
        <f t="shared" si="2"/>
        <v>1.0338831814498433</v>
      </c>
    </row>
    <row r="110" spans="1:10" ht="26.25" customHeight="1" x14ac:dyDescent="0.4">
      <c r="A110" s="489" t="s">
        <v>96</v>
      </c>
      <c r="B110" s="490">
        <v>1</v>
      </c>
      <c r="C110" s="608">
        <v>3</v>
      </c>
      <c r="D110" s="609">
        <v>32171499</v>
      </c>
      <c r="E110" s="641">
        <f t="shared" si="1"/>
        <v>592.20912774644239</v>
      </c>
      <c r="F110" s="611">
        <f t="shared" si="2"/>
        <v>0.98701521291073735</v>
      </c>
    </row>
    <row r="111" spans="1:10" ht="26.25" customHeight="1" x14ac:dyDescent="0.4">
      <c r="A111" s="489" t="s">
        <v>97</v>
      </c>
      <c r="B111" s="490">
        <v>1</v>
      </c>
      <c r="C111" s="608">
        <v>4</v>
      </c>
      <c r="D111" s="609">
        <v>33987856</v>
      </c>
      <c r="E111" s="641">
        <f t="shared" si="1"/>
        <v>625.64441140065287</v>
      </c>
      <c r="F111" s="611">
        <f t="shared" si="2"/>
        <v>1.0427406856677548</v>
      </c>
    </row>
    <row r="112" spans="1:10" ht="26.25" customHeight="1" x14ac:dyDescent="0.4">
      <c r="A112" s="489" t="s">
        <v>98</v>
      </c>
      <c r="B112" s="490">
        <v>1</v>
      </c>
      <c r="C112" s="608">
        <v>5</v>
      </c>
      <c r="D112" s="609">
        <v>33114129</v>
      </c>
      <c r="E112" s="641">
        <f t="shared" si="1"/>
        <v>609.5609486885636</v>
      </c>
      <c r="F112" s="611">
        <f t="shared" si="2"/>
        <v>1.0159349144809393</v>
      </c>
    </row>
    <row r="113" spans="1:10" ht="26.25" customHeight="1" x14ac:dyDescent="0.4">
      <c r="A113" s="489" t="s">
        <v>100</v>
      </c>
      <c r="B113" s="490">
        <v>1</v>
      </c>
      <c r="C113" s="612">
        <v>6</v>
      </c>
      <c r="D113" s="613">
        <v>33838354</v>
      </c>
      <c r="E113" s="642">
        <f t="shared" si="1"/>
        <v>622.89239636348123</v>
      </c>
      <c r="F113" s="614">
        <f t="shared" si="2"/>
        <v>1.0381539939391353</v>
      </c>
    </row>
    <row r="114" spans="1:10" ht="26.25" customHeight="1" x14ac:dyDescent="0.4">
      <c r="A114" s="489" t="s">
        <v>101</v>
      </c>
      <c r="B114" s="490">
        <v>1</v>
      </c>
      <c r="C114" s="608"/>
      <c r="D114" s="562"/>
      <c r="E114" s="463"/>
      <c r="F114" s="615"/>
    </row>
    <row r="115" spans="1:10" ht="26.25" customHeight="1" x14ac:dyDescent="0.4">
      <c r="A115" s="489" t="s">
        <v>102</v>
      </c>
      <c r="B115" s="490">
        <v>1</v>
      </c>
      <c r="C115" s="608"/>
      <c r="D115" s="616" t="s">
        <v>71</v>
      </c>
      <c r="E115" s="644">
        <f>AVERAGE(E108:E113)</f>
        <v>612.80884749817972</v>
      </c>
      <c r="F115" s="617">
        <f>AVERAGE(F108:F113)</f>
        <v>1.0213480791636329</v>
      </c>
    </row>
    <row r="116" spans="1:10" ht="27" customHeight="1" x14ac:dyDescent="0.4">
      <c r="A116" s="489" t="s">
        <v>103</v>
      </c>
      <c r="B116" s="521">
        <f>(B115/B114)*(B113/B112)*(B111/B110)*(B109/B108)*B107</f>
        <v>1000</v>
      </c>
      <c r="C116" s="618"/>
      <c r="D116" s="581" t="s">
        <v>84</v>
      </c>
      <c r="E116" s="619">
        <f>STDEV(E108:E113)/E115</f>
        <v>2.0658675640345164E-2</v>
      </c>
      <c r="F116" s="619">
        <f>STDEV(F108:F113)/F115</f>
        <v>2.0658675640345164E-2</v>
      </c>
      <c r="I116" s="463"/>
    </row>
    <row r="117" spans="1:10" ht="27" customHeight="1" x14ac:dyDescent="0.4">
      <c r="A117" s="659" t="s">
        <v>78</v>
      </c>
      <c r="B117" s="660"/>
      <c r="C117" s="620"/>
      <c r="D117" s="621" t="s">
        <v>20</v>
      </c>
      <c r="E117" s="622">
        <f>COUNT(E108:E113)</f>
        <v>6</v>
      </c>
      <c r="F117" s="622">
        <f>COUNT(F108:F113)</f>
        <v>6</v>
      </c>
      <c r="I117" s="463"/>
      <c r="J117" s="601"/>
    </row>
    <row r="118" spans="1:10" ht="19.5" customHeight="1" x14ac:dyDescent="0.3">
      <c r="A118" s="661"/>
      <c r="B118" s="662"/>
      <c r="C118" s="463"/>
      <c r="D118" s="463"/>
      <c r="E118" s="463"/>
      <c r="F118" s="562"/>
      <c r="G118" s="463"/>
      <c r="H118" s="463"/>
      <c r="I118" s="463"/>
    </row>
    <row r="119" spans="1:10" ht="18.75" x14ac:dyDescent="0.3">
      <c r="A119" s="631"/>
      <c r="B119" s="485"/>
      <c r="C119" s="463"/>
      <c r="D119" s="463"/>
      <c r="E119" s="463"/>
      <c r="F119" s="562"/>
      <c r="G119" s="463"/>
      <c r="H119" s="463"/>
      <c r="I119" s="463"/>
    </row>
    <row r="120" spans="1:10" ht="26.25" customHeight="1" x14ac:dyDescent="0.4">
      <c r="A120" s="473" t="s">
        <v>106</v>
      </c>
      <c r="B120" s="569" t="s">
        <v>123</v>
      </c>
      <c r="C120" s="663" t="str">
        <f>B20</f>
        <v>favirenz 600 mg, Emtricitabine 200mg, and Tenofovir Disoproxil Fumarate 300 mg Tablets</v>
      </c>
      <c r="D120" s="663"/>
      <c r="E120" s="570" t="s">
        <v>124</v>
      </c>
      <c r="F120" s="570"/>
      <c r="G120" s="571">
        <f>F115</f>
        <v>1.0213480791636329</v>
      </c>
      <c r="H120" s="463"/>
      <c r="I120" s="463"/>
    </row>
    <row r="121" spans="1:10" ht="19.5" customHeight="1" x14ac:dyDescent="0.3">
      <c r="A121" s="623"/>
      <c r="B121" s="623"/>
      <c r="C121" s="624"/>
      <c r="D121" s="624"/>
      <c r="E121" s="624"/>
      <c r="F121" s="624"/>
      <c r="G121" s="624"/>
      <c r="H121" s="624"/>
    </row>
    <row r="122" spans="1:10" ht="18.75" x14ac:dyDescent="0.3">
      <c r="B122" s="664" t="s">
        <v>26</v>
      </c>
      <c r="C122" s="664"/>
      <c r="E122" s="576" t="s">
        <v>27</v>
      </c>
      <c r="F122" s="625"/>
      <c r="G122" s="664" t="s">
        <v>28</v>
      </c>
      <c r="H122" s="664"/>
    </row>
    <row r="123" spans="1:10" ht="69.95" customHeight="1" x14ac:dyDescent="0.3">
      <c r="A123" s="626" t="s">
        <v>29</v>
      </c>
      <c r="B123" s="627"/>
      <c r="C123" s="627"/>
      <c r="E123" s="627"/>
      <c r="F123" s="463"/>
      <c r="G123" s="628"/>
      <c r="H123" s="628"/>
    </row>
    <row r="124" spans="1:10" ht="69.95" customHeight="1" x14ac:dyDescent="0.3">
      <c r="A124" s="626" t="s">
        <v>30</v>
      </c>
      <c r="B124" s="629"/>
      <c r="C124" s="629"/>
      <c r="E124" s="629"/>
      <c r="F124" s="463"/>
      <c r="G124" s="630"/>
      <c r="H124" s="630"/>
    </row>
    <row r="125" spans="1:10" ht="18.75" x14ac:dyDescent="0.3">
      <c r="A125" s="561"/>
      <c r="B125" s="561"/>
      <c r="C125" s="562"/>
      <c r="D125" s="562"/>
      <c r="E125" s="562"/>
      <c r="F125" s="566"/>
      <c r="G125" s="562"/>
      <c r="H125" s="562"/>
      <c r="I125" s="463"/>
    </row>
    <row r="126" spans="1:10" ht="18.75" x14ac:dyDescent="0.3">
      <c r="A126" s="561"/>
      <c r="B126" s="561"/>
      <c r="C126" s="562"/>
      <c r="D126" s="562"/>
      <c r="E126" s="562"/>
      <c r="F126" s="566"/>
      <c r="G126" s="562"/>
      <c r="H126" s="562"/>
      <c r="I126" s="463"/>
    </row>
    <row r="127" spans="1:10" ht="18.75" x14ac:dyDescent="0.3">
      <c r="A127" s="561"/>
      <c r="B127" s="561"/>
      <c r="C127" s="562"/>
      <c r="D127" s="562"/>
      <c r="E127" s="562"/>
      <c r="F127" s="566"/>
      <c r="G127" s="562"/>
      <c r="H127" s="562"/>
      <c r="I127" s="463"/>
    </row>
    <row r="128" spans="1:10" ht="18.75" x14ac:dyDescent="0.3">
      <c r="A128" s="561"/>
      <c r="B128" s="561"/>
      <c r="C128" s="562"/>
      <c r="D128" s="562"/>
      <c r="E128" s="562"/>
      <c r="F128" s="566"/>
      <c r="G128" s="562"/>
      <c r="H128" s="562"/>
      <c r="I128" s="463"/>
    </row>
    <row r="129" spans="1:9" ht="18.75" x14ac:dyDescent="0.3">
      <c r="A129" s="561"/>
      <c r="B129" s="561"/>
      <c r="C129" s="562"/>
      <c r="D129" s="562"/>
      <c r="E129" s="562"/>
      <c r="F129" s="566"/>
      <c r="G129" s="562"/>
      <c r="H129" s="562"/>
      <c r="I129" s="463"/>
    </row>
    <row r="130" spans="1:9" ht="18.75" x14ac:dyDescent="0.3">
      <c r="A130" s="561"/>
      <c r="B130" s="561"/>
      <c r="C130" s="562"/>
      <c r="D130" s="562"/>
      <c r="E130" s="562"/>
      <c r="F130" s="566"/>
      <c r="G130" s="562"/>
      <c r="H130" s="562"/>
      <c r="I130" s="463"/>
    </row>
    <row r="131" spans="1:9" ht="18.75" x14ac:dyDescent="0.3">
      <c r="A131" s="561"/>
      <c r="B131" s="561"/>
      <c r="C131" s="562"/>
      <c r="D131" s="562"/>
      <c r="E131" s="562"/>
      <c r="F131" s="566"/>
      <c r="G131" s="562"/>
      <c r="H131" s="562"/>
      <c r="I131" s="463"/>
    </row>
    <row r="132" spans="1:9" ht="18.75" x14ac:dyDescent="0.3">
      <c r="A132" s="561"/>
      <c r="B132" s="561"/>
      <c r="C132" s="562"/>
      <c r="D132" s="562"/>
      <c r="E132" s="562"/>
      <c r="F132" s="566"/>
      <c r="G132" s="562"/>
      <c r="H132" s="562"/>
      <c r="I132" s="463"/>
    </row>
    <row r="133" spans="1:9" ht="18.75" x14ac:dyDescent="0.3">
      <c r="A133" s="561"/>
      <c r="B133" s="561"/>
      <c r="C133" s="562"/>
      <c r="D133" s="562"/>
      <c r="E133" s="562"/>
      <c r="F133" s="566"/>
      <c r="G133" s="562"/>
      <c r="H133" s="562"/>
      <c r="I133" s="463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EMT</vt:lpstr>
      <vt:lpstr>SST TDF</vt:lpstr>
      <vt:lpstr>SST EFAV</vt:lpstr>
      <vt:lpstr>Uniformity</vt:lpstr>
      <vt:lpstr>Emtricitabine</vt:lpstr>
      <vt:lpstr>Tenofovir Disoproxil Fumarate</vt:lpstr>
      <vt:lpstr>Efavirenz</vt:lpstr>
      <vt:lpstr>Efavirenz!Print_Area</vt:lpstr>
      <vt:lpstr>Emtricitabine!Print_Area</vt:lpstr>
      <vt:lpstr>'SST EFAV'!Print_Area</vt:lpstr>
      <vt:lpstr>'SST EMT'!Print_Area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2016-10-14T06:23:45Z</cp:lastPrinted>
  <dcterms:created xsi:type="dcterms:W3CDTF">2005-07-05T10:19:27Z</dcterms:created>
  <dcterms:modified xsi:type="dcterms:W3CDTF">2016-10-14T07:14:14Z</dcterms:modified>
</cp:coreProperties>
</file>