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0730" windowHeight="11685" activeTab="4"/>
  </bookViews>
  <sheets>
    <sheet name="Uniformity (2)" sheetId="9" r:id="rId1"/>
    <sheet name="SST A" sheetId="1" r:id="rId2"/>
    <sheet name="SST L" sheetId="7" r:id="rId3"/>
    <sheet name="Lumefantrine" sheetId="4" r:id="rId4"/>
    <sheet name="Artemether1" sheetId="8" r:id="rId5"/>
    <sheet name="Sheet3" sheetId="10" r:id="rId6"/>
  </sheets>
  <externalReferences>
    <externalReference r:id="rId7"/>
  </externalReferences>
  <definedNames>
    <definedName name="_xlnm.Print_Area" localSheetId="4">Artemether1!$A$1:$H$178</definedName>
    <definedName name="_xlnm.Print_Area" localSheetId="3">Lumefantrine!$A$1:$I$130</definedName>
    <definedName name="_xlnm.Print_Area" localSheetId="0">'Uniformity (2)'!$A$1:$F$54</definedName>
  </definedNames>
  <calcPr calcId="144525"/>
</workbook>
</file>

<file path=xl/calcChain.xml><?xml version="1.0" encoding="utf-8"?>
<calcChain xmlns="http://schemas.openxmlformats.org/spreadsheetml/2006/main">
  <c r="N18" i="10" l="1"/>
  <c r="O19" i="10"/>
  <c r="D68" i="4"/>
  <c r="D64" i="4"/>
  <c r="D60" i="4"/>
  <c r="B57" i="4"/>
  <c r="B57" i="8"/>
  <c r="C46" i="9"/>
  <c r="D50" i="9" s="1"/>
  <c r="C45" i="9"/>
  <c r="D29" i="9"/>
  <c r="C19" i="9"/>
  <c r="D37" i="9" l="1"/>
  <c r="D27" i="9"/>
  <c r="D35" i="9"/>
  <c r="D43" i="9"/>
  <c r="D28" i="9"/>
  <c r="D36" i="9"/>
  <c r="D30" i="9"/>
  <c r="D38" i="9"/>
  <c r="B49" i="9"/>
  <c r="D31" i="9"/>
  <c r="D39" i="9"/>
  <c r="C49" i="9"/>
  <c r="D24" i="9"/>
  <c r="D32" i="9"/>
  <c r="D40" i="9"/>
  <c r="D49" i="9"/>
  <c r="D25" i="9"/>
  <c r="D33" i="9"/>
  <c r="D41" i="9"/>
  <c r="C50" i="9"/>
  <c r="D26" i="9"/>
  <c r="D34" i="9"/>
  <c r="D42" i="9"/>
  <c r="C173" i="8" l="1"/>
  <c r="F166" i="8"/>
  <c r="E166" i="8"/>
  <c r="F165" i="8"/>
  <c r="E165" i="8"/>
  <c r="F164" i="8"/>
  <c r="E164" i="8"/>
  <c r="F163" i="8"/>
  <c r="E163" i="8"/>
  <c r="F162" i="8"/>
  <c r="E162" i="8"/>
  <c r="F161" i="8"/>
  <c r="E161" i="8"/>
  <c r="C156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C139" i="8"/>
  <c r="B135" i="8"/>
  <c r="C122" i="8"/>
  <c r="B118" i="8"/>
  <c r="D102" i="8" s="1"/>
  <c r="B100" i="8"/>
  <c r="D99" i="8"/>
  <c r="D100" i="8" s="1"/>
  <c r="D101" i="8" s="1"/>
  <c r="F97" i="8"/>
  <c r="D97" i="8"/>
  <c r="G96" i="8"/>
  <c r="E96" i="8"/>
  <c r="B89" i="8"/>
  <c r="F99" i="8" s="1"/>
  <c r="F100" i="8" s="1"/>
  <c r="B84" i="8"/>
  <c r="B83" i="8"/>
  <c r="B82" i="8"/>
  <c r="B81" i="8"/>
  <c r="B80" i="8"/>
  <c r="C76" i="8"/>
  <c r="H71" i="8"/>
  <c r="G71" i="8"/>
  <c r="B68" i="8"/>
  <c r="B69" i="8" s="1"/>
  <c r="H67" i="8"/>
  <c r="G67" i="8"/>
  <c r="H63" i="8"/>
  <c r="G63" i="8"/>
  <c r="C56" i="8"/>
  <c r="B55" i="8"/>
  <c r="B45" i="8"/>
  <c r="D48" i="8" s="1"/>
  <c r="F42" i="8"/>
  <c r="D42" i="8"/>
  <c r="G41" i="8"/>
  <c r="E41" i="8"/>
  <c r="B34" i="8"/>
  <c r="F44" i="8" s="1"/>
  <c r="F45" i="8" s="1"/>
  <c r="F46" i="8" s="1"/>
  <c r="B30" i="8"/>
  <c r="F101" i="8" l="1"/>
  <c r="D103" i="8"/>
  <c r="D104" i="8" s="1"/>
  <c r="F170" i="8"/>
  <c r="F151" i="8"/>
  <c r="F152" i="8" s="1"/>
  <c r="F168" i="8"/>
  <c r="F169" i="8" s="1"/>
  <c r="F153" i="8"/>
  <c r="G40" i="8"/>
  <c r="G39" i="8"/>
  <c r="D49" i="8"/>
  <c r="G38" i="8"/>
  <c r="G95" i="8"/>
  <c r="D44" i="8"/>
  <c r="D45" i="8" s="1"/>
  <c r="D46" i="8" s="1"/>
  <c r="E30" i="1"/>
  <c r="B53" i="7"/>
  <c r="E51" i="7"/>
  <c r="D51" i="7"/>
  <c r="C51" i="7"/>
  <c r="B51" i="7"/>
  <c r="B52" i="7" s="1"/>
  <c r="B32" i="7"/>
  <c r="B31" i="7"/>
  <c r="E30" i="7"/>
  <c r="D30" i="7"/>
  <c r="C30" i="7"/>
  <c r="B30" i="7"/>
  <c r="B21" i="7"/>
  <c r="B17" i="7"/>
  <c r="B17" i="1"/>
  <c r="B21" i="1"/>
  <c r="B19" i="1"/>
  <c r="E95" i="8" l="1"/>
  <c r="E94" i="8"/>
  <c r="G94" i="8"/>
  <c r="E93" i="8"/>
  <c r="G93" i="8"/>
  <c r="G173" i="8"/>
  <c r="G156" i="8"/>
  <c r="G42" i="8"/>
  <c r="E38" i="8"/>
  <c r="E39" i="8"/>
  <c r="E40" i="8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 s="1"/>
  <c r="B34" i="4"/>
  <c r="D44" i="4" s="1"/>
  <c r="B30" i="4"/>
  <c r="B53" i="1"/>
  <c r="E51" i="1"/>
  <c r="D51" i="1"/>
  <c r="C51" i="1"/>
  <c r="B51" i="1"/>
  <c r="B52" i="1" s="1"/>
  <c r="B32" i="1"/>
  <c r="D30" i="1"/>
  <c r="C30" i="1"/>
  <c r="B30" i="1"/>
  <c r="B31" i="1" s="1"/>
  <c r="G97" i="8" l="1"/>
  <c r="D107" i="8"/>
  <c r="D105" i="8"/>
  <c r="D106" i="8" s="1"/>
  <c r="E97" i="8"/>
  <c r="I92" i="4"/>
  <c r="E131" i="8"/>
  <c r="F131" i="8" s="1"/>
  <c r="E127" i="8"/>
  <c r="F127" i="8" s="1"/>
  <c r="E130" i="8"/>
  <c r="F130" i="8" s="1"/>
  <c r="E129" i="8"/>
  <c r="F129" i="8" s="1"/>
  <c r="E132" i="8"/>
  <c r="F132" i="8" s="1"/>
  <c r="E128" i="8"/>
  <c r="F128" i="8" s="1"/>
  <c r="D50" i="8"/>
  <c r="D52" i="8"/>
  <c r="E42" i="8"/>
  <c r="D101" i="4"/>
  <c r="D97" i="4"/>
  <c r="D98" i="4" s="1"/>
  <c r="D99" i="4" s="1"/>
  <c r="F44" i="4"/>
  <c r="F45" i="4" s="1"/>
  <c r="F98" i="4"/>
  <c r="F99" i="4" s="1"/>
  <c r="D49" i="4"/>
  <c r="B69" i="4"/>
  <c r="D45" i="4"/>
  <c r="D46" i="4" s="1"/>
  <c r="E114" i="8" l="1"/>
  <c r="F114" i="8" s="1"/>
  <c r="E113" i="8"/>
  <c r="F113" i="8" s="1"/>
  <c r="E111" i="8"/>
  <c r="F111" i="8" s="1"/>
  <c r="E112" i="8"/>
  <c r="F112" i="8" s="1"/>
  <c r="E115" i="8"/>
  <c r="F115" i="8" s="1"/>
  <c r="E110" i="8"/>
  <c r="F110" i="8" s="1"/>
  <c r="E91" i="4"/>
  <c r="G65" i="8"/>
  <c r="H65" i="8" s="1"/>
  <c r="G61" i="8"/>
  <c r="H61" i="8" s="1"/>
  <c r="D51" i="8"/>
  <c r="G68" i="8"/>
  <c r="H68" i="8" s="1"/>
  <c r="G64" i="8"/>
  <c r="H64" i="8" s="1"/>
  <c r="G60" i="8"/>
  <c r="H60" i="8" s="1"/>
  <c r="G69" i="8"/>
  <c r="H69" i="8" s="1"/>
  <c r="G66" i="8"/>
  <c r="H66" i="8" s="1"/>
  <c r="G70" i="8"/>
  <c r="H70" i="8" s="1"/>
  <c r="G62" i="8"/>
  <c r="H62" i="8" s="1"/>
  <c r="F136" i="8"/>
  <c r="F134" i="8"/>
  <c r="D102" i="4"/>
  <c r="E92" i="4"/>
  <c r="E93" i="4"/>
  <c r="E94" i="4"/>
  <c r="G94" i="4"/>
  <c r="F46" i="4"/>
  <c r="G39" i="4"/>
  <c r="G41" i="4"/>
  <c r="G38" i="4"/>
  <c r="G40" i="4"/>
  <c r="E41" i="4"/>
  <c r="G92" i="4"/>
  <c r="G91" i="4"/>
  <c r="G93" i="4"/>
  <c r="E39" i="4"/>
  <c r="E40" i="4"/>
  <c r="E38" i="4"/>
  <c r="F119" i="8" l="1"/>
  <c r="F117" i="8"/>
  <c r="G122" i="8" s="1"/>
  <c r="H72" i="8"/>
  <c r="H74" i="8"/>
  <c r="F135" i="8"/>
  <c r="G139" i="8"/>
  <c r="E95" i="4"/>
  <c r="D105" i="4"/>
  <c r="D103" i="4"/>
  <c r="E111" i="4" s="1"/>
  <c r="F111" i="4" s="1"/>
  <c r="G42" i="4"/>
  <c r="G95" i="4"/>
  <c r="E42" i="4"/>
  <c r="D52" i="4"/>
  <c r="D50" i="4"/>
  <c r="F118" i="8" l="1"/>
  <c r="G76" i="8"/>
  <c r="H73" i="8"/>
  <c r="E108" i="4"/>
  <c r="E112" i="4"/>
  <c r="F112" i="4" s="1"/>
  <c r="E109" i="4"/>
  <c r="F109" i="4" s="1"/>
  <c r="E113" i="4"/>
  <c r="F113" i="4" s="1"/>
  <c r="E110" i="4"/>
  <c r="F110" i="4" s="1"/>
  <c r="D104" i="4"/>
  <c r="G70" i="4"/>
  <c r="H70" i="4" s="1"/>
  <c r="G67" i="4"/>
  <c r="H67" i="4" s="1"/>
  <c r="G63" i="4"/>
  <c r="H63" i="4" s="1"/>
  <c r="G69" i="4"/>
  <c r="H69" i="4" s="1"/>
  <c r="G62" i="4"/>
  <c r="H62" i="4" s="1"/>
  <c r="G65" i="4"/>
  <c r="H65" i="4" s="1"/>
  <c r="G66" i="4"/>
  <c r="H66" i="4" s="1"/>
  <c r="G61" i="4"/>
  <c r="H61" i="4" s="1"/>
  <c r="D51" i="4"/>
  <c r="G60" i="4"/>
  <c r="G71" i="4"/>
  <c r="H71" i="4" s="1"/>
  <c r="G64" i="4"/>
  <c r="H64" i="4" s="1"/>
  <c r="G68" i="4"/>
  <c r="H68" i="4" s="1"/>
  <c r="E120" i="4" l="1"/>
  <c r="E119" i="4"/>
  <c r="E115" i="4"/>
  <c r="E116" i="4" s="1"/>
  <c r="F108" i="4"/>
  <c r="D125" i="4" s="1"/>
  <c r="E117" i="4"/>
  <c r="G74" i="4"/>
  <c r="G72" i="4"/>
  <c r="G73" i="4" s="1"/>
  <c r="H60" i="4"/>
  <c r="F120" i="4" l="1"/>
  <c r="F117" i="4"/>
  <c r="F125" i="4"/>
  <c r="F119" i="4"/>
  <c r="F115" i="4"/>
  <c r="F116" i="4" s="1"/>
  <c r="H74" i="4"/>
  <c r="H72" i="4"/>
  <c r="G124" i="4" l="1"/>
  <c r="H73" i="4"/>
  <c r="G76" i="4"/>
</calcChain>
</file>

<file path=xl/sharedStrings.xml><?xml version="1.0" encoding="utf-8"?>
<sst xmlns="http://schemas.openxmlformats.org/spreadsheetml/2006/main" count="511" uniqueCount="153">
  <si>
    <t>HPLC System Suitability Report</t>
  </si>
  <si>
    <t>Analysis Data</t>
  </si>
  <si>
    <t>Assay</t>
  </si>
  <si>
    <t>Sample(s)</t>
  </si>
  <si>
    <t>Reference Substance:</t>
  </si>
  <si>
    <t>COARTEM 20 mg/ 120 mg Tablets</t>
  </si>
  <si>
    <t>% age Purity:</t>
  </si>
  <si>
    <t>NDQA201511470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</si>
  <si>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</si>
  <si>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</si>
  <si>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</si>
  <si>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</si>
  <si>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</si>
  <si>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</si>
  <si>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</si>
  <si>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</si>
  <si>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</si>
  <si>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</si>
  <si>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</si>
  <si>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</si>
  <si>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</si>
  <si>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</si>
  <si>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</si>
  <si>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</si>
  <si>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</si>
  <si>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</si>
  <si>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</si>
  <si>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</si>
  <si>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</si>
  <si>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</si>
  <si>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</si>
  <si>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</si>
  <si>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</si>
  <si>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</si>
  <si>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</si>
  <si>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</si>
  <si>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</si>
  <si>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</si>
  <si>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</si>
  <si>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</si>
  <si>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</si>
  <si>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</si>
  <si>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</si>
  <si>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</si>
  <si>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</si>
  <si>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</si>
  <si>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</si>
  <si>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</si>
  <si>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</si>
  <si>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</si>
  <si>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</si>
  <si>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</si>
  <si>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</si>
  <si>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</si>
  <si>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</si>
  <si>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</si>
  <si>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</si>
  <si>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</si>
  <si>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</si>
  <si>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</si>
  <si>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</si>
  <si>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</si>
  <si>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</si>
  <si>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</si>
  <si>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</si>
  <si>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</si>
  <si>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</si>
  <si>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</si>
  <si>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</si>
  <si>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</si>
  <si>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</si>
  <si>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</si>
  <si>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</si>
  <si>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</si>
  <si>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</si>
  <si>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</si>
  <si>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</si>
  <si>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</si>
  <si>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</si>
  <si>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</si>
  <si>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</si>
  <si>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</si>
  <si>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</si>
  <si>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</si>
  <si>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</si>
  <si>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</si>
  <si>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</si>
  <si>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</si>
  <si>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</si>
  <si>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</si>
  <si>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</si>
  <si>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</si>
  <si>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</si>
  <si>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</si>
  <si>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</si>
  <si>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</si>
  <si>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</si>
  <si>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</si>
  <si>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</si>
  <si>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</si>
  <si>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</si>
  <si>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</si>
  <si>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</si>
  <si>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</si>
  <si>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</si>
  <si>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</si>
  <si>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</si>
  <si>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</si>
  <si>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</si>
  <si>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</si>
  <si>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</si>
  <si>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</si>
  <si>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</si>
  <si>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</si>
  <si>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</si>
  <si>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</si>
  <si>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</si>
  <si>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</si>
  <si>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</si>
  <si>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</si>
  <si>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</si>
  <si>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</si>
  <si>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</si>
  <si>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</si>
  <si>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</si>
  <si>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</si>
  <si>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</si>
  <si>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</si>
  <si>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Artemether</t>
  </si>
  <si>
    <t>Lumefantrine</t>
  </si>
  <si>
    <t xml:space="preserve"> Lumefantrine</t>
  </si>
  <si>
    <t xml:space="preserve"> lumefantrine 120 mg</t>
  </si>
  <si>
    <t>L1 0</t>
  </si>
  <si>
    <t>A5 5</t>
  </si>
  <si>
    <t>LARTEM DS</t>
  </si>
  <si>
    <t>NDQD201603840</t>
  </si>
  <si>
    <t>Each tablets contains 40mg Artemether</t>
  </si>
  <si>
    <t>Initial    Standard dilution</t>
  </si>
  <si>
    <t>Inj</t>
  </si>
  <si>
    <t>Desired Concetration (mg/mL):</t>
  </si>
  <si>
    <t>Each tablet contains</t>
  </si>
  <si>
    <t>Average tablet Content Weight (mg):</t>
  </si>
  <si>
    <t>Initial    Sample dilution</t>
  </si>
  <si>
    <t>Comment</t>
  </si>
  <si>
    <t xml:space="preserve">I the sample as a percentage of the stated  label claim is </t>
  </si>
  <si>
    <t>Analysis Data:</t>
  </si>
  <si>
    <t>Determination of Active Ingredient Dissolved after</t>
  </si>
  <si>
    <t>tablet No.</t>
  </si>
  <si>
    <t>LARTEM DS TABLETS</t>
  </si>
  <si>
    <t>Artemether 400mg, Lumefantrine 240mg</t>
  </si>
  <si>
    <t>2016-04-01 12:52:55</t>
  </si>
  <si>
    <t>Bugigi</t>
  </si>
  <si>
    <t>4/1/2017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</si>
</sst>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sz val="10"/>
      <color rgb="FF000000"/>
      <name val="Arial"/>
    </font>
    <font>
      <b/>
      <i/>
      <sz val="12"/>
      <color rgb="FF000000"/>
      <name val="Book Antiqua"/>
    </font>
    <font>
      <b/>
      <u/>
      <sz val="2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6" fillId="2" borderId="0"/>
    <xf numFmtId="0" fontId="26" fillId="2" borderId="0"/>
    <xf numFmtId="0" fontId="26" fillId="2" borderId="0"/>
  </cellStyleXfs>
  <cellXfs count="5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5" fillId="2" borderId="0" xfId="0" applyFont="1" applyFill="1"/>
    <xf numFmtId="0" fontId="2" fillId="2" borderId="0" xfId="1" applyFont="1" applyFill="1"/>
    <xf numFmtId="0" fontId="3" fillId="2" borderId="0" xfId="1" applyFont="1" applyFill="1"/>
    <xf numFmtId="0" fontId="26" fillId="2" borderId="0" xfId="1" applyFill="1"/>
    <xf numFmtId="0" fontId="12" fillId="2" borderId="0" xfId="1" applyFont="1" applyFill="1"/>
    <xf numFmtId="0" fontId="12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Alignment="1" applyProtection="1">
      <alignment horizontal="left"/>
      <protection locked="0"/>
    </xf>
    <xf numFmtId="0" fontId="11" fillId="2" borderId="0" xfId="1" applyFont="1" applyFill="1"/>
    <xf numFmtId="0" fontId="11" fillId="3" borderId="0" xfId="1" applyFont="1" applyFill="1" applyProtection="1">
      <protection locked="0"/>
    </xf>
    <xf numFmtId="169" fontId="11" fillId="3" borderId="0" xfId="1" applyNumberFormat="1" applyFont="1" applyFill="1" applyAlignment="1" applyProtection="1">
      <alignment horizontal="left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left"/>
      <protection locked="0"/>
    </xf>
    <xf numFmtId="0" fontId="11" fillId="3" borderId="0" xfId="1" applyFont="1" applyFill="1"/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5" fillId="2" borderId="0" xfId="1" applyFont="1" applyFill="1"/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24" xfId="1" applyFont="1" applyFill="1" applyBorder="1" applyAlignment="1">
      <alignment horizontal="right"/>
    </xf>
    <xf numFmtId="1" fontId="12" fillId="6" borderId="53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" fontId="12" fillId="6" borderId="37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6" borderId="41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6" borderId="17" xfId="1" applyNumberFormat="1" applyFont="1" applyFill="1" applyBorder="1" applyAlignment="1">
      <alignment horizontal="center"/>
    </xf>
    <xf numFmtId="0" fontId="13" fillId="3" borderId="27" xfId="1" applyFont="1" applyFill="1" applyBorder="1" applyAlignment="1" applyProtection="1">
      <alignment horizontal="center"/>
      <protection locked="0"/>
    </xf>
    <xf numFmtId="1" fontId="11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1" fillId="6" borderId="41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1" fillId="7" borderId="17" xfId="1" applyFont="1" applyFill="1" applyBorder="1" applyAlignment="1">
      <alignment horizontal="center"/>
    </xf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2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2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2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2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2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2" fillId="2" borderId="24" xfId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2" fontId="11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10" fontId="13" fillId="7" borderId="33" xfId="1" applyNumberFormat="1" applyFont="1" applyFill="1" applyBorder="1" applyAlignment="1">
      <alignment horizontal="center"/>
    </xf>
    <xf numFmtId="10" fontId="13" fillId="6" borderId="54" xfId="1" applyNumberFormat="1" applyFont="1" applyFill="1" applyBorder="1" applyAlignment="1">
      <alignment horizontal="center"/>
    </xf>
    <xf numFmtId="0" fontId="13" fillId="7" borderId="46" xfId="1" applyFont="1" applyFill="1" applyBorder="1" applyAlignment="1">
      <alignment horizontal="center"/>
    </xf>
    <xf numFmtId="165" fontId="12" fillId="2" borderId="0" xfId="1" applyNumberFormat="1" applyFont="1" applyFill="1" applyAlignment="1">
      <alignment horizontal="center"/>
    </xf>
    <xf numFmtId="0" fontId="28" fillId="3" borderId="0" xfId="1" applyFont="1" applyFill="1" applyAlignment="1" applyProtection="1">
      <alignment horizontal="center"/>
      <protection locked="0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" fontId="12" fillId="6" borderId="15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2" fillId="2" borderId="0" xfId="1" applyFont="1" applyFill="1" applyAlignment="1">
      <alignment horizontal="center" wrapText="1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7" xfId="1" applyFont="1" applyFill="1" applyBorder="1" applyAlignment="1">
      <alignment horizontal="center"/>
    </xf>
    <xf numFmtId="0" fontId="12" fillId="2" borderId="58" xfId="1" applyFont="1" applyFill="1" applyBorder="1"/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2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2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2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2" fillId="2" borderId="0" xfId="1" applyNumberFormat="1" applyFont="1" applyFill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10" fontId="12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6" xfId="1" applyFont="1" applyFill="1" applyBorder="1"/>
    <xf numFmtId="10" fontId="12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9" xfId="1" applyFont="1" applyFill="1" applyBorder="1" applyAlignment="1">
      <alignment horizontal="center"/>
    </xf>
    <xf numFmtId="0" fontId="11" fillId="2" borderId="60" xfId="1" applyFont="1" applyFill="1" applyBorder="1" applyAlignment="1">
      <alignment horizontal="right"/>
    </xf>
    <xf numFmtId="2" fontId="11" fillId="2" borderId="4" xfId="1" applyNumberFormat="1" applyFont="1" applyFill="1" applyBorder="1" applyAlignment="1">
      <alignment horizontal="center"/>
    </xf>
    <xf numFmtId="10" fontId="11" fillId="2" borderId="28" xfId="1" applyNumberFormat="1" applyFont="1" applyFill="1" applyBorder="1" applyAlignment="1">
      <alignment horizontal="center"/>
    </xf>
    <xf numFmtId="2" fontId="11" fillId="2" borderId="3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/>
    </xf>
    <xf numFmtId="2" fontId="11" fillId="2" borderId="5" xfId="1" applyNumberFormat="1" applyFont="1" applyFill="1" applyBorder="1" applyAlignment="1">
      <alignment horizontal="center"/>
    </xf>
    <xf numFmtId="10" fontId="11" fillId="2" borderId="33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10" fontId="13" fillId="6" borderId="27" xfId="1" applyNumberFormat="1" applyFont="1" applyFill="1" applyBorder="1" applyAlignment="1">
      <alignment horizontal="center"/>
    </xf>
    <xf numFmtId="0" fontId="13" fillId="7" borderId="17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 applyProtection="1">
      <protection locked="0"/>
    </xf>
    <xf numFmtId="0" fontId="11" fillId="2" borderId="7" xfId="1" applyFont="1" applyFill="1" applyBorder="1"/>
    <xf numFmtId="0" fontId="12" fillId="2" borderId="11" xfId="1" applyFont="1" applyFill="1" applyBorder="1" applyProtection="1">
      <protection locked="0"/>
    </xf>
    <xf numFmtId="0" fontId="12" fillId="2" borderId="11" xfId="1" applyFont="1" applyFill="1" applyBorder="1"/>
    <xf numFmtId="0" fontId="11" fillId="2" borderId="11" xfId="1" applyFont="1" applyFill="1" applyBorder="1"/>
    <xf numFmtId="0" fontId="1" fillId="2" borderId="0" xfId="3" applyFont="1" applyFill="1"/>
    <xf numFmtId="0" fontId="10" fillId="2" borderId="0" xfId="3" applyFont="1" applyFill="1" applyAlignment="1">
      <alignment wrapText="1"/>
    </xf>
    <xf numFmtId="0" fontId="4" fillId="2" borderId="0" xfId="3" applyFont="1" applyFill="1"/>
    <xf numFmtId="0" fontId="6" fillId="2" borderId="0" xfId="3" applyFont="1" applyFill="1"/>
    <xf numFmtId="167" fontId="6" fillId="2" borderId="0" xfId="3" applyNumberFormat="1" applyFont="1" applyFill="1" applyAlignment="1">
      <alignment horizontal="center"/>
    </xf>
    <xf numFmtId="0" fontId="5" fillId="2" borderId="0" xfId="3" applyFont="1" applyFill="1" applyAlignment="1">
      <alignment horizontal="right"/>
    </xf>
    <xf numFmtId="167" fontId="6" fillId="2" borderId="0" xfId="3" applyNumberFormat="1" applyFont="1" applyFill="1"/>
    <xf numFmtId="0" fontId="4" fillId="2" borderId="0" xfId="3" applyFont="1" applyFill="1" applyAlignment="1">
      <alignment horizontal="left"/>
    </xf>
    <xf numFmtId="0" fontId="9" fillId="2" borderId="0" xfId="3" applyFont="1" applyFill="1"/>
    <xf numFmtId="164" fontId="1" fillId="2" borderId="0" xfId="3" applyNumberFormat="1" applyFont="1" applyFill="1"/>
    <xf numFmtId="164" fontId="5" fillId="2" borderId="12" xfId="3" applyNumberFormat="1" applyFont="1" applyFill="1" applyBorder="1" applyAlignment="1">
      <alignment horizontal="center" wrapText="1"/>
    </xf>
    <xf numFmtId="0" fontId="5" fillId="2" borderId="12" xfId="3" applyFont="1" applyFill="1" applyBorder="1" applyAlignment="1">
      <alignment horizontal="center" wrapText="1"/>
    </xf>
    <xf numFmtId="0" fontId="2" fillId="2" borderId="0" xfId="3" applyFont="1" applyFill="1" applyAlignment="1">
      <alignment horizontal="center"/>
    </xf>
    <xf numFmtId="2" fontId="6" fillId="3" borderId="14" xfId="3" applyNumberFormat="1" applyFont="1" applyFill="1" applyBorder="1" applyProtection="1">
      <protection locked="0"/>
    </xf>
    <xf numFmtId="10" fontId="6" fillId="2" borderId="13" xfId="3" applyNumberFormat="1" applyFont="1" applyFill="1" applyBorder="1" applyAlignment="1">
      <alignment horizontal="center"/>
    </xf>
    <xf numFmtId="10" fontId="6" fillId="2" borderId="0" xfId="3" applyNumberFormat="1" applyFont="1" applyFill="1" applyAlignment="1">
      <alignment horizontal="center"/>
    </xf>
    <xf numFmtId="10" fontId="6" fillId="2" borderId="14" xfId="3" applyNumberFormat="1" applyFont="1" applyFill="1" applyBorder="1" applyAlignment="1">
      <alignment horizontal="center"/>
    </xf>
    <xf numFmtId="2" fontId="6" fillId="3" borderId="15" xfId="3" applyNumberFormat="1" applyFont="1" applyFill="1" applyBorder="1" applyProtection="1">
      <protection locked="0"/>
    </xf>
    <xf numFmtId="10" fontId="6" fillId="2" borderId="15" xfId="3" applyNumberFormat="1" applyFont="1" applyFill="1" applyBorder="1" applyAlignment="1">
      <alignment horizontal="center"/>
    </xf>
    <xf numFmtId="166" fontId="2" fillId="2" borderId="0" xfId="3" applyNumberFormat="1" applyFont="1" applyFill="1" applyAlignment="1">
      <alignment horizontal="center"/>
    </xf>
    <xf numFmtId="10" fontId="2" fillId="2" borderId="0" xfId="3" applyNumberFormat="1" applyFont="1" applyFill="1" applyAlignment="1">
      <alignment horizontal="center"/>
    </xf>
    <xf numFmtId="0" fontId="6" fillId="2" borderId="12" xfId="3" applyFont="1" applyFill="1" applyBorder="1" applyAlignment="1">
      <alignment horizontal="right" vertical="center"/>
    </xf>
    <xf numFmtId="166" fontId="6" fillId="2" borderId="12" xfId="3" applyNumberFormat="1" applyFont="1" applyFill="1" applyBorder="1" applyAlignment="1">
      <alignment horizontal="center" vertical="center"/>
    </xf>
    <xf numFmtId="166" fontId="6" fillId="2" borderId="0" xfId="3" applyNumberFormat="1" applyFont="1" applyFill="1" applyAlignment="1">
      <alignment horizontal="center"/>
    </xf>
    <xf numFmtId="164" fontId="5" fillId="2" borderId="12" xfId="3" applyNumberFormat="1" applyFont="1" applyFill="1" applyBorder="1" applyAlignment="1">
      <alignment horizontal="center" vertical="center"/>
    </xf>
    <xf numFmtId="2" fontId="8" fillId="2" borderId="0" xfId="3" applyNumberFormat="1" applyFont="1" applyFill="1" applyAlignment="1">
      <alignment horizontal="right"/>
    </xf>
    <xf numFmtId="2" fontId="5" fillId="2" borderId="0" xfId="3" applyNumberFormat="1" applyFont="1" applyFill="1"/>
    <xf numFmtId="2" fontId="8" fillId="2" borderId="0" xfId="3" applyNumberFormat="1" applyFont="1" applyFill="1"/>
    <xf numFmtId="0" fontId="5" fillId="2" borderId="12" xfId="3" applyFont="1" applyFill="1" applyBorder="1" applyAlignment="1">
      <alignment horizontal="center" vertical="center"/>
    </xf>
    <xf numFmtId="10" fontId="2" fillId="2" borderId="0" xfId="3" applyNumberFormat="1" applyFont="1" applyFill="1"/>
    <xf numFmtId="165" fontId="5" fillId="2" borderId="16" xfId="3" applyNumberFormat="1" applyFont="1" applyFill="1" applyBorder="1" applyAlignment="1">
      <alignment horizontal="center"/>
    </xf>
    <xf numFmtId="2" fontId="5" fillId="2" borderId="12" xfId="3" applyNumberFormat="1" applyFont="1" applyFill="1" applyBorder="1" applyAlignment="1">
      <alignment horizontal="center" vertical="center"/>
    </xf>
    <xf numFmtId="165" fontId="5" fillId="2" borderId="17" xfId="3" applyNumberFormat="1" applyFont="1" applyFill="1" applyBorder="1" applyAlignment="1">
      <alignment horizontal="center"/>
    </xf>
    <xf numFmtId="0" fontId="6" fillId="2" borderId="9" xfId="3" applyFont="1" applyFill="1" applyBorder="1"/>
    <xf numFmtId="0" fontId="6" fillId="2" borderId="0" xfId="3" applyFont="1" applyFill="1" applyAlignment="1">
      <alignment horizontal="center"/>
    </xf>
    <xf numFmtId="10" fontId="6" fillId="2" borderId="9" xfId="3" applyNumberFormat="1" applyFont="1" applyFill="1" applyBorder="1"/>
    <xf numFmtId="0" fontId="5" fillId="2" borderId="10" xfId="3" applyFont="1" applyFill="1" applyBorder="1"/>
    <xf numFmtId="0" fontId="5" fillId="2" borderId="10" xfId="3" applyFont="1" applyFill="1" applyBorder="1" applyAlignment="1">
      <alignment horizontal="center"/>
    </xf>
    <xf numFmtId="0" fontId="6" fillId="2" borderId="10" xfId="3" applyFont="1" applyFill="1" applyBorder="1" applyAlignment="1">
      <alignment horizontal="center"/>
    </xf>
    <xf numFmtId="0" fontId="6" fillId="2" borderId="7" xfId="3" applyFont="1" applyFill="1" applyBorder="1"/>
    <xf numFmtId="0" fontId="5" fillId="2" borderId="11" xfId="3" applyFont="1" applyFill="1" applyBorder="1"/>
    <xf numFmtId="0" fontId="5" fillId="2" borderId="0" xfId="3" applyFont="1" applyFill="1"/>
    <xf numFmtId="0" fontId="6" fillId="2" borderId="11" xfId="3" applyFont="1" applyFill="1" applyBorder="1"/>
    <xf numFmtId="0" fontId="26" fillId="2" borderId="0" xfId="3" applyFill="1"/>
    <xf numFmtId="0" fontId="5" fillId="2" borderId="0" xfId="3" applyFont="1" applyFill="1" applyAlignment="1">
      <alignment horizontal="right"/>
    </xf>
    <xf numFmtId="0" fontId="4" fillId="2" borderId="0" xfId="3" applyFont="1" applyFill="1" applyAlignment="1">
      <alignment horizontal="center"/>
    </xf>
    <xf numFmtId="164" fontId="1" fillId="2" borderId="0" xfId="3" applyNumberFormat="1" applyFont="1" applyFill="1" applyAlignment="1">
      <alignment horizontal="center"/>
    </xf>
    <xf numFmtId="166" fontId="5" fillId="2" borderId="13" xfId="3" applyNumberFormat="1" applyFont="1" applyFill="1" applyBorder="1" applyAlignment="1">
      <alignment horizontal="center" vertical="center"/>
    </xf>
    <xf numFmtId="166" fontId="5" fillId="2" borderId="15" xfId="3" applyNumberFormat="1" applyFont="1" applyFill="1" applyBorder="1" applyAlignment="1">
      <alignment horizontal="center" vertical="center"/>
    </xf>
    <xf numFmtId="0" fontId="10" fillId="2" borderId="18" xfId="3" applyFont="1" applyFill="1" applyBorder="1" applyAlignment="1">
      <alignment horizontal="center" wrapText="1"/>
    </xf>
    <xf numFmtId="0" fontId="10" fillId="2" borderId="19" xfId="3" applyFont="1" applyFill="1" applyBorder="1" applyAlignment="1">
      <alignment horizontal="center" wrapText="1"/>
    </xf>
    <xf numFmtId="0" fontId="10" fillId="2" borderId="20" xfId="3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27" fillId="2" borderId="18" xfId="1" applyFont="1" applyFill="1" applyBorder="1" applyAlignment="1">
      <alignment horizontal="center"/>
    </xf>
    <xf numFmtId="0" fontId="27" fillId="2" borderId="19" xfId="1" applyFont="1" applyFill="1" applyBorder="1" applyAlignment="1">
      <alignment horizontal="center"/>
    </xf>
    <xf numFmtId="0" fontId="27" fillId="2" borderId="20" xfId="1" applyFont="1" applyFill="1" applyBorder="1" applyAlignment="1">
      <alignment horizontal="center"/>
    </xf>
    <xf numFmtId="0" fontId="12" fillId="3" borderId="0" xfId="1" applyFont="1" applyFill="1" applyAlignment="1" applyProtection="1">
      <alignment horizontal="left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NDQD20160166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A"/>
      <sheetName val="Artemether"/>
      <sheetName val="Uniformity"/>
      <sheetName val="SST L"/>
      <sheetName val="Lumefantrine"/>
    </sheetNames>
    <sheetDataSet>
      <sheetData sheetId="0"/>
      <sheetData sheetId="1">
        <row r="28">
          <cell r="B28">
            <v>99.65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B53" sqref="B53"/>
    </sheetView>
  </sheetViews>
  <sheetFormatPr defaultRowHeight="15" x14ac:dyDescent="0.3"/>
  <cols>
    <col min="1" max="1" width="15.5703125" style="410" customWidth="1"/>
    <col min="2" max="2" width="18.42578125" style="410" customWidth="1"/>
    <col min="3" max="3" width="14.28515625" style="410" customWidth="1"/>
    <col min="4" max="4" width="15" style="410" customWidth="1"/>
    <col min="5" max="5" width="9.140625" style="410" customWidth="1"/>
    <col min="6" max="6" width="27.85546875" style="410" customWidth="1"/>
    <col min="7" max="7" width="12.28515625" style="410" customWidth="1"/>
    <col min="8" max="8" width="9.140625" style="410" customWidth="1"/>
    <col min="9" max="16384" width="9.140625" style="453"/>
  </cols>
  <sheetData>
    <row r="10" spans="1:7" ht="13.5" customHeight="1" thickBot="1" x14ac:dyDescent="0.35"/>
    <row r="11" spans="1:7" ht="13.5" customHeight="1" thickBot="1" x14ac:dyDescent="0.35">
      <c r="A11" s="459" t="s">
        <v>28</v>
      </c>
      <c r="B11" s="460"/>
      <c r="C11" s="460"/>
      <c r="D11" s="460"/>
      <c r="E11" s="460"/>
      <c r="F11" s="461"/>
      <c r="G11" s="411"/>
    </row>
    <row r="12" spans="1:7" ht="16.5" customHeight="1" x14ac:dyDescent="0.3">
      <c r="A12" s="455" t="s">
        <v>29</v>
      </c>
      <c r="B12" s="455"/>
      <c r="C12" s="455"/>
      <c r="D12" s="455"/>
      <c r="E12" s="455"/>
      <c r="F12" s="455"/>
      <c r="G12" s="412"/>
    </row>
    <row r="14" spans="1:7" ht="16.5" customHeight="1" x14ac:dyDescent="0.3">
      <c r="A14" s="454" t="s">
        <v>30</v>
      </c>
      <c r="B14" s="454"/>
      <c r="C14" s="413" t="s">
        <v>148</v>
      </c>
    </row>
    <row r="15" spans="1:7" ht="16.5" customHeight="1" x14ac:dyDescent="0.3">
      <c r="A15" s="454" t="s">
        <v>31</v>
      </c>
      <c r="B15" s="454"/>
      <c r="C15" s="413" t="s">
        <v>135</v>
      </c>
    </row>
    <row r="16" spans="1:7" ht="16.5" customHeight="1" x14ac:dyDescent="0.3">
      <c r="A16" s="454" t="s">
        <v>32</v>
      </c>
      <c r="B16" s="454"/>
      <c r="C16" s="413" t="s">
        <v>149</v>
      </c>
    </row>
    <row r="17" spans="1:5" ht="16.5" customHeight="1" x14ac:dyDescent="0.3">
      <c r="A17" s="454" t="s">
        <v>33</v>
      </c>
      <c r="B17" s="454"/>
      <c r="C17" s="413" t="s">
        <v>149</v>
      </c>
    </row>
    <row r="18" spans="1:5" ht="16.5" customHeight="1" x14ac:dyDescent="0.3">
      <c r="A18" s="454" t="s">
        <v>34</v>
      </c>
      <c r="B18" s="454"/>
      <c r="C18" s="414" t="s">
        <v>150</v>
      </c>
    </row>
    <row r="19" spans="1:5" ht="16.5" customHeight="1" x14ac:dyDescent="0.3">
      <c r="A19" s="454" t="s">
        <v>35</v>
      </c>
      <c r="B19" s="454"/>
      <c r="C19" s="414" t="e">
        <f>#REF!</f>
        <v>#REF!</v>
      </c>
    </row>
    <row r="20" spans="1:5" ht="16.5" customHeight="1" x14ac:dyDescent="0.3">
      <c r="A20" s="415"/>
      <c r="B20" s="415"/>
      <c r="C20" s="416"/>
    </row>
    <row r="21" spans="1:5" ht="16.5" customHeight="1" x14ac:dyDescent="0.3">
      <c r="A21" s="455" t="s">
        <v>1</v>
      </c>
      <c r="B21" s="455"/>
      <c r="C21" s="417" t="s">
        <v>36</v>
      </c>
      <c r="D21" s="418"/>
    </row>
    <row r="22" spans="1:5" ht="15.75" customHeight="1" thickBot="1" x14ac:dyDescent="0.35">
      <c r="A22" s="456"/>
      <c r="B22" s="456"/>
      <c r="C22" s="419"/>
      <c r="D22" s="456"/>
      <c r="E22" s="456"/>
    </row>
    <row r="23" spans="1:5" ht="33.75" customHeight="1" thickBot="1" x14ac:dyDescent="0.35">
      <c r="C23" s="420" t="s">
        <v>37</v>
      </c>
      <c r="D23" s="421" t="s">
        <v>38</v>
      </c>
      <c r="E23" s="422"/>
    </row>
    <row r="24" spans="1:5" ht="15.75" customHeight="1" x14ac:dyDescent="0.3">
      <c r="C24" s="423">
        <v>415.32</v>
      </c>
      <c r="D24" s="424">
        <f t="shared" ref="D24:D43" si="0">(C24-$C$46)/$C$46</f>
        <v>5.9387072410073383E-4</v>
      </c>
      <c r="E24" s="425"/>
    </row>
    <row r="25" spans="1:5" ht="15.75" customHeight="1" x14ac:dyDescent="0.3">
      <c r="C25" s="423">
        <v>408.28</v>
      </c>
      <c r="D25" s="426">
        <f t="shared" si="0"/>
        <v>-1.6366980787739991E-2</v>
      </c>
      <c r="E25" s="425"/>
    </row>
    <row r="26" spans="1:5" ht="15.75" customHeight="1" x14ac:dyDescent="0.3">
      <c r="C26" s="423">
        <v>413.08</v>
      </c>
      <c r="D26" s="426">
        <f t="shared" si="0"/>
        <v>-4.8027638478485941E-3</v>
      </c>
      <c r="E26" s="425"/>
    </row>
    <row r="27" spans="1:5" ht="15.75" customHeight="1" x14ac:dyDescent="0.3">
      <c r="C27" s="423">
        <v>422.99</v>
      </c>
      <c r="D27" s="426">
        <f t="shared" si="0"/>
        <v>1.907252570930219E-2</v>
      </c>
      <c r="E27" s="425"/>
    </row>
    <row r="28" spans="1:5" ht="15.75" customHeight="1" x14ac:dyDescent="0.3">
      <c r="C28" s="423">
        <v>414.29</v>
      </c>
      <c r="D28" s="426">
        <f t="shared" si="0"/>
        <v>-1.8876174942508901E-3</v>
      </c>
      <c r="E28" s="425"/>
    </row>
    <row r="29" spans="1:5" ht="15.75" customHeight="1" x14ac:dyDescent="0.3">
      <c r="C29" s="423">
        <v>418.89</v>
      </c>
      <c r="D29" s="426">
        <f t="shared" si="0"/>
        <v>9.1947570731449237E-3</v>
      </c>
      <c r="E29" s="425"/>
    </row>
    <row r="30" spans="1:5" ht="15.75" customHeight="1" x14ac:dyDescent="0.3">
      <c r="C30" s="423">
        <v>412.48</v>
      </c>
      <c r="D30" s="426">
        <f t="shared" si="0"/>
        <v>-6.2482909653349327E-3</v>
      </c>
      <c r="E30" s="425"/>
    </row>
    <row r="31" spans="1:5" ht="15.75" customHeight="1" x14ac:dyDescent="0.3">
      <c r="C31" s="423">
        <v>417.43</v>
      </c>
      <c r="D31" s="426">
        <f t="shared" si="0"/>
        <v>5.6773077539280141E-3</v>
      </c>
      <c r="E31" s="425"/>
    </row>
    <row r="32" spans="1:5" ht="15.75" customHeight="1" x14ac:dyDescent="0.3">
      <c r="C32" s="423">
        <v>413.23</v>
      </c>
      <c r="D32" s="426">
        <f t="shared" si="0"/>
        <v>-4.4413820684769062E-3</v>
      </c>
      <c r="E32" s="425"/>
    </row>
    <row r="33" spans="1:7" ht="15.75" customHeight="1" x14ac:dyDescent="0.3">
      <c r="C33" s="423">
        <v>419.74</v>
      </c>
      <c r="D33" s="426">
        <f t="shared" si="0"/>
        <v>1.1242587156250742E-2</v>
      </c>
      <c r="E33" s="425"/>
    </row>
    <row r="34" spans="1:7" ht="15.75" customHeight="1" x14ac:dyDescent="0.3">
      <c r="C34" s="423">
        <v>412.85</v>
      </c>
      <c r="D34" s="426">
        <f t="shared" si="0"/>
        <v>-5.3568825762182956E-3</v>
      </c>
      <c r="E34" s="425"/>
    </row>
    <row r="35" spans="1:7" ht="15.75" customHeight="1" x14ac:dyDescent="0.3">
      <c r="C35" s="423">
        <v>416.83</v>
      </c>
      <c r="D35" s="426">
        <f t="shared" si="0"/>
        <v>4.2317806364415384E-3</v>
      </c>
      <c r="E35" s="425"/>
    </row>
    <row r="36" spans="1:7" ht="15.75" customHeight="1" x14ac:dyDescent="0.3">
      <c r="C36" s="423">
        <v>413.15</v>
      </c>
      <c r="D36" s="426">
        <f t="shared" si="0"/>
        <v>-4.6341190174751948E-3</v>
      </c>
      <c r="E36" s="425"/>
    </row>
    <row r="37" spans="1:7" ht="15.75" customHeight="1" x14ac:dyDescent="0.3">
      <c r="C37" s="423">
        <v>413.49</v>
      </c>
      <c r="D37" s="426">
        <f t="shared" si="0"/>
        <v>-3.8149869842328127E-3</v>
      </c>
      <c r="E37" s="425"/>
    </row>
    <row r="38" spans="1:7" ht="15.75" customHeight="1" x14ac:dyDescent="0.3">
      <c r="C38" s="423">
        <v>413.23</v>
      </c>
      <c r="D38" s="426">
        <f t="shared" si="0"/>
        <v>-4.4413820684769062E-3</v>
      </c>
      <c r="E38" s="425"/>
    </row>
    <row r="39" spans="1:7" ht="15.75" customHeight="1" x14ac:dyDescent="0.3">
      <c r="C39" s="423">
        <v>417.14</v>
      </c>
      <c r="D39" s="426">
        <f t="shared" si="0"/>
        <v>4.9786363138095285E-3</v>
      </c>
      <c r="E39" s="425"/>
    </row>
    <row r="40" spans="1:7" ht="15.75" customHeight="1" x14ac:dyDescent="0.3">
      <c r="C40" s="423">
        <v>418.75</v>
      </c>
      <c r="D40" s="426">
        <f t="shared" si="0"/>
        <v>8.8574674123981251E-3</v>
      </c>
      <c r="E40" s="425"/>
    </row>
    <row r="41" spans="1:7" ht="15.75" customHeight="1" x14ac:dyDescent="0.3">
      <c r="C41" s="423">
        <v>417.45</v>
      </c>
      <c r="D41" s="426">
        <f t="shared" si="0"/>
        <v>5.7254919911775178E-3</v>
      </c>
      <c r="E41" s="425"/>
    </row>
    <row r="42" spans="1:7" ht="15.75" customHeight="1" x14ac:dyDescent="0.3">
      <c r="C42" s="423">
        <v>403.14</v>
      </c>
      <c r="D42" s="426">
        <f t="shared" si="0"/>
        <v>-2.8750329760873633E-2</v>
      </c>
      <c r="E42" s="425"/>
    </row>
    <row r="43" spans="1:7" ht="16.5" customHeight="1" thickBot="1" x14ac:dyDescent="0.35">
      <c r="C43" s="427">
        <v>419.71</v>
      </c>
      <c r="D43" s="428">
        <f t="shared" si="0"/>
        <v>1.117031080037635E-2</v>
      </c>
      <c r="E43" s="425"/>
    </row>
    <row r="44" spans="1:7" ht="16.5" customHeight="1" thickBot="1" x14ac:dyDescent="0.35">
      <c r="C44" s="429"/>
      <c r="D44" s="425"/>
      <c r="E44" s="430"/>
    </row>
    <row r="45" spans="1:7" ht="16.5" customHeight="1" thickBot="1" x14ac:dyDescent="0.35">
      <c r="B45" s="431" t="s">
        <v>39</v>
      </c>
      <c r="C45" s="432">
        <f>SUM(C24:C44)</f>
        <v>8301.4699999999993</v>
      </c>
      <c r="D45" s="433"/>
      <c r="E45" s="429"/>
    </row>
    <row r="46" spans="1:7" ht="17.25" customHeight="1" thickBot="1" x14ac:dyDescent="0.35">
      <c r="B46" s="431" t="s">
        <v>40</v>
      </c>
      <c r="C46" s="434">
        <f>AVERAGE(C24:C44)</f>
        <v>415.07349999999997</v>
      </c>
      <c r="E46" s="435"/>
    </row>
    <row r="47" spans="1:7" ht="17.25" customHeight="1" thickBot="1" x14ac:dyDescent="0.35">
      <c r="A47" s="413"/>
      <c r="B47" s="436"/>
      <c r="D47" s="437"/>
      <c r="E47" s="435"/>
    </row>
    <row r="48" spans="1:7" ht="33.75" customHeight="1" thickBot="1" x14ac:dyDescent="0.35">
      <c r="B48" s="438" t="s">
        <v>40</v>
      </c>
      <c r="C48" s="421" t="s">
        <v>41</v>
      </c>
      <c r="D48" s="439"/>
      <c r="G48" s="437"/>
    </row>
    <row r="49" spans="1:6" ht="17.25" customHeight="1" thickBot="1" x14ac:dyDescent="0.35">
      <c r="B49" s="457">
        <f>C46</f>
        <v>415.07349999999997</v>
      </c>
      <c r="C49" s="440">
        <f>-IF(C46&lt;=80,10%,IF(C46&lt;250,7.5%,5%))</f>
        <v>-0.05</v>
      </c>
      <c r="D49" s="441">
        <f>IF(C46&lt;=80,C46*0.9,IF(C46&lt;250,C46*0.925,C46*0.95))</f>
        <v>394.31982499999992</v>
      </c>
    </row>
    <row r="50" spans="1:6" ht="17.25" customHeight="1" thickBot="1" x14ac:dyDescent="0.35">
      <c r="B50" s="458"/>
      <c r="C50" s="442">
        <f>IF(C46&lt;=80, 10%, IF(C46&lt;250, 7.5%, 5%))</f>
        <v>0.05</v>
      </c>
      <c r="D50" s="441">
        <f>IF(C46&lt;=80, C46*1.1, IF(C46&lt;250, C46*1.075, C46*1.05))</f>
        <v>435.82717500000001</v>
      </c>
    </row>
    <row r="51" spans="1:6" ht="16.5" customHeight="1" thickBot="1" x14ac:dyDescent="0.35">
      <c r="A51" s="443"/>
      <c r="B51" s="444"/>
      <c r="C51" s="413"/>
      <c r="D51" s="445"/>
      <c r="E51" s="413"/>
      <c r="F51" s="418"/>
    </row>
    <row r="52" spans="1:6" ht="16.5" customHeight="1" x14ac:dyDescent="0.3">
      <c r="A52" s="413"/>
      <c r="B52" s="446" t="s">
        <v>23</v>
      </c>
      <c r="C52" s="446"/>
      <c r="D52" s="447" t="s">
        <v>24</v>
      </c>
      <c r="E52" s="448"/>
      <c r="F52" s="447" t="s">
        <v>25</v>
      </c>
    </row>
    <row r="53" spans="1:6" ht="34.5" customHeight="1" x14ac:dyDescent="0.3">
      <c r="A53" s="415" t="s">
        <v>26</v>
      </c>
      <c r="B53" s="449"/>
      <c r="C53" s="413"/>
      <c r="D53" s="449"/>
      <c r="E53" s="413"/>
      <c r="F53" s="449"/>
    </row>
    <row r="54" spans="1:6" ht="34.5" customHeight="1" x14ac:dyDescent="0.3">
      <c r="A54" s="415" t="s">
        <v>27</v>
      </c>
      <c r="B54" s="450"/>
      <c r="C54" s="451"/>
      <c r="D54" s="450"/>
      <c r="E54" s="413"/>
      <c r="F54" s="452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60" zoomScaleNormal="100" workbookViewId="0">
      <selection activeCell="E61" sqref="E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2" t="s">
        <v>0</v>
      </c>
      <c r="B15" s="462"/>
      <c r="C15" s="462"/>
      <c r="D15" s="462"/>
      <c r="E15" s="46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e">
        <f>#REF!</f>
        <v>#REF!</v>
      </c>
      <c r="D17" s="9"/>
      <c r="E17" s="10"/>
    </row>
    <row r="18" spans="1:6" ht="16.5" customHeight="1" x14ac:dyDescent="0.3">
      <c r="A18" s="11" t="s">
        <v>4</v>
      </c>
      <c r="B18" s="249" t="s">
        <v>128</v>
      </c>
      <c r="C18" s="10"/>
      <c r="D18" s="10"/>
      <c r="E18" s="10"/>
    </row>
    <row r="19" spans="1:6" ht="16.5" customHeight="1" x14ac:dyDescent="0.3">
      <c r="A19" s="11" t="s">
        <v>6</v>
      </c>
      <c r="B19" s="12">
        <f>[1]Artemether!B28</f>
        <v>99.65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10.55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B20/50</f>
        <v>0.21100000000000002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922265</v>
      </c>
      <c r="C24" s="18">
        <v>11462.6</v>
      </c>
      <c r="D24" s="19">
        <v>1</v>
      </c>
      <c r="E24" s="20">
        <v>5</v>
      </c>
    </row>
    <row r="25" spans="1:6" ht="16.5" customHeight="1" x14ac:dyDescent="0.3">
      <c r="A25" s="17">
        <v>2</v>
      </c>
      <c r="B25" s="18">
        <v>919717</v>
      </c>
      <c r="C25" s="18">
        <v>11443.5</v>
      </c>
      <c r="D25" s="19">
        <v>1</v>
      </c>
      <c r="E25" s="19">
        <v>5</v>
      </c>
    </row>
    <row r="26" spans="1:6" ht="16.5" customHeight="1" x14ac:dyDescent="0.3">
      <c r="A26" s="17">
        <v>3</v>
      </c>
      <c r="B26" s="18">
        <v>918738</v>
      </c>
      <c r="C26" s="18">
        <v>11438.3</v>
      </c>
      <c r="D26" s="19">
        <v>1</v>
      </c>
      <c r="E26" s="19">
        <v>5</v>
      </c>
    </row>
    <row r="27" spans="1:6" ht="16.5" customHeight="1" x14ac:dyDescent="0.3">
      <c r="A27" s="17">
        <v>4</v>
      </c>
      <c r="B27" s="18">
        <v>917951</v>
      </c>
      <c r="C27" s="18">
        <v>11455.3</v>
      </c>
      <c r="D27" s="19">
        <v>1</v>
      </c>
      <c r="E27" s="19">
        <v>5</v>
      </c>
    </row>
    <row r="28" spans="1:6" ht="16.5" customHeight="1" x14ac:dyDescent="0.3">
      <c r="A28" s="17">
        <v>5</v>
      </c>
      <c r="B28" s="18">
        <v>922422</v>
      </c>
      <c r="C28" s="18">
        <v>11482.1</v>
      </c>
      <c r="D28" s="19">
        <v>1</v>
      </c>
      <c r="E28" s="19">
        <v>5</v>
      </c>
    </row>
    <row r="29" spans="1:6" ht="16.5" customHeight="1" x14ac:dyDescent="0.3">
      <c r="A29" s="17">
        <v>6</v>
      </c>
      <c r="B29" s="21">
        <v>923820</v>
      </c>
      <c r="C29" s="21">
        <v>11466.7</v>
      </c>
      <c r="D29" s="22">
        <v>1</v>
      </c>
      <c r="E29" s="22">
        <v>5</v>
      </c>
    </row>
    <row r="30" spans="1:6" ht="16.5" customHeight="1" x14ac:dyDescent="0.3">
      <c r="A30" s="23" t="s">
        <v>15</v>
      </c>
      <c r="B30" s="24">
        <f>AVERAGE(B24:B29)</f>
        <v>920818.83333333337</v>
      </c>
      <c r="C30" s="25">
        <f>AVERAGE(C24:C29)</f>
        <v>11458.083333333334</v>
      </c>
      <c r="D30" s="26">
        <f>AVERAGE(D24:D29)</f>
        <v>1</v>
      </c>
      <c r="E30" s="26">
        <f>AVERAGE(E24:E29)</f>
        <v>5</v>
      </c>
    </row>
    <row r="31" spans="1:6" ht="16.5" customHeight="1" x14ac:dyDescent="0.3">
      <c r="A31" s="27" t="s">
        <v>16</v>
      </c>
      <c r="B31" s="28">
        <f>(STDEV(B24:B29)/B30)</f>
        <v>2.5439492439771976E-3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22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18">
        <v>330639</v>
      </c>
      <c r="C45" s="18">
        <v>11704</v>
      </c>
      <c r="D45" s="19">
        <v>1.2</v>
      </c>
      <c r="E45" s="20">
        <v>3</v>
      </c>
    </row>
    <row r="46" spans="1:6" ht="16.5" customHeight="1" x14ac:dyDescent="0.3">
      <c r="A46" s="17">
        <v>2</v>
      </c>
      <c r="B46" s="18">
        <v>317599</v>
      </c>
      <c r="C46" s="18">
        <v>11738.9</v>
      </c>
      <c r="D46" s="19">
        <v>1.1000000000000001</v>
      </c>
      <c r="E46" s="19">
        <v>3</v>
      </c>
    </row>
    <row r="47" spans="1:6" ht="16.5" customHeight="1" x14ac:dyDescent="0.3">
      <c r="A47" s="17">
        <v>3</v>
      </c>
      <c r="B47" s="18">
        <v>311710</v>
      </c>
      <c r="C47" s="18">
        <v>11935.4</v>
      </c>
      <c r="D47" s="19">
        <v>1</v>
      </c>
      <c r="E47" s="19">
        <v>3</v>
      </c>
    </row>
    <row r="48" spans="1:6" ht="16.5" customHeight="1" x14ac:dyDescent="0.3">
      <c r="A48" s="17">
        <v>4</v>
      </c>
      <c r="B48" s="18">
        <v>321202</v>
      </c>
      <c r="C48" s="18">
        <v>11771.7</v>
      </c>
      <c r="D48" s="19">
        <v>1.2</v>
      </c>
      <c r="E48" s="19">
        <v>3</v>
      </c>
    </row>
    <row r="49" spans="1:7" ht="16.5" customHeight="1" x14ac:dyDescent="0.3">
      <c r="A49" s="17">
        <v>5</v>
      </c>
      <c r="B49" s="18">
        <v>318362</v>
      </c>
      <c r="C49" s="18">
        <v>11547.8</v>
      </c>
      <c r="D49" s="19">
        <v>1.2</v>
      </c>
      <c r="E49" s="19">
        <v>3</v>
      </c>
    </row>
    <row r="50" spans="1:7" ht="16.5" customHeight="1" x14ac:dyDescent="0.3">
      <c r="A50" s="17">
        <v>6</v>
      </c>
      <c r="B50" s="21">
        <v>322391</v>
      </c>
      <c r="C50" s="21">
        <v>11662.6</v>
      </c>
      <c r="D50" s="22">
        <v>1.2</v>
      </c>
      <c r="E50" s="22">
        <v>3</v>
      </c>
    </row>
    <row r="51" spans="1:7" ht="16.5" customHeight="1" x14ac:dyDescent="0.3">
      <c r="A51" s="23" t="s">
        <v>15</v>
      </c>
      <c r="B51" s="24">
        <f>AVERAGE(B45:B50)</f>
        <v>320317.16666666669</v>
      </c>
      <c r="C51" s="25">
        <f>AVERAGE(C45:C50)</f>
        <v>11726.733333333335</v>
      </c>
      <c r="D51" s="26">
        <f>AVERAGE(D45:D50)</f>
        <v>1.1500000000000001</v>
      </c>
      <c r="E51" s="26">
        <f>AVERAGE(E45:E50)</f>
        <v>3</v>
      </c>
    </row>
    <row r="52" spans="1:7" ht="16.5" customHeight="1" x14ac:dyDescent="0.3">
      <c r="A52" s="27" t="s">
        <v>16</v>
      </c>
      <c r="B52" s="28">
        <f>(STDEV(B45:B50)/B51)</f>
        <v>1.9591961278910448E-2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3" t="s">
        <v>23</v>
      </c>
      <c r="C59" s="463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8" t="s">
        <v>151</v>
      </c>
      <c r="C60" s="48"/>
      <c r="E60" s="48" t="s">
        <v>152</v>
      </c>
      <c r="F60" s="2"/>
      <c r="G60" s="49"/>
    </row>
    <row r="61" spans="1:7" ht="15" customHeight="1" x14ac:dyDescent="0.3">
      <c r="A61" s="47" t="s">
        <v>27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60" zoomScaleNormal="100" workbookViewId="0">
      <selection activeCell="G52" sqref="G52"/>
    </sheetView>
  </sheetViews>
  <sheetFormatPr defaultRowHeight="13.5" x14ac:dyDescent="0.25"/>
  <cols>
    <col min="1" max="1" width="27.5703125" style="248" customWidth="1"/>
    <col min="2" max="2" width="20.42578125" style="248" customWidth="1"/>
    <col min="3" max="3" width="31.85546875" style="248" customWidth="1"/>
    <col min="4" max="4" width="25.85546875" style="248" customWidth="1"/>
    <col min="5" max="5" width="25.7109375" style="248" customWidth="1"/>
    <col min="6" max="6" width="23.140625" style="248" customWidth="1"/>
    <col min="7" max="7" width="28.42578125" style="248" customWidth="1"/>
    <col min="8" max="8" width="21.5703125" style="248" customWidth="1"/>
    <col min="9" max="9" width="9.140625" style="24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2" t="s">
        <v>0</v>
      </c>
      <c r="B15" s="462"/>
      <c r="C15" s="462"/>
      <c r="D15" s="462"/>
      <c r="E15" s="462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e">
        <f>#REF!</f>
        <v>#REF!</v>
      </c>
      <c r="D17" s="9"/>
      <c r="E17" s="53"/>
    </row>
    <row r="18" spans="1:5" ht="16.5" customHeight="1" x14ac:dyDescent="0.3">
      <c r="A18" s="55" t="s">
        <v>4</v>
      </c>
      <c r="B18" s="249" t="s">
        <v>129</v>
      </c>
      <c r="C18" s="53"/>
      <c r="D18" s="53"/>
      <c r="E18" s="53"/>
    </row>
    <row r="19" spans="1:5" ht="16.5" customHeight="1" x14ac:dyDescent="0.3">
      <c r="A19" s="55" t="s">
        <v>6</v>
      </c>
      <c r="B19" s="12">
        <v>100.46</v>
      </c>
      <c r="C19" s="53"/>
      <c r="D19" s="53"/>
      <c r="E19" s="53"/>
    </row>
    <row r="20" spans="1:5" ht="16.5" customHeight="1" x14ac:dyDescent="0.3">
      <c r="A20" s="8" t="s">
        <v>8</v>
      </c>
      <c r="B20" s="12">
        <v>61.33</v>
      </c>
      <c r="C20" s="53"/>
      <c r="D20" s="53"/>
      <c r="E20" s="53"/>
    </row>
    <row r="21" spans="1:5" ht="16.5" customHeight="1" x14ac:dyDescent="0.3">
      <c r="A21" s="8" t="s">
        <v>9</v>
      </c>
      <c r="B21" s="13">
        <f>B20/50</f>
        <v>1.2265999999999999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10</v>
      </c>
      <c r="B23" s="15" t="s">
        <v>11</v>
      </c>
      <c r="C23" s="16" t="s">
        <v>12</v>
      </c>
      <c r="D23" s="16" t="s">
        <v>13</v>
      </c>
      <c r="E23" s="16" t="s">
        <v>14</v>
      </c>
    </row>
    <row r="24" spans="1:5" ht="16.5" customHeight="1" x14ac:dyDescent="0.3">
      <c r="A24" s="17">
        <v>1</v>
      </c>
      <c r="B24" s="18">
        <v>403919898</v>
      </c>
      <c r="C24" s="18">
        <v>1932.5</v>
      </c>
      <c r="D24" s="19">
        <v>2.9</v>
      </c>
      <c r="E24" s="20">
        <v>10.8</v>
      </c>
    </row>
    <row r="25" spans="1:5" ht="16.5" customHeight="1" x14ac:dyDescent="0.3">
      <c r="A25" s="17">
        <v>2</v>
      </c>
      <c r="B25" s="18">
        <v>403126111</v>
      </c>
      <c r="C25" s="18">
        <v>1941.5</v>
      </c>
      <c r="D25" s="19">
        <v>2.9</v>
      </c>
      <c r="E25" s="19">
        <v>10.8</v>
      </c>
    </row>
    <row r="26" spans="1:5" ht="16.5" customHeight="1" x14ac:dyDescent="0.3">
      <c r="A26" s="17">
        <v>3</v>
      </c>
      <c r="B26" s="18">
        <v>403066767</v>
      </c>
      <c r="C26" s="18">
        <v>1948.1</v>
      </c>
      <c r="D26" s="19">
        <v>2.9</v>
      </c>
      <c r="E26" s="19">
        <v>10.8</v>
      </c>
    </row>
    <row r="27" spans="1:5" ht="16.5" customHeight="1" x14ac:dyDescent="0.3">
      <c r="A27" s="17">
        <v>4</v>
      </c>
      <c r="B27" s="18">
        <v>402916972</v>
      </c>
      <c r="C27" s="18">
        <v>1951.2</v>
      </c>
      <c r="D27" s="19">
        <v>2.9</v>
      </c>
      <c r="E27" s="19">
        <v>10.8</v>
      </c>
    </row>
    <row r="28" spans="1:5" ht="16.5" customHeight="1" x14ac:dyDescent="0.3">
      <c r="A28" s="17">
        <v>5</v>
      </c>
      <c r="B28" s="18">
        <v>404758609</v>
      </c>
      <c r="C28" s="18">
        <v>1950.3</v>
      </c>
      <c r="D28" s="19">
        <v>2.9</v>
      </c>
      <c r="E28" s="19">
        <v>10.8</v>
      </c>
    </row>
    <row r="29" spans="1:5" ht="16.5" customHeight="1" x14ac:dyDescent="0.3">
      <c r="A29" s="17">
        <v>6</v>
      </c>
      <c r="B29" s="21">
        <v>405410488</v>
      </c>
      <c r="C29" s="21">
        <v>1952.7</v>
      </c>
      <c r="D29" s="22">
        <v>2.9</v>
      </c>
      <c r="E29" s="22">
        <v>10.8</v>
      </c>
    </row>
    <row r="30" spans="1:5" ht="16.5" customHeight="1" x14ac:dyDescent="0.3">
      <c r="A30" s="23" t="s">
        <v>15</v>
      </c>
      <c r="B30" s="24">
        <f>AVERAGE(B24:B29)</f>
        <v>403866474.16666669</v>
      </c>
      <c r="C30" s="25">
        <f>AVERAGE(C24:C29)</f>
        <v>1946.0500000000002</v>
      </c>
      <c r="D30" s="26">
        <f>AVERAGE(D24:D29)</f>
        <v>2.9</v>
      </c>
      <c r="E30" s="26">
        <f>AVERAGE(E24:E29)</f>
        <v>10.799999999999999</v>
      </c>
    </row>
    <row r="31" spans="1:5" ht="16.5" customHeight="1" x14ac:dyDescent="0.3">
      <c r="A31" s="27" t="s">
        <v>16</v>
      </c>
      <c r="B31" s="28">
        <f>(STDEV(B24:B29)/B30)</f>
        <v>2.5425136079489734E-3</v>
      </c>
      <c r="C31" s="29"/>
      <c r="D31" s="29"/>
      <c r="E31" s="30"/>
    </row>
    <row r="32" spans="1:5" s="248" customFormat="1" ht="16.5" customHeight="1" x14ac:dyDescent="0.3">
      <c r="A32" s="31" t="s">
        <v>17</v>
      </c>
      <c r="B32" s="32">
        <f>COUNT(B24:B29)</f>
        <v>6</v>
      </c>
      <c r="C32" s="33"/>
      <c r="D32" s="54"/>
      <c r="E32" s="35"/>
    </row>
    <row r="33" spans="1:5" s="248" customFormat="1" ht="15.75" customHeight="1" x14ac:dyDescent="0.25">
      <c r="A33" s="53"/>
      <c r="B33" s="53"/>
      <c r="C33" s="53"/>
      <c r="D33" s="53"/>
      <c r="E33" s="53"/>
    </row>
    <row r="34" spans="1:5" s="248" customFormat="1" ht="16.5" customHeight="1" x14ac:dyDescent="0.3">
      <c r="A34" s="55" t="s">
        <v>18</v>
      </c>
      <c r="B34" s="40" t="s">
        <v>19</v>
      </c>
      <c r="C34" s="39"/>
      <c r="D34" s="39"/>
      <c r="E34" s="39"/>
    </row>
    <row r="35" spans="1:5" ht="16.5" customHeight="1" x14ac:dyDescent="0.3">
      <c r="A35" s="55"/>
      <c r="B35" s="40" t="s">
        <v>20</v>
      </c>
      <c r="C35" s="39"/>
      <c r="D35" s="39"/>
      <c r="E35" s="39"/>
    </row>
    <row r="36" spans="1:5" ht="16.5" customHeight="1" x14ac:dyDescent="0.3">
      <c r="A36" s="55"/>
      <c r="B36" s="40" t="s">
        <v>21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22</v>
      </c>
    </row>
    <row r="39" spans="1:5" ht="16.5" customHeight="1" x14ac:dyDescent="0.3">
      <c r="A39" s="55" t="s">
        <v>4</v>
      </c>
      <c r="B39" s="8"/>
      <c r="C39" s="53"/>
      <c r="D39" s="53"/>
      <c r="E39" s="53"/>
    </row>
    <row r="40" spans="1:5" ht="16.5" customHeight="1" x14ac:dyDescent="0.3">
      <c r="A40" s="55" t="s">
        <v>6</v>
      </c>
      <c r="B40" s="12"/>
      <c r="C40" s="53"/>
      <c r="D40" s="53"/>
      <c r="E40" s="53"/>
    </row>
    <row r="41" spans="1:5" ht="16.5" customHeight="1" x14ac:dyDescent="0.3">
      <c r="A41" s="8" t="s">
        <v>8</v>
      </c>
      <c r="B41" s="12"/>
      <c r="C41" s="53"/>
      <c r="D41" s="53"/>
      <c r="E41" s="53"/>
    </row>
    <row r="42" spans="1:5" ht="16.5" customHeight="1" x14ac:dyDescent="0.3">
      <c r="A42" s="8" t="s">
        <v>9</v>
      </c>
      <c r="B42" s="13"/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10</v>
      </c>
      <c r="B44" s="15" t="s">
        <v>11</v>
      </c>
      <c r="C44" s="16" t="s">
        <v>12</v>
      </c>
      <c r="D44" s="16" t="s">
        <v>13</v>
      </c>
      <c r="E44" s="16" t="s">
        <v>14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15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16</v>
      </c>
      <c r="B52" s="28" t="e">
        <f>(STDEV(B45:B50)/B51)</f>
        <v>#DIV/0!</v>
      </c>
      <c r="C52" s="29"/>
      <c r="D52" s="29"/>
      <c r="E52" s="30"/>
    </row>
    <row r="53" spans="1:7" s="248" customFormat="1" ht="16.5" customHeight="1" x14ac:dyDescent="0.3">
      <c r="A53" s="31" t="s">
        <v>17</v>
      </c>
      <c r="B53" s="32">
        <f>COUNT(B45:B50)</f>
        <v>0</v>
      </c>
      <c r="C53" s="33"/>
      <c r="D53" s="54"/>
      <c r="E53" s="35"/>
    </row>
    <row r="54" spans="1:7" s="248" customFormat="1" ht="15.75" customHeight="1" x14ac:dyDescent="0.25">
      <c r="A54" s="53"/>
      <c r="B54" s="53"/>
      <c r="C54" s="53"/>
      <c r="D54" s="53"/>
      <c r="E54" s="53"/>
    </row>
    <row r="55" spans="1:7" s="248" customFormat="1" ht="16.5" customHeight="1" x14ac:dyDescent="0.3">
      <c r="A55" s="55" t="s">
        <v>18</v>
      </c>
      <c r="B55" s="40" t="s">
        <v>19</v>
      </c>
      <c r="C55" s="39"/>
      <c r="D55" s="39"/>
      <c r="E55" s="39"/>
    </row>
    <row r="56" spans="1:7" ht="16.5" customHeight="1" x14ac:dyDescent="0.3">
      <c r="A56" s="55"/>
      <c r="B56" s="40" t="s">
        <v>20</v>
      </c>
      <c r="C56" s="39"/>
      <c r="D56" s="39"/>
      <c r="E56" s="39"/>
    </row>
    <row r="57" spans="1:7" ht="16.5" customHeight="1" x14ac:dyDescent="0.3">
      <c r="A57" s="55"/>
      <c r="B57" s="40" t="s">
        <v>21</v>
      </c>
      <c r="C57" s="39"/>
      <c r="D57" s="39"/>
      <c r="E57" s="39"/>
    </row>
    <row r="58" spans="1:7" ht="14.25" customHeight="1" thickBot="1" x14ac:dyDescent="0.3">
      <c r="A58" s="41"/>
      <c r="B58" s="247"/>
      <c r="D58" s="43"/>
      <c r="F58" s="44"/>
      <c r="G58" s="44"/>
    </row>
    <row r="59" spans="1:7" ht="15" customHeight="1" x14ac:dyDescent="0.3">
      <c r="B59" s="463" t="s">
        <v>23</v>
      </c>
      <c r="C59" s="463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9" t="s">
        <v>151</v>
      </c>
      <c r="C60" s="49"/>
      <c r="E60" s="49" t="s">
        <v>152</v>
      </c>
      <c r="G60" s="49"/>
    </row>
    <row r="61" spans="1:7" ht="15" customHeight="1" x14ac:dyDescent="0.3">
      <c r="A61" s="47" t="s">
        <v>27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21" zoomScale="55" zoomScaleNormal="40" zoomScalePageLayoutView="55" workbookViewId="0">
      <selection activeCell="B129" sqref="B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42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43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57"/>
    </row>
    <row r="16" spans="1:9" ht="19.5" customHeight="1" x14ac:dyDescent="0.3">
      <c r="A16" s="497" t="s">
        <v>28</v>
      </c>
      <c r="B16" s="498"/>
      <c r="C16" s="498"/>
      <c r="D16" s="498"/>
      <c r="E16" s="498"/>
      <c r="F16" s="498"/>
      <c r="G16" s="498"/>
      <c r="H16" s="499"/>
    </row>
    <row r="17" spans="1:14" ht="20.25" customHeight="1" x14ac:dyDescent="0.25">
      <c r="A17" s="500" t="s">
        <v>44</v>
      </c>
      <c r="B17" s="500"/>
      <c r="C17" s="500"/>
      <c r="D17" s="500"/>
      <c r="E17" s="500"/>
      <c r="F17" s="500"/>
      <c r="G17" s="500"/>
      <c r="H17" s="500"/>
    </row>
    <row r="18" spans="1:14" ht="26.25" customHeight="1" x14ac:dyDescent="0.4">
      <c r="A18" s="59" t="s">
        <v>30</v>
      </c>
      <c r="B18" s="496" t="s">
        <v>5</v>
      </c>
      <c r="C18" s="496"/>
      <c r="D18" s="205"/>
      <c r="E18" s="60"/>
      <c r="F18" s="61"/>
      <c r="G18" s="61"/>
      <c r="H18" s="61"/>
    </row>
    <row r="19" spans="1:14" ht="26.25" customHeight="1" x14ac:dyDescent="0.4">
      <c r="A19" s="59" t="s">
        <v>31</v>
      </c>
      <c r="B19" s="62" t="s">
        <v>7</v>
      </c>
      <c r="C19" s="214">
        <v>1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32</v>
      </c>
      <c r="B20" s="501" t="s">
        <v>130</v>
      </c>
      <c r="C20" s="501"/>
      <c r="D20" s="61"/>
      <c r="E20" s="61"/>
      <c r="F20" s="61"/>
      <c r="G20" s="61"/>
      <c r="H20" s="61"/>
    </row>
    <row r="21" spans="1:14" ht="26.25" customHeight="1" x14ac:dyDescent="0.4">
      <c r="A21" s="59" t="s">
        <v>33</v>
      </c>
      <c r="B21" s="501" t="s">
        <v>131</v>
      </c>
      <c r="C21" s="501"/>
      <c r="D21" s="501"/>
      <c r="E21" s="501"/>
      <c r="F21" s="501"/>
      <c r="G21" s="501"/>
      <c r="H21" s="501"/>
      <c r="I21" s="63"/>
    </row>
    <row r="22" spans="1:14" ht="26.25" customHeight="1" x14ac:dyDescent="0.4">
      <c r="A22" s="59" t="s">
        <v>34</v>
      </c>
      <c r="B22" s="64"/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35</v>
      </c>
      <c r="B23" s="64"/>
      <c r="C23" s="61"/>
      <c r="D23" s="61"/>
      <c r="E23" s="61"/>
      <c r="F23" s="61"/>
      <c r="G23" s="61"/>
      <c r="H23" s="61"/>
    </row>
    <row r="24" spans="1:14" ht="18.75" x14ac:dyDescent="0.3">
      <c r="A24" s="59"/>
      <c r="B24" s="65"/>
    </row>
    <row r="25" spans="1:14" ht="18.75" x14ac:dyDescent="0.3">
      <c r="A25" s="66" t="s">
        <v>1</v>
      </c>
      <c r="B25" s="65"/>
    </row>
    <row r="26" spans="1:14" ht="26.25" customHeight="1" x14ac:dyDescent="0.4">
      <c r="A26" s="67" t="s">
        <v>4</v>
      </c>
      <c r="B26" s="496" t="s">
        <v>129</v>
      </c>
      <c r="C26" s="496"/>
    </row>
    <row r="27" spans="1:14" ht="26.25" customHeight="1" x14ac:dyDescent="0.4">
      <c r="A27" s="68" t="s">
        <v>45</v>
      </c>
      <c r="B27" s="502" t="s">
        <v>132</v>
      </c>
      <c r="C27" s="502"/>
    </row>
    <row r="28" spans="1:14" ht="27" customHeight="1" x14ac:dyDescent="0.4">
      <c r="A28" s="68" t="s">
        <v>6</v>
      </c>
      <c r="B28" s="69">
        <v>100.46</v>
      </c>
    </row>
    <row r="29" spans="1:14" s="14" customFormat="1" ht="27" customHeight="1" x14ac:dyDescent="0.4">
      <c r="A29" s="68" t="s">
        <v>46</v>
      </c>
      <c r="B29" s="70">
        <v>0</v>
      </c>
      <c r="C29" s="472" t="s">
        <v>47</v>
      </c>
      <c r="D29" s="473"/>
      <c r="E29" s="473"/>
      <c r="F29" s="473"/>
      <c r="G29" s="474"/>
      <c r="I29" s="71"/>
      <c r="J29" s="71"/>
      <c r="K29" s="71"/>
      <c r="L29" s="71"/>
    </row>
    <row r="30" spans="1:14" s="14" customFormat="1" ht="19.5" customHeight="1" x14ac:dyDescent="0.3">
      <c r="A30" s="68" t="s">
        <v>48</v>
      </c>
      <c r="B30" s="72">
        <f>B28-B29</f>
        <v>100.46</v>
      </c>
      <c r="C30" s="73"/>
      <c r="D30" s="73"/>
      <c r="E30" s="73"/>
      <c r="F30" s="73"/>
      <c r="G30" s="74"/>
      <c r="I30" s="71"/>
      <c r="J30" s="71"/>
      <c r="K30" s="71"/>
      <c r="L30" s="71"/>
    </row>
    <row r="31" spans="1:14" s="14" customFormat="1" ht="27" customHeight="1" x14ac:dyDescent="0.4">
      <c r="A31" s="68" t="s">
        <v>49</v>
      </c>
      <c r="B31" s="75">
        <v>1</v>
      </c>
      <c r="C31" s="475" t="s">
        <v>50</v>
      </c>
      <c r="D31" s="476"/>
      <c r="E31" s="476"/>
      <c r="F31" s="476"/>
      <c r="G31" s="476"/>
      <c r="H31" s="477"/>
      <c r="I31" s="71"/>
      <c r="J31" s="71"/>
      <c r="K31" s="71"/>
      <c r="L31" s="71"/>
    </row>
    <row r="32" spans="1:14" s="14" customFormat="1" ht="27" customHeight="1" x14ac:dyDescent="0.4">
      <c r="A32" s="68" t="s">
        <v>51</v>
      </c>
      <c r="B32" s="75">
        <v>1</v>
      </c>
      <c r="C32" s="475" t="s">
        <v>52</v>
      </c>
      <c r="D32" s="476"/>
      <c r="E32" s="476"/>
      <c r="F32" s="476"/>
      <c r="G32" s="476"/>
      <c r="H32" s="477"/>
      <c r="I32" s="71"/>
      <c r="J32" s="71"/>
      <c r="K32" s="71"/>
      <c r="L32" s="76"/>
      <c r="M32" s="76"/>
      <c r="N32" s="77"/>
    </row>
    <row r="33" spans="1:14" s="14" customFormat="1" ht="17.25" customHeight="1" x14ac:dyDescent="0.3">
      <c r="A33" s="68"/>
      <c r="B33" s="78"/>
      <c r="C33" s="79"/>
      <c r="D33" s="79"/>
      <c r="E33" s="79"/>
      <c r="F33" s="79"/>
      <c r="G33" s="79"/>
      <c r="H33" s="79"/>
      <c r="I33" s="71"/>
      <c r="J33" s="71"/>
      <c r="K33" s="71"/>
      <c r="L33" s="76"/>
      <c r="M33" s="76"/>
      <c r="N33" s="77"/>
    </row>
    <row r="34" spans="1:14" s="14" customFormat="1" ht="18.75" x14ac:dyDescent="0.3">
      <c r="A34" s="68" t="s">
        <v>53</v>
      </c>
      <c r="B34" s="80">
        <f>B31/B32</f>
        <v>1</v>
      </c>
      <c r="C34" s="58" t="s">
        <v>54</v>
      </c>
      <c r="D34" s="58"/>
      <c r="E34" s="58"/>
      <c r="F34" s="58"/>
      <c r="G34" s="58"/>
      <c r="I34" s="71"/>
      <c r="J34" s="71"/>
      <c r="K34" s="71"/>
      <c r="L34" s="76"/>
      <c r="M34" s="76"/>
      <c r="N34" s="77"/>
    </row>
    <row r="35" spans="1:14" s="14" customFormat="1" ht="19.5" customHeight="1" x14ac:dyDescent="0.3">
      <c r="A35" s="68"/>
      <c r="B35" s="72"/>
      <c r="G35" s="58"/>
      <c r="I35" s="71"/>
      <c r="J35" s="71"/>
      <c r="K35" s="71"/>
      <c r="L35" s="76"/>
      <c r="M35" s="76"/>
      <c r="N35" s="77"/>
    </row>
    <row r="36" spans="1:14" s="14" customFormat="1" ht="27" customHeight="1" x14ac:dyDescent="0.4">
      <c r="A36" s="81" t="s">
        <v>55</v>
      </c>
      <c r="B36" s="82">
        <v>50</v>
      </c>
      <c r="C36" s="58"/>
      <c r="D36" s="478" t="s">
        <v>56</v>
      </c>
      <c r="E36" s="503"/>
      <c r="F36" s="478" t="s">
        <v>57</v>
      </c>
      <c r="G36" s="479"/>
      <c r="J36" s="71"/>
      <c r="K36" s="71"/>
      <c r="L36" s="76"/>
      <c r="M36" s="76"/>
      <c r="N36" s="77"/>
    </row>
    <row r="37" spans="1:14" s="14" customFormat="1" ht="27" customHeight="1" x14ac:dyDescent="0.4">
      <c r="A37" s="83" t="s">
        <v>58</v>
      </c>
      <c r="B37" s="84">
        <v>1</v>
      </c>
      <c r="C37" s="85" t="s">
        <v>59</v>
      </c>
      <c r="D37" s="86" t="s">
        <v>60</v>
      </c>
      <c r="E37" s="87" t="s">
        <v>61</v>
      </c>
      <c r="F37" s="86" t="s">
        <v>60</v>
      </c>
      <c r="G37" s="88" t="s">
        <v>61</v>
      </c>
      <c r="I37" s="89" t="s">
        <v>62</v>
      </c>
      <c r="J37" s="71"/>
      <c r="K37" s="71"/>
      <c r="L37" s="76"/>
      <c r="M37" s="76"/>
      <c r="N37" s="77"/>
    </row>
    <row r="38" spans="1:14" s="14" customFormat="1" ht="26.25" customHeight="1" x14ac:dyDescent="0.4">
      <c r="A38" s="83" t="s">
        <v>63</v>
      </c>
      <c r="B38" s="84">
        <v>1</v>
      </c>
      <c r="C38" s="90">
        <v>1</v>
      </c>
      <c r="D38" s="91">
        <v>403743160</v>
      </c>
      <c r="E38" s="92">
        <f>IF(ISBLANK(D38),"-",$D$48/$D$45*D38)</f>
        <v>393178978.20035994</v>
      </c>
      <c r="F38" s="91">
        <v>392572720</v>
      </c>
      <c r="G38" s="93">
        <f>IF(ISBLANK(F38),"-",$D$48/$F$45*F38)</f>
        <v>394855325.99218398</v>
      </c>
      <c r="I38" s="94"/>
      <c r="J38" s="71"/>
      <c r="K38" s="71"/>
      <c r="L38" s="76"/>
      <c r="M38" s="76"/>
      <c r="N38" s="77"/>
    </row>
    <row r="39" spans="1:14" s="14" customFormat="1" ht="26.25" customHeight="1" x14ac:dyDescent="0.4">
      <c r="A39" s="83" t="s">
        <v>64</v>
      </c>
      <c r="B39" s="84">
        <v>1</v>
      </c>
      <c r="C39" s="95">
        <v>2</v>
      </c>
      <c r="D39" s="96">
        <v>407145302</v>
      </c>
      <c r="E39" s="97">
        <f>IF(ISBLANK(D39),"-",$D$48/$D$45*D39)</f>
        <v>396492101.11556309</v>
      </c>
      <c r="F39" s="96">
        <v>394615541</v>
      </c>
      <c r="G39" s="98">
        <f>IF(ISBLANK(F39),"-",$D$48/$F$45*F39)</f>
        <v>396910024.93279982</v>
      </c>
      <c r="I39" s="480">
        <f>ABS((F43/D43*D42)-F42)/D42</f>
        <v>2.268827928728278E-3</v>
      </c>
      <c r="J39" s="71"/>
      <c r="K39" s="71"/>
      <c r="L39" s="76"/>
      <c r="M39" s="76"/>
      <c r="N39" s="77"/>
    </row>
    <row r="40" spans="1:14" ht="26.25" customHeight="1" x14ac:dyDescent="0.4">
      <c r="A40" s="83" t="s">
        <v>65</v>
      </c>
      <c r="B40" s="84">
        <v>1</v>
      </c>
      <c r="C40" s="95">
        <v>3</v>
      </c>
      <c r="D40" s="96">
        <v>404030469</v>
      </c>
      <c r="E40" s="97">
        <f>IF(ISBLANK(D40),"-",$D$48/$D$45*D40)</f>
        <v>393458769.58815157</v>
      </c>
      <c r="F40" s="96">
        <v>391858514</v>
      </c>
      <c r="G40" s="98">
        <f>IF(ISBLANK(F40),"-",$D$48/$F$45*F40)</f>
        <v>394136967.25611192</v>
      </c>
      <c r="I40" s="480"/>
      <c r="L40" s="76"/>
      <c r="M40" s="76"/>
      <c r="N40" s="99"/>
    </row>
    <row r="41" spans="1:14" ht="27" customHeight="1" x14ac:dyDescent="0.4">
      <c r="A41" s="83" t="s">
        <v>66</v>
      </c>
      <c r="B41" s="84">
        <v>1</v>
      </c>
      <c r="C41" s="100">
        <v>4</v>
      </c>
      <c r="D41" s="101"/>
      <c r="E41" s="102" t="str">
        <f>IF(ISBLANK(D41),"-",$D$48/$D$45*D41)</f>
        <v>-</v>
      </c>
      <c r="F41" s="101"/>
      <c r="G41" s="103" t="str">
        <f>IF(ISBLANK(F41),"-",$D$48/$F$45*F41)</f>
        <v>-</v>
      </c>
      <c r="I41" s="104"/>
      <c r="L41" s="76"/>
      <c r="M41" s="76"/>
      <c r="N41" s="99"/>
    </row>
    <row r="42" spans="1:14" ht="27" customHeight="1" x14ac:dyDescent="0.4">
      <c r="A42" s="83" t="s">
        <v>67</v>
      </c>
      <c r="B42" s="84">
        <v>1</v>
      </c>
      <c r="C42" s="105" t="s">
        <v>68</v>
      </c>
      <c r="D42" s="106">
        <f>AVERAGE(D38:D41)</f>
        <v>404972977</v>
      </c>
      <c r="E42" s="107">
        <f>AVERAGE(E38:E41)</f>
        <v>394376616.30135822</v>
      </c>
      <c r="F42" s="106">
        <f>AVERAGE(F38:F41)</f>
        <v>393015591.66666669</v>
      </c>
      <c r="G42" s="108">
        <f>AVERAGE(G38:G41)</f>
        <v>395300772.72703189</v>
      </c>
      <c r="H42" s="109"/>
    </row>
    <row r="43" spans="1:14" ht="26.25" customHeight="1" x14ac:dyDescent="0.4">
      <c r="A43" s="83" t="s">
        <v>69</v>
      </c>
      <c r="B43" s="84">
        <v>1</v>
      </c>
      <c r="C43" s="110" t="s">
        <v>70</v>
      </c>
      <c r="D43" s="111">
        <v>61.33</v>
      </c>
      <c r="E43" s="99"/>
      <c r="F43" s="111">
        <v>59.38</v>
      </c>
      <c r="H43" s="109"/>
    </row>
    <row r="44" spans="1:14" ht="26.25" customHeight="1" x14ac:dyDescent="0.4">
      <c r="A44" s="83" t="s">
        <v>71</v>
      </c>
      <c r="B44" s="84">
        <v>1</v>
      </c>
      <c r="C44" s="112" t="s">
        <v>72</v>
      </c>
      <c r="D44" s="113">
        <f>D43*$B$34</f>
        <v>61.33</v>
      </c>
      <c r="E44" s="114"/>
      <c r="F44" s="113">
        <f>F43*$B$34</f>
        <v>59.38</v>
      </c>
      <c r="H44" s="109"/>
    </row>
    <row r="45" spans="1:14" ht="19.5" customHeight="1" x14ac:dyDescent="0.3">
      <c r="A45" s="83" t="s">
        <v>73</v>
      </c>
      <c r="B45" s="115">
        <f>(B44/B43)*(B42/B41)*(B40/B39)*(B38/B37)*B36</f>
        <v>50</v>
      </c>
      <c r="C45" s="112" t="s">
        <v>74</v>
      </c>
      <c r="D45" s="116">
        <f>D44*$B$30/100</f>
        <v>61.612117999999988</v>
      </c>
      <c r="E45" s="117"/>
      <c r="F45" s="116">
        <f>F44*$B$30/100</f>
        <v>59.653148000000002</v>
      </c>
      <c r="H45" s="109"/>
    </row>
    <row r="46" spans="1:14" ht="19.5" customHeight="1" x14ac:dyDescent="0.3">
      <c r="A46" s="466" t="s">
        <v>75</v>
      </c>
      <c r="B46" s="467"/>
      <c r="C46" s="112" t="s">
        <v>76</v>
      </c>
      <c r="D46" s="118">
        <f>D45/$B$45</f>
        <v>1.2322423599999999</v>
      </c>
      <c r="E46" s="119"/>
      <c r="F46" s="120">
        <f>F45/$B$45</f>
        <v>1.19306296</v>
      </c>
      <c r="H46" s="109"/>
    </row>
    <row r="47" spans="1:14" ht="27" customHeight="1" x14ac:dyDescent="0.4">
      <c r="A47" s="468"/>
      <c r="B47" s="469"/>
      <c r="C47" s="121" t="s">
        <v>77</v>
      </c>
      <c r="D47" s="122">
        <v>1.2</v>
      </c>
      <c r="E47" s="123"/>
      <c r="F47" s="119"/>
      <c r="H47" s="109"/>
    </row>
    <row r="48" spans="1:14" ht="18.75" x14ac:dyDescent="0.3">
      <c r="C48" s="124" t="s">
        <v>78</v>
      </c>
      <c r="D48" s="116">
        <f>D47*$B$45</f>
        <v>60</v>
      </c>
      <c r="F48" s="125"/>
      <c r="H48" s="109"/>
    </row>
    <row r="49" spans="1:12" ht="19.5" customHeight="1" x14ac:dyDescent="0.3">
      <c r="C49" s="126" t="s">
        <v>79</v>
      </c>
      <c r="D49" s="127">
        <f>D48/B34</f>
        <v>60</v>
      </c>
      <c r="F49" s="125"/>
      <c r="H49" s="109"/>
    </row>
    <row r="50" spans="1:12" ht="18.75" x14ac:dyDescent="0.3">
      <c r="C50" s="81" t="s">
        <v>80</v>
      </c>
      <c r="D50" s="128">
        <f>AVERAGE(E38:E41,G38:G41)</f>
        <v>394838694.51419502</v>
      </c>
      <c r="F50" s="129"/>
      <c r="H50" s="109"/>
    </row>
    <row r="51" spans="1:12" ht="18.75" x14ac:dyDescent="0.3">
      <c r="C51" s="83" t="s">
        <v>81</v>
      </c>
      <c r="D51" s="130">
        <f>STDEV(E38:E41,G38:G41)/D50</f>
        <v>3.9522323802657043E-3</v>
      </c>
      <c r="F51" s="129"/>
      <c r="H51" s="109"/>
    </row>
    <row r="52" spans="1:12" ht="19.5" customHeight="1" x14ac:dyDescent="0.3">
      <c r="C52" s="131" t="s">
        <v>17</v>
      </c>
      <c r="D52" s="132">
        <f>COUNT(E38:E41,G38:G41)</f>
        <v>6</v>
      </c>
      <c r="F52" s="129"/>
    </row>
    <row r="54" spans="1:12" ht="18.75" x14ac:dyDescent="0.3">
      <c r="A54" s="133" t="s">
        <v>1</v>
      </c>
      <c r="B54" s="134" t="s">
        <v>82</v>
      </c>
    </row>
    <row r="55" spans="1:12" ht="18.75" x14ac:dyDescent="0.3">
      <c r="A55" s="58" t="s">
        <v>83</v>
      </c>
      <c r="B55" s="135" t="str">
        <f>B21</f>
        <v xml:space="preserve"> lumefantrine 120 mg</v>
      </c>
    </row>
    <row r="56" spans="1:12" ht="26.25" customHeight="1" x14ac:dyDescent="0.4">
      <c r="A56" s="136" t="s">
        <v>84</v>
      </c>
      <c r="B56" s="137">
        <v>240</v>
      </c>
      <c r="C56" s="58" t="str">
        <f>B20</f>
        <v xml:space="preserve"> Lumefantrine</v>
      </c>
      <c r="H56" s="138"/>
    </row>
    <row r="57" spans="1:12" ht="18.75" x14ac:dyDescent="0.3">
      <c r="A57" s="135" t="s">
        <v>85</v>
      </c>
      <c r="B57" s="206">
        <f>'Uniformity (2)'!C46</f>
        <v>415.07349999999997</v>
      </c>
      <c r="H57" s="138"/>
    </row>
    <row r="58" spans="1:12" ht="19.5" customHeight="1" x14ac:dyDescent="0.3">
      <c r="H58" s="138"/>
    </row>
    <row r="59" spans="1:12" s="14" customFormat="1" ht="27" customHeight="1" x14ac:dyDescent="0.4">
      <c r="A59" s="81" t="s">
        <v>86</v>
      </c>
      <c r="B59" s="82">
        <v>100</v>
      </c>
      <c r="C59" s="58"/>
      <c r="D59" s="139" t="s">
        <v>87</v>
      </c>
      <c r="E59" s="140" t="s">
        <v>59</v>
      </c>
      <c r="F59" s="140" t="s">
        <v>60</v>
      </c>
      <c r="G59" s="140" t="s">
        <v>88</v>
      </c>
      <c r="H59" s="85" t="s">
        <v>89</v>
      </c>
      <c r="L59" s="71"/>
    </row>
    <row r="60" spans="1:12" s="14" customFormat="1" ht="26.25" customHeight="1" x14ac:dyDescent="0.4">
      <c r="A60" s="83" t="s">
        <v>90</v>
      </c>
      <c r="B60" s="84">
        <v>10</v>
      </c>
      <c r="C60" s="483" t="s">
        <v>91</v>
      </c>
      <c r="D60" s="486">
        <f>Artemether1!D60</f>
        <v>418.09</v>
      </c>
      <c r="E60" s="141">
        <v>1</v>
      </c>
      <c r="F60" s="142">
        <v>389654325</v>
      </c>
      <c r="G60" s="207">
        <f>IF(ISBLANK(F60),"-",(F60/$D$50*$D$47*$B$68)*($B$57/$D$60))</f>
        <v>235.13986392141325</v>
      </c>
      <c r="H60" s="225">
        <f t="shared" ref="H60:H71" si="0">IF(ISBLANK(F60),"-",(G60/$B$56)*100)</f>
        <v>97.974943300588862</v>
      </c>
      <c r="L60" s="71"/>
    </row>
    <row r="61" spans="1:12" s="14" customFormat="1" ht="26.25" customHeight="1" x14ac:dyDescent="0.4">
      <c r="A61" s="83" t="s">
        <v>92</v>
      </c>
      <c r="B61" s="84">
        <v>20</v>
      </c>
      <c r="C61" s="484"/>
      <c r="D61" s="487"/>
      <c r="E61" s="143">
        <v>2</v>
      </c>
      <c r="F61" s="96">
        <v>391102966</v>
      </c>
      <c r="G61" s="208">
        <f>IF(ISBLANK(F61),"-",(F61/$D$50*$D$47*$B$68)*($B$57/$D$60))</f>
        <v>236.01405734300812</v>
      </c>
      <c r="H61" s="226">
        <f t="shared" si="0"/>
        <v>98.339190559586726</v>
      </c>
      <c r="L61" s="71"/>
    </row>
    <row r="62" spans="1:12" s="14" customFormat="1" ht="26.25" customHeight="1" x14ac:dyDescent="0.4">
      <c r="A62" s="83" t="s">
        <v>93</v>
      </c>
      <c r="B62" s="84">
        <v>1</v>
      </c>
      <c r="C62" s="484"/>
      <c r="D62" s="487"/>
      <c r="E62" s="143">
        <v>3</v>
      </c>
      <c r="F62" s="144">
        <v>393116219</v>
      </c>
      <c r="G62" s="208">
        <f>IF(ISBLANK(F62),"-",(F62/$D$50*$D$47*$B$68)*($B$57/$D$60))</f>
        <v>237.22897016723863</v>
      </c>
      <c r="H62" s="226">
        <f t="shared" si="0"/>
        <v>98.845404236349438</v>
      </c>
      <c r="L62" s="71"/>
    </row>
    <row r="63" spans="1:12" ht="27" customHeight="1" x14ac:dyDescent="0.4">
      <c r="A63" s="83" t="s">
        <v>94</v>
      </c>
      <c r="B63" s="84">
        <v>1</v>
      </c>
      <c r="C63" s="493"/>
      <c r="D63" s="488"/>
      <c r="E63" s="145">
        <v>4</v>
      </c>
      <c r="F63" s="146"/>
      <c r="G63" s="208" t="str">
        <f>IF(ISBLANK(F63),"-",(F63/$D$50*$D$47*$B$68)*($B$57/$D$60))</f>
        <v>-</v>
      </c>
      <c r="H63" s="226" t="str">
        <f t="shared" si="0"/>
        <v>-</v>
      </c>
    </row>
    <row r="64" spans="1:12" ht="26.25" customHeight="1" x14ac:dyDescent="0.4">
      <c r="A64" s="83" t="s">
        <v>95</v>
      </c>
      <c r="B64" s="84">
        <v>1</v>
      </c>
      <c r="C64" s="483" t="s">
        <v>96</v>
      </c>
      <c r="D64" s="486">
        <f>Artemether1!D64</f>
        <v>413.91</v>
      </c>
      <c r="E64" s="141">
        <v>1</v>
      </c>
      <c r="F64" s="142">
        <v>379165433</v>
      </c>
      <c r="G64" s="207">
        <f>IF(ISBLANK(F64),"-",(F64/$D$50*$D$47*$B$68)*($B$57/$D$64))</f>
        <v>231.12097454872409</v>
      </c>
      <c r="H64" s="225">
        <f t="shared" si="0"/>
        <v>96.300406061968374</v>
      </c>
    </row>
    <row r="65" spans="1:8" ht="26.25" customHeight="1" x14ac:dyDescent="0.4">
      <c r="A65" s="83" t="s">
        <v>97</v>
      </c>
      <c r="B65" s="84">
        <v>1</v>
      </c>
      <c r="C65" s="484"/>
      <c r="D65" s="487"/>
      <c r="E65" s="143">
        <v>2</v>
      </c>
      <c r="F65" s="96">
        <v>381252181</v>
      </c>
      <c r="G65" s="208">
        <f>IF(ISBLANK(F65),"-",(F65/$D$50*$D$47*$B$68)*($B$57/$D$64))</f>
        <v>232.39295556129071</v>
      </c>
      <c r="H65" s="226">
        <f t="shared" si="0"/>
        <v>96.830398150537789</v>
      </c>
    </row>
    <row r="66" spans="1:8" ht="26.25" customHeight="1" x14ac:dyDescent="0.4">
      <c r="A66" s="83" t="s">
        <v>98</v>
      </c>
      <c r="B66" s="84">
        <v>1</v>
      </c>
      <c r="C66" s="484"/>
      <c r="D66" s="487"/>
      <c r="E66" s="143">
        <v>3</v>
      </c>
      <c r="F66" s="96">
        <v>383358855</v>
      </c>
      <c r="G66" s="208">
        <f>IF(ISBLANK(F66),"-",(F66/$D$50*$D$47*$B$68)*($B$57/$D$64))</f>
        <v>233.67708250314845</v>
      </c>
      <c r="H66" s="226">
        <f t="shared" si="0"/>
        <v>97.36545104297852</v>
      </c>
    </row>
    <row r="67" spans="1:8" ht="27" customHeight="1" x14ac:dyDescent="0.4">
      <c r="A67" s="83" t="s">
        <v>99</v>
      </c>
      <c r="B67" s="84">
        <v>1</v>
      </c>
      <c r="C67" s="493"/>
      <c r="D67" s="488"/>
      <c r="E67" s="145">
        <v>4</v>
      </c>
      <c r="F67" s="146"/>
      <c r="G67" s="224" t="str">
        <f>IF(ISBLANK(F67),"-",(F67/$D$50*$D$47*$B$68)*($B$57/$D$64))</f>
        <v>-</v>
      </c>
      <c r="H67" s="227" t="str">
        <f t="shared" si="0"/>
        <v>-</v>
      </c>
    </row>
    <row r="68" spans="1:8" ht="26.25" customHeight="1" x14ac:dyDescent="0.4">
      <c r="A68" s="83" t="s">
        <v>100</v>
      </c>
      <c r="B68" s="147">
        <f>(B67/B66)*(B65/B64)*(B63/B62)*(B61/B60)*B59</f>
        <v>200</v>
      </c>
      <c r="C68" s="483" t="s">
        <v>101</v>
      </c>
      <c r="D68" s="486">
        <f>Artemether1!D68</f>
        <v>418.85</v>
      </c>
      <c r="E68" s="141">
        <v>1</v>
      </c>
      <c r="F68" s="142">
        <v>383915229</v>
      </c>
      <c r="G68" s="207">
        <f>IF(ISBLANK(F68),"-",(F68/$D$50*$D$47*$B$68)*($B$57/$D$68))</f>
        <v>231.2561875371116</v>
      </c>
      <c r="H68" s="226">
        <f t="shared" si="0"/>
        <v>96.356744807129829</v>
      </c>
    </row>
    <row r="69" spans="1:8" ht="27" customHeight="1" x14ac:dyDescent="0.4">
      <c r="A69" s="131" t="s">
        <v>102</v>
      </c>
      <c r="B69" s="148">
        <f>(D47*B68)/B56*B57</f>
        <v>415.07349999999997</v>
      </c>
      <c r="C69" s="484"/>
      <c r="D69" s="487"/>
      <c r="E69" s="143">
        <v>2</v>
      </c>
      <c r="F69" s="96">
        <v>385583829</v>
      </c>
      <c r="G69" s="208">
        <f>IF(ISBLANK(F69),"-",(F69/$D$50*$D$47*$B$68)*($B$57/$D$68))</f>
        <v>232.26128982370105</v>
      </c>
      <c r="H69" s="226">
        <f t="shared" si="0"/>
        <v>96.775537426542101</v>
      </c>
    </row>
    <row r="70" spans="1:8" ht="26.25" customHeight="1" x14ac:dyDescent="0.4">
      <c r="A70" s="489" t="s">
        <v>75</v>
      </c>
      <c r="B70" s="490"/>
      <c r="C70" s="484"/>
      <c r="D70" s="487"/>
      <c r="E70" s="143">
        <v>3</v>
      </c>
      <c r="F70" s="96">
        <v>385768327</v>
      </c>
      <c r="G70" s="208">
        <f>IF(ISBLANK(F70),"-",(F70/$D$50*$D$47*$B$68)*($B$57/$D$68))</f>
        <v>232.37242452445091</v>
      </c>
      <c r="H70" s="226">
        <f t="shared" si="0"/>
        <v>96.821843551854542</v>
      </c>
    </row>
    <row r="71" spans="1:8" ht="27" customHeight="1" x14ac:dyDescent="0.4">
      <c r="A71" s="491"/>
      <c r="B71" s="492"/>
      <c r="C71" s="485"/>
      <c r="D71" s="488"/>
      <c r="E71" s="145">
        <v>4</v>
      </c>
      <c r="F71" s="146"/>
      <c r="G71" s="224" t="str">
        <f>IF(ISBLANK(F71),"-",(F71/$D$50*$D$47*$B$68)*($B$57/$D$68))</f>
        <v>-</v>
      </c>
      <c r="H71" s="227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51" t="s">
        <v>68</v>
      </c>
      <c r="G72" s="213">
        <f>AVERAGE(G60:G71)</f>
        <v>233.49597843667632</v>
      </c>
      <c r="H72" s="228">
        <f>AVERAGE(H60:H71)</f>
        <v>97.289991015281799</v>
      </c>
    </row>
    <row r="73" spans="1:8" ht="26.25" customHeight="1" x14ac:dyDescent="0.4">
      <c r="C73" s="149"/>
      <c r="D73" s="149"/>
      <c r="E73" s="149"/>
      <c r="F73" s="152" t="s">
        <v>81</v>
      </c>
      <c r="G73" s="212">
        <f>STDEV(G60:G71)/G72</f>
        <v>9.2936085847583772E-3</v>
      </c>
      <c r="H73" s="212">
        <f>STDEV(H60:H71)/H72</f>
        <v>9.2936085847584275E-3</v>
      </c>
    </row>
    <row r="74" spans="1:8" ht="27" customHeight="1" x14ac:dyDescent="0.4">
      <c r="A74" s="149"/>
      <c r="B74" s="149"/>
      <c r="C74" s="150"/>
      <c r="D74" s="150"/>
      <c r="E74" s="153"/>
      <c r="F74" s="154" t="s">
        <v>17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7" t="s">
        <v>103</v>
      </c>
      <c r="B76" s="156" t="s">
        <v>104</v>
      </c>
      <c r="C76" s="470" t="str">
        <f>B26</f>
        <v>Lumefantrine</v>
      </c>
      <c r="D76" s="470"/>
      <c r="E76" s="157" t="s">
        <v>105</v>
      </c>
      <c r="F76" s="157"/>
      <c r="G76" s="158">
        <f>H72</f>
        <v>97.289991015281799</v>
      </c>
      <c r="H76" s="159"/>
    </row>
    <row r="77" spans="1:8" ht="18.75" x14ac:dyDescent="0.3">
      <c r="A77" s="66" t="s">
        <v>106</v>
      </c>
      <c r="B77" s="66" t="s">
        <v>107</v>
      </c>
    </row>
    <row r="78" spans="1:8" ht="18.75" x14ac:dyDescent="0.3">
      <c r="A78" s="66"/>
      <c r="B78" s="66"/>
    </row>
    <row r="79" spans="1:8" ht="26.25" customHeight="1" x14ac:dyDescent="0.4">
      <c r="A79" s="67" t="s">
        <v>4</v>
      </c>
      <c r="B79" s="504" t="str">
        <f>B26</f>
        <v>Lumefantrine</v>
      </c>
      <c r="C79" s="504"/>
    </row>
    <row r="80" spans="1:8" ht="26.25" customHeight="1" x14ac:dyDescent="0.4">
      <c r="A80" s="68" t="s">
        <v>45</v>
      </c>
      <c r="B80" s="504" t="str">
        <f>B27</f>
        <v>L1 0</v>
      </c>
      <c r="C80" s="504"/>
    </row>
    <row r="81" spans="1:12" ht="27" customHeight="1" x14ac:dyDescent="0.4">
      <c r="A81" s="68" t="s">
        <v>6</v>
      </c>
      <c r="B81" s="160">
        <f>B28</f>
        <v>100.46</v>
      </c>
    </row>
    <row r="82" spans="1:12" s="14" customFormat="1" ht="27" customHeight="1" x14ac:dyDescent="0.4">
      <c r="A82" s="68" t="s">
        <v>46</v>
      </c>
      <c r="B82" s="70">
        <v>0</v>
      </c>
      <c r="C82" s="472" t="s">
        <v>47</v>
      </c>
      <c r="D82" s="473"/>
      <c r="E82" s="473"/>
      <c r="F82" s="473"/>
      <c r="G82" s="474"/>
      <c r="I82" s="71"/>
      <c r="J82" s="71"/>
      <c r="K82" s="71"/>
      <c r="L82" s="71"/>
    </row>
    <row r="83" spans="1:12" s="14" customFormat="1" ht="19.5" customHeight="1" x14ac:dyDescent="0.3">
      <c r="A83" s="68" t="s">
        <v>48</v>
      </c>
      <c r="B83" s="72">
        <f>B81-B82</f>
        <v>100.46</v>
      </c>
      <c r="C83" s="73"/>
      <c r="D83" s="73"/>
      <c r="E83" s="73"/>
      <c r="F83" s="73"/>
      <c r="G83" s="74"/>
      <c r="I83" s="71"/>
      <c r="J83" s="71"/>
      <c r="K83" s="71"/>
      <c r="L83" s="71"/>
    </row>
    <row r="84" spans="1:12" s="14" customFormat="1" ht="27" customHeight="1" x14ac:dyDescent="0.4">
      <c r="A84" s="68" t="s">
        <v>49</v>
      </c>
      <c r="B84" s="75">
        <v>1</v>
      </c>
      <c r="C84" s="475" t="s">
        <v>108</v>
      </c>
      <c r="D84" s="476"/>
      <c r="E84" s="476"/>
      <c r="F84" s="476"/>
      <c r="G84" s="476"/>
      <c r="H84" s="477"/>
      <c r="I84" s="71"/>
      <c r="J84" s="71"/>
      <c r="K84" s="71"/>
      <c r="L84" s="71"/>
    </row>
    <row r="85" spans="1:12" s="14" customFormat="1" ht="27" customHeight="1" x14ac:dyDescent="0.4">
      <c r="A85" s="68" t="s">
        <v>51</v>
      </c>
      <c r="B85" s="75">
        <v>1</v>
      </c>
      <c r="C85" s="475" t="s">
        <v>109</v>
      </c>
      <c r="D85" s="476"/>
      <c r="E85" s="476"/>
      <c r="F85" s="476"/>
      <c r="G85" s="476"/>
      <c r="H85" s="477"/>
      <c r="I85" s="71"/>
      <c r="J85" s="71"/>
      <c r="K85" s="71"/>
      <c r="L85" s="71"/>
    </row>
    <row r="86" spans="1:12" s="14" customFormat="1" ht="18.75" x14ac:dyDescent="0.3">
      <c r="A86" s="68"/>
      <c r="B86" s="78"/>
      <c r="C86" s="79"/>
      <c r="D86" s="79"/>
      <c r="E86" s="79"/>
      <c r="F86" s="79"/>
      <c r="G86" s="79"/>
      <c r="H86" s="79"/>
      <c r="I86" s="71"/>
      <c r="J86" s="71"/>
      <c r="K86" s="71"/>
      <c r="L86" s="71"/>
    </row>
    <row r="87" spans="1:12" s="14" customFormat="1" ht="18.75" x14ac:dyDescent="0.3">
      <c r="A87" s="68" t="s">
        <v>53</v>
      </c>
      <c r="B87" s="80">
        <f>B84/B85</f>
        <v>1</v>
      </c>
      <c r="C87" s="58" t="s">
        <v>54</v>
      </c>
      <c r="D87" s="58"/>
      <c r="E87" s="58"/>
      <c r="F87" s="58"/>
      <c r="G87" s="58"/>
      <c r="I87" s="71"/>
      <c r="J87" s="71"/>
      <c r="K87" s="71"/>
      <c r="L87" s="71"/>
    </row>
    <row r="88" spans="1:12" ht="19.5" customHeight="1" x14ac:dyDescent="0.3">
      <c r="A88" s="66"/>
      <c r="B88" s="66"/>
    </row>
    <row r="89" spans="1:12" ht="27" customHeight="1" x14ac:dyDescent="0.4">
      <c r="A89" s="81" t="s">
        <v>55</v>
      </c>
      <c r="B89" s="82">
        <v>50</v>
      </c>
      <c r="D89" s="161" t="s">
        <v>56</v>
      </c>
      <c r="E89" s="162"/>
      <c r="F89" s="478" t="s">
        <v>57</v>
      </c>
      <c r="G89" s="479"/>
    </row>
    <row r="90" spans="1:12" ht="27" customHeight="1" x14ac:dyDescent="0.4">
      <c r="A90" s="83" t="s">
        <v>58</v>
      </c>
      <c r="B90" s="84">
        <v>3</v>
      </c>
      <c r="C90" s="163" t="s">
        <v>59</v>
      </c>
      <c r="D90" s="86" t="s">
        <v>60</v>
      </c>
      <c r="E90" s="87" t="s">
        <v>61</v>
      </c>
      <c r="F90" s="86" t="s">
        <v>60</v>
      </c>
      <c r="G90" s="164" t="s">
        <v>61</v>
      </c>
      <c r="I90" s="89" t="s">
        <v>62</v>
      </c>
    </row>
    <row r="91" spans="1:12" ht="26.25" customHeight="1" x14ac:dyDescent="0.4">
      <c r="A91" s="83" t="s">
        <v>63</v>
      </c>
      <c r="B91" s="84">
        <v>5</v>
      </c>
      <c r="C91" s="165">
        <v>1</v>
      </c>
      <c r="D91" s="91">
        <v>0.38200000000000001</v>
      </c>
      <c r="E91" s="92">
        <f>IF(ISBLANK(D91),"-",$D$101/$D$98*D91)</f>
        <v>0.46428674738449771</v>
      </c>
      <c r="F91" s="91">
        <v>0.378</v>
      </c>
      <c r="G91" s="93">
        <f>IF(ISBLANK(F91),"-",$D$101/$F$98*F91)</f>
        <v>0.46596800229778929</v>
      </c>
      <c r="I91" s="94"/>
    </row>
    <row r="92" spans="1:12" ht="26.25" customHeight="1" x14ac:dyDescent="0.4">
      <c r="A92" s="83" t="s">
        <v>64</v>
      </c>
      <c r="B92" s="84">
        <v>1</v>
      </c>
      <c r="C92" s="150">
        <v>2</v>
      </c>
      <c r="D92" s="96">
        <v>0.38800000000000001</v>
      </c>
      <c r="E92" s="97">
        <f>IF(ISBLANK(D92),"-",$D$101/$D$98*D92)</f>
        <v>0.47157920938530135</v>
      </c>
      <c r="F92" s="96">
        <v>0.38200000000000001</v>
      </c>
      <c r="G92" s="98">
        <f>IF(ISBLANK(F92),"-",$D$101/$F$98*F92)</f>
        <v>0.47089888062898283</v>
      </c>
      <c r="I92" s="480">
        <f>ABS((F96/D96*D95)-F95)/D95</f>
        <v>2.7958393010296041E-3</v>
      </c>
    </row>
    <row r="93" spans="1:12" ht="26.25" customHeight="1" x14ac:dyDescent="0.4">
      <c r="A93" s="83" t="s">
        <v>65</v>
      </c>
      <c r="B93" s="84">
        <v>1</v>
      </c>
      <c r="C93" s="150">
        <v>3</v>
      </c>
      <c r="D93" s="96">
        <v>0.38600000000000001</v>
      </c>
      <c r="E93" s="97">
        <f>IF(ISBLANK(D93),"-",$D$101/$D$98*D93)</f>
        <v>0.46914838871836678</v>
      </c>
      <c r="F93" s="96">
        <v>0.38300000000000001</v>
      </c>
      <c r="G93" s="98">
        <f>IF(ISBLANK(F93),"-",$D$101/$F$98*F93)</f>
        <v>0.47213160021178119</v>
      </c>
      <c r="I93" s="480"/>
    </row>
    <row r="94" spans="1:12" ht="27" customHeight="1" x14ac:dyDescent="0.4">
      <c r="A94" s="83" t="s">
        <v>66</v>
      </c>
      <c r="B94" s="84">
        <v>1</v>
      </c>
      <c r="C94" s="166">
        <v>4</v>
      </c>
      <c r="D94" s="101"/>
      <c r="E94" s="102" t="str">
        <f>IF(ISBLANK(D94),"-",$D$101/$D$98*D94)</f>
        <v>-</v>
      </c>
      <c r="F94" s="167"/>
      <c r="G94" s="103" t="str">
        <f>IF(ISBLANK(F94),"-",$D$101/$F$98*F94)</f>
        <v>-</v>
      </c>
      <c r="I94" s="104"/>
    </row>
    <row r="95" spans="1:12" ht="27" customHeight="1" x14ac:dyDescent="0.4">
      <c r="A95" s="83" t="s">
        <v>67</v>
      </c>
      <c r="B95" s="84">
        <v>1</v>
      </c>
      <c r="C95" s="168" t="s">
        <v>68</v>
      </c>
      <c r="D95" s="169">
        <f>AVERAGE(D91:D94)</f>
        <v>0.38533333333333336</v>
      </c>
      <c r="E95" s="107">
        <f>AVERAGE(E91:E94)</f>
        <v>0.46833811516272195</v>
      </c>
      <c r="F95" s="170">
        <f>AVERAGE(F91:F94)</f>
        <v>0.38100000000000001</v>
      </c>
      <c r="G95" s="171">
        <f>AVERAGE(G91:G94)</f>
        <v>0.46966616104618447</v>
      </c>
    </row>
    <row r="96" spans="1:12" ht="26.25" customHeight="1" x14ac:dyDescent="0.4">
      <c r="A96" s="83" t="s">
        <v>69</v>
      </c>
      <c r="B96" s="69">
        <v>1</v>
      </c>
      <c r="C96" s="172" t="s">
        <v>110</v>
      </c>
      <c r="D96" s="173">
        <v>16.38</v>
      </c>
      <c r="E96" s="99"/>
      <c r="F96" s="111">
        <v>16.149999999999999</v>
      </c>
    </row>
    <row r="97" spans="1:10" ht="26.25" customHeight="1" x14ac:dyDescent="0.4">
      <c r="A97" s="83" t="s">
        <v>71</v>
      </c>
      <c r="B97" s="69">
        <v>1</v>
      </c>
      <c r="C97" s="174" t="s">
        <v>111</v>
      </c>
      <c r="D97" s="175">
        <f>D96*$B$87</f>
        <v>16.38</v>
      </c>
      <c r="E97" s="114"/>
      <c r="F97" s="113">
        <f>F96*$B$87</f>
        <v>16.149999999999999</v>
      </c>
    </row>
    <row r="98" spans="1:10" ht="19.5" customHeight="1" x14ac:dyDescent="0.3">
      <c r="A98" s="83" t="s">
        <v>73</v>
      </c>
      <c r="B98" s="176">
        <f>(B97/B96)*(B95/B94)*(B93/B92)*(B91/B90)*B89</f>
        <v>83.333333333333343</v>
      </c>
      <c r="C98" s="174" t="s">
        <v>112</v>
      </c>
      <c r="D98" s="177">
        <f>D97*$B$83/100</f>
        <v>16.455348000000001</v>
      </c>
      <c r="E98" s="117"/>
      <c r="F98" s="116">
        <f>F97*$B$83/100</f>
        <v>16.22429</v>
      </c>
    </row>
    <row r="99" spans="1:10" ht="19.5" customHeight="1" x14ac:dyDescent="0.3">
      <c r="A99" s="466" t="s">
        <v>75</v>
      </c>
      <c r="B99" s="481"/>
      <c r="C99" s="174" t="s">
        <v>113</v>
      </c>
      <c r="D99" s="178">
        <f>D98/$B$98</f>
        <v>0.19746417599999999</v>
      </c>
      <c r="E99" s="117"/>
      <c r="F99" s="120">
        <f>F98/$B$98</f>
        <v>0.19469147999999997</v>
      </c>
      <c r="G99" s="179"/>
      <c r="H99" s="109"/>
    </row>
    <row r="100" spans="1:10" ht="19.5" customHeight="1" x14ac:dyDescent="0.3">
      <c r="A100" s="468"/>
      <c r="B100" s="482"/>
      <c r="C100" s="174" t="s">
        <v>77</v>
      </c>
      <c r="D100" s="180">
        <f>$B$56/$B$116</f>
        <v>0.24</v>
      </c>
      <c r="F100" s="125"/>
      <c r="G100" s="181"/>
      <c r="H100" s="109"/>
    </row>
    <row r="101" spans="1:10" ht="18.75" x14ac:dyDescent="0.3">
      <c r="C101" s="174" t="s">
        <v>78</v>
      </c>
      <c r="D101" s="175">
        <f>D100*$B$98</f>
        <v>20</v>
      </c>
      <c r="F101" s="125"/>
      <c r="G101" s="179"/>
      <c r="H101" s="109"/>
    </row>
    <row r="102" spans="1:10" ht="19.5" customHeight="1" x14ac:dyDescent="0.3">
      <c r="C102" s="182" t="s">
        <v>79</v>
      </c>
      <c r="D102" s="183">
        <f>D101/B34</f>
        <v>20</v>
      </c>
      <c r="F102" s="129"/>
      <c r="G102" s="179"/>
      <c r="H102" s="109"/>
      <c r="J102" s="184"/>
    </row>
    <row r="103" spans="1:10" ht="18.75" x14ac:dyDescent="0.3">
      <c r="C103" s="185" t="s">
        <v>114</v>
      </c>
      <c r="D103" s="186">
        <f>AVERAGE(E91:E94,G91:G94)</f>
        <v>0.46900213810445318</v>
      </c>
      <c r="F103" s="129"/>
      <c r="G103" s="187"/>
      <c r="H103" s="109"/>
      <c r="J103" s="188"/>
    </row>
    <row r="104" spans="1:10" ht="18.75" x14ac:dyDescent="0.3">
      <c r="C104" s="152" t="s">
        <v>81</v>
      </c>
      <c r="D104" s="189">
        <f>STDEV(E91:E94,G91:G94)/D103</f>
        <v>6.8426072440869396E-3</v>
      </c>
      <c r="F104" s="129"/>
      <c r="G104" s="179"/>
      <c r="H104" s="109"/>
      <c r="J104" s="188"/>
    </row>
    <row r="105" spans="1:10" ht="19.5" customHeight="1" x14ac:dyDescent="0.3">
      <c r="C105" s="154" t="s">
        <v>17</v>
      </c>
      <c r="D105" s="190">
        <f>COUNT(E91:E94,G91:G94)</f>
        <v>6</v>
      </c>
      <c r="F105" s="129"/>
      <c r="G105" s="179"/>
      <c r="H105" s="109"/>
      <c r="J105" s="188"/>
    </row>
    <row r="106" spans="1:10" ht="19.5" customHeight="1" x14ac:dyDescent="0.3">
      <c r="A106" s="133"/>
      <c r="B106" s="133"/>
      <c r="C106" s="133"/>
      <c r="D106" s="133"/>
      <c r="E106" s="133"/>
    </row>
    <row r="107" spans="1:10" ht="27" customHeight="1" x14ac:dyDescent="0.4">
      <c r="A107" s="81" t="s">
        <v>115</v>
      </c>
      <c r="B107" s="82">
        <v>1000</v>
      </c>
      <c r="C107" s="229" t="s">
        <v>116</v>
      </c>
      <c r="D107" s="229" t="s">
        <v>60</v>
      </c>
      <c r="E107" s="229" t="s">
        <v>117</v>
      </c>
      <c r="F107" s="191" t="s">
        <v>118</v>
      </c>
    </row>
    <row r="108" spans="1:10" ht="26.25" customHeight="1" x14ac:dyDescent="0.4">
      <c r="A108" s="83" t="s">
        <v>119</v>
      </c>
      <c r="B108" s="84">
        <v>1</v>
      </c>
      <c r="C108" s="234">
        <v>1</v>
      </c>
      <c r="D108" s="235">
        <v>0.38900000000000001</v>
      </c>
      <c r="E108" s="209">
        <f t="shared" ref="E108:E113" si="1">IF(ISBLANK(D108),"-",D108/$D$103*$D$100*$B$116)</f>
        <v>199.06092619818176</v>
      </c>
      <c r="F108" s="236">
        <f t="shared" ref="F108:F113" si="2">IF(ISBLANK(D108), "-", (E108/$B$56)*100)</f>
        <v>82.942052582575727</v>
      </c>
    </row>
    <row r="109" spans="1:10" ht="26.25" customHeight="1" x14ac:dyDescent="0.4">
      <c r="A109" s="83" t="s">
        <v>92</v>
      </c>
      <c r="B109" s="84">
        <v>1</v>
      </c>
      <c r="C109" s="230">
        <v>2</v>
      </c>
      <c r="D109" s="232">
        <v>0.39400000000000002</v>
      </c>
      <c r="E109" s="210">
        <f t="shared" si="1"/>
        <v>201.61954992823553</v>
      </c>
      <c r="F109" s="237">
        <f t="shared" si="2"/>
        <v>84.008145803431461</v>
      </c>
    </row>
    <row r="110" spans="1:10" ht="26.25" customHeight="1" x14ac:dyDescent="0.4">
      <c r="A110" s="83" t="s">
        <v>93</v>
      </c>
      <c r="B110" s="84">
        <v>1</v>
      </c>
      <c r="C110" s="230">
        <v>3</v>
      </c>
      <c r="D110" s="232">
        <v>0.38800000000000001</v>
      </c>
      <c r="E110" s="210">
        <f t="shared" si="1"/>
        <v>198.54920145217099</v>
      </c>
      <c r="F110" s="237">
        <f t="shared" si="2"/>
        <v>82.728833938404577</v>
      </c>
    </row>
    <row r="111" spans="1:10" ht="26.25" customHeight="1" x14ac:dyDescent="0.4">
      <c r="A111" s="83" t="s">
        <v>94</v>
      </c>
      <c r="B111" s="84">
        <v>1</v>
      </c>
      <c r="C111" s="230">
        <v>4</v>
      </c>
      <c r="D111" s="232">
        <v>0.38600000000000001</v>
      </c>
      <c r="E111" s="210">
        <f t="shared" si="1"/>
        <v>197.52575196014948</v>
      </c>
      <c r="F111" s="237">
        <f t="shared" si="2"/>
        <v>82.302396650062278</v>
      </c>
    </row>
    <row r="112" spans="1:10" ht="26.25" customHeight="1" x14ac:dyDescent="0.4">
      <c r="A112" s="83" t="s">
        <v>95</v>
      </c>
      <c r="B112" s="84">
        <v>1</v>
      </c>
      <c r="C112" s="230">
        <v>5</v>
      </c>
      <c r="D112" s="232">
        <v>0.38800000000000001</v>
      </c>
      <c r="E112" s="210">
        <f t="shared" si="1"/>
        <v>198.54920145217099</v>
      </c>
      <c r="F112" s="237">
        <f t="shared" si="2"/>
        <v>82.728833938404577</v>
      </c>
    </row>
    <row r="113" spans="1:10" ht="27" customHeight="1" x14ac:dyDescent="0.4">
      <c r="A113" s="83" t="s">
        <v>97</v>
      </c>
      <c r="B113" s="84">
        <v>1</v>
      </c>
      <c r="C113" s="231">
        <v>6</v>
      </c>
      <c r="D113" s="233">
        <v>0.38600000000000001</v>
      </c>
      <c r="E113" s="211">
        <f t="shared" si="1"/>
        <v>197.52575196014948</v>
      </c>
      <c r="F113" s="238">
        <f t="shared" si="2"/>
        <v>82.302396650062278</v>
      </c>
    </row>
    <row r="114" spans="1:10" ht="27" customHeight="1" x14ac:dyDescent="0.4">
      <c r="A114" s="83" t="s">
        <v>98</v>
      </c>
      <c r="B114" s="84">
        <v>1</v>
      </c>
      <c r="C114" s="192"/>
      <c r="D114" s="150"/>
      <c r="E114" s="57"/>
      <c r="F114" s="239"/>
    </row>
    <row r="115" spans="1:10" ht="26.25" customHeight="1" x14ac:dyDescent="0.4">
      <c r="A115" s="83" t="s">
        <v>99</v>
      </c>
      <c r="B115" s="84">
        <v>1</v>
      </c>
      <c r="C115" s="192"/>
      <c r="D115" s="216" t="s">
        <v>68</v>
      </c>
      <c r="E115" s="218">
        <f>AVERAGE(E108:E113)</f>
        <v>198.80506382517638</v>
      </c>
      <c r="F115" s="240">
        <f>AVERAGE(F108:F113)</f>
        <v>82.835443260490152</v>
      </c>
    </row>
    <row r="116" spans="1:10" ht="27" customHeight="1" x14ac:dyDescent="0.4">
      <c r="A116" s="83" t="s">
        <v>100</v>
      </c>
      <c r="B116" s="115">
        <f>(B115/B114)*(B113/B112)*(B111/B110)*(B109/B108)*B107</f>
        <v>1000</v>
      </c>
      <c r="C116" s="193"/>
      <c r="D116" s="217" t="s">
        <v>81</v>
      </c>
      <c r="E116" s="215">
        <f>STDEV(E108:E113)/E115</f>
        <v>7.5922168359087855E-3</v>
      </c>
      <c r="F116" s="194">
        <f>STDEV(F108:F113)/F115</f>
        <v>7.5922168359087612E-3</v>
      </c>
      <c r="I116" s="57"/>
    </row>
    <row r="117" spans="1:10" ht="27" customHeight="1" x14ac:dyDescent="0.4">
      <c r="A117" s="466" t="s">
        <v>75</v>
      </c>
      <c r="B117" s="467"/>
      <c r="C117" s="195"/>
      <c r="D117" s="154" t="s">
        <v>17</v>
      </c>
      <c r="E117" s="220">
        <f>COUNT(E108:E113)</f>
        <v>6</v>
      </c>
      <c r="F117" s="221">
        <f>COUNT(F108:F113)</f>
        <v>6</v>
      </c>
      <c r="I117" s="57"/>
      <c r="J117" s="188"/>
    </row>
    <row r="118" spans="1:10" ht="26.25" customHeight="1" x14ac:dyDescent="0.3">
      <c r="A118" s="468"/>
      <c r="B118" s="469"/>
      <c r="C118" s="57"/>
      <c r="D118" s="219"/>
      <c r="E118" s="494" t="s">
        <v>120</v>
      </c>
      <c r="F118" s="495"/>
      <c r="G118" s="57"/>
      <c r="H118" s="57"/>
      <c r="I118" s="57"/>
    </row>
    <row r="119" spans="1:10" ht="25.5" customHeight="1" x14ac:dyDescent="0.4">
      <c r="A119" s="204"/>
      <c r="B119" s="79"/>
      <c r="C119" s="57"/>
      <c r="D119" s="217" t="s">
        <v>121</v>
      </c>
      <c r="E119" s="222">
        <f>MIN(E108:E113)</f>
        <v>197.52575196014948</v>
      </c>
      <c r="F119" s="241">
        <f>MIN(F108:F113)</f>
        <v>82.302396650062278</v>
      </c>
      <c r="G119" s="57"/>
      <c r="H119" s="57"/>
      <c r="I119" s="57"/>
    </row>
    <row r="120" spans="1:10" ht="24" customHeight="1" x14ac:dyDescent="0.4">
      <c r="A120" s="204"/>
      <c r="B120" s="79"/>
      <c r="C120" s="57"/>
      <c r="D120" s="126" t="s">
        <v>122</v>
      </c>
      <c r="E120" s="223">
        <f>MAX(E108:E113)</f>
        <v>201.61954992823553</v>
      </c>
      <c r="F120" s="242">
        <f>MAX(F108:F113)</f>
        <v>84.008145803431461</v>
      </c>
      <c r="G120" s="57"/>
      <c r="H120" s="57"/>
      <c r="I120" s="57"/>
    </row>
    <row r="121" spans="1:10" ht="27" customHeight="1" x14ac:dyDescent="0.3">
      <c r="A121" s="204"/>
      <c r="B121" s="79"/>
      <c r="C121" s="57"/>
      <c r="D121" s="57"/>
      <c r="E121" s="57"/>
      <c r="F121" s="150"/>
      <c r="G121" s="57"/>
      <c r="H121" s="57"/>
      <c r="I121" s="57"/>
    </row>
    <row r="122" spans="1:10" ht="25.5" customHeight="1" x14ac:dyDescent="0.3">
      <c r="A122" s="204"/>
      <c r="B122" s="79"/>
      <c r="C122" s="57"/>
      <c r="D122" s="57"/>
      <c r="E122" s="57"/>
      <c r="F122" s="150"/>
      <c r="G122" s="57"/>
      <c r="H122" s="57"/>
      <c r="I122" s="57"/>
    </row>
    <row r="123" spans="1:10" ht="18.75" x14ac:dyDescent="0.3">
      <c r="A123" s="204"/>
      <c r="B123" s="79"/>
      <c r="C123" s="57"/>
      <c r="D123" s="57"/>
      <c r="E123" s="57"/>
      <c r="F123" s="150"/>
      <c r="G123" s="57"/>
      <c r="H123" s="57"/>
      <c r="I123" s="57"/>
    </row>
    <row r="124" spans="1:10" ht="45.75" customHeight="1" x14ac:dyDescent="0.65">
      <c r="A124" s="67" t="s">
        <v>103</v>
      </c>
      <c r="B124" s="156" t="s">
        <v>123</v>
      </c>
      <c r="C124" s="470" t="str">
        <f>B26</f>
        <v>Lumefantrine</v>
      </c>
      <c r="D124" s="470"/>
      <c r="E124" s="157" t="s">
        <v>124</v>
      </c>
      <c r="F124" s="157"/>
      <c r="G124" s="243">
        <f>F115</f>
        <v>82.835443260490152</v>
      </c>
      <c r="H124" s="57"/>
      <c r="I124" s="57"/>
    </row>
    <row r="125" spans="1:10" ht="45.75" customHeight="1" x14ac:dyDescent="0.65">
      <c r="A125" s="67"/>
      <c r="B125" s="156" t="s">
        <v>125</v>
      </c>
      <c r="C125" s="68" t="s">
        <v>126</v>
      </c>
      <c r="D125" s="243">
        <f>MIN(F108:F113)</f>
        <v>82.302396650062278</v>
      </c>
      <c r="E125" s="168" t="s">
        <v>127</v>
      </c>
      <c r="F125" s="243">
        <f>MAX(F108:F113)</f>
        <v>84.008145803431461</v>
      </c>
      <c r="G125" s="158"/>
      <c r="H125" s="57"/>
      <c r="I125" s="57"/>
    </row>
    <row r="126" spans="1:10" ht="19.5" customHeight="1" x14ac:dyDescent="0.3">
      <c r="A126" s="196"/>
      <c r="B126" s="196"/>
      <c r="C126" s="197"/>
      <c r="D126" s="197"/>
      <c r="E126" s="197"/>
      <c r="F126" s="197"/>
      <c r="G126" s="197"/>
      <c r="H126" s="197"/>
    </row>
    <row r="127" spans="1:10" ht="18.75" x14ac:dyDescent="0.3">
      <c r="B127" s="471" t="s">
        <v>23</v>
      </c>
      <c r="C127" s="471"/>
      <c r="E127" s="163" t="s">
        <v>24</v>
      </c>
      <c r="F127" s="198"/>
      <c r="G127" s="471" t="s">
        <v>25</v>
      </c>
      <c r="H127" s="471"/>
    </row>
    <row r="128" spans="1:10" ht="69.95" customHeight="1" x14ac:dyDescent="0.3">
      <c r="A128" s="199" t="s">
        <v>26</v>
      </c>
      <c r="B128" s="200"/>
      <c r="C128" s="200"/>
      <c r="E128" s="200"/>
      <c r="F128" s="57"/>
      <c r="G128" s="201"/>
      <c r="H128" s="201"/>
    </row>
    <row r="129" spans="1:9" ht="69.95" customHeight="1" x14ac:dyDescent="0.3">
      <c r="A129" s="199" t="s">
        <v>27</v>
      </c>
      <c r="B129" s="202"/>
      <c r="C129" s="202"/>
      <c r="E129" s="202"/>
      <c r="F129" s="57"/>
      <c r="G129" s="203"/>
      <c r="H129" s="203"/>
    </row>
    <row r="130" spans="1:9" ht="18.75" x14ac:dyDescent="0.3">
      <c r="A130" s="149"/>
      <c r="B130" s="149"/>
      <c r="C130" s="150"/>
      <c r="D130" s="150"/>
      <c r="E130" s="150"/>
      <c r="F130" s="153"/>
      <c r="G130" s="150"/>
      <c r="H130" s="150"/>
      <c r="I130" s="57"/>
    </row>
    <row r="131" spans="1:9" ht="18.75" x14ac:dyDescent="0.3">
      <c r="A131" s="149"/>
      <c r="B131" s="149"/>
      <c r="C131" s="150"/>
      <c r="D131" s="150"/>
      <c r="E131" s="150"/>
      <c r="F131" s="153"/>
      <c r="G131" s="150"/>
      <c r="H131" s="150"/>
      <c r="I131" s="57"/>
    </row>
    <row r="132" spans="1:9" ht="18.75" x14ac:dyDescent="0.3">
      <c r="A132" s="149"/>
      <c r="B132" s="149"/>
      <c r="C132" s="150"/>
      <c r="D132" s="150"/>
      <c r="E132" s="150"/>
      <c r="F132" s="153"/>
      <c r="G132" s="150"/>
      <c r="H132" s="150"/>
      <c r="I132" s="57"/>
    </row>
    <row r="133" spans="1:9" ht="18.75" x14ac:dyDescent="0.3">
      <c r="A133" s="149"/>
      <c r="B133" s="149"/>
      <c r="C133" s="150"/>
      <c r="D133" s="150"/>
      <c r="E133" s="150"/>
      <c r="F133" s="153"/>
      <c r="G133" s="150"/>
      <c r="H133" s="150"/>
      <c r="I133" s="57"/>
    </row>
    <row r="134" spans="1:9" ht="18.75" x14ac:dyDescent="0.3">
      <c r="A134" s="149"/>
      <c r="B134" s="149"/>
      <c r="C134" s="150"/>
      <c r="D134" s="150"/>
      <c r="E134" s="150"/>
      <c r="F134" s="153"/>
      <c r="G134" s="150"/>
      <c r="H134" s="150"/>
      <c r="I134" s="57"/>
    </row>
    <row r="135" spans="1:9" ht="18.75" x14ac:dyDescent="0.3">
      <c r="A135" s="149"/>
      <c r="B135" s="149"/>
      <c r="C135" s="150"/>
      <c r="D135" s="150"/>
      <c r="E135" s="150"/>
      <c r="F135" s="153"/>
      <c r="G135" s="150"/>
      <c r="H135" s="150"/>
      <c r="I135" s="57"/>
    </row>
    <row r="136" spans="1:9" ht="18.75" x14ac:dyDescent="0.3">
      <c r="A136" s="149"/>
      <c r="B136" s="149"/>
      <c r="C136" s="150"/>
      <c r="D136" s="150"/>
      <c r="E136" s="150"/>
      <c r="F136" s="153"/>
      <c r="G136" s="150"/>
      <c r="H136" s="150"/>
      <c r="I136" s="57"/>
    </row>
    <row r="137" spans="1:9" ht="18.75" x14ac:dyDescent="0.3">
      <c r="A137" s="149"/>
      <c r="B137" s="149"/>
      <c r="C137" s="150"/>
      <c r="D137" s="150"/>
      <c r="E137" s="150"/>
      <c r="F137" s="153"/>
      <c r="G137" s="150"/>
      <c r="H137" s="150"/>
      <c r="I137" s="57"/>
    </row>
    <row r="138" spans="1:9" ht="18.75" x14ac:dyDescent="0.3">
      <c r="A138" s="149"/>
      <c r="B138" s="149"/>
      <c r="C138" s="150"/>
      <c r="D138" s="150"/>
      <c r="E138" s="150"/>
      <c r="F138" s="153"/>
      <c r="G138" s="150"/>
      <c r="H138" s="150"/>
      <c r="I138" s="5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78" zoomScale="50" zoomScaleNormal="75" zoomScaleSheetLayoutView="50" workbookViewId="0">
      <selection activeCell="H129" sqref="H129"/>
    </sheetView>
  </sheetViews>
  <sheetFormatPr defaultRowHeight="13.5" x14ac:dyDescent="0.25"/>
  <cols>
    <col min="1" max="1" width="55.42578125" style="250" customWidth="1"/>
    <col min="2" max="2" width="33.7109375" style="250" customWidth="1"/>
    <col min="3" max="3" width="42.28515625" style="250" customWidth="1"/>
    <col min="4" max="4" width="30.5703125" style="250" customWidth="1"/>
    <col min="5" max="5" width="39.85546875" style="250" customWidth="1"/>
    <col min="6" max="6" width="30.7109375" style="250" customWidth="1"/>
    <col min="7" max="7" width="39.85546875" style="250" customWidth="1"/>
    <col min="8" max="8" width="41.140625" style="250" customWidth="1"/>
    <col min="9" max="9" width="30.28515625" style="250" customWidth="1"/>
    <col min="10" max="10" width="30.42578125" style="250" customWidth="1"/>
    <col min="11" max="11" width="21.28515625" style="250" customWidth="1"/>
    <col min="12" max="12" width="9.140625" style="250" customWidth="1"/>
    <col min="13" max="16384" width="9.140625" style="252"/>
  </cols>
  <sheetData>
    <row r="1" spans="1:8" x14ac:dyDescent="0.25">
      <c r="A1" s="533" t="s">
        <v>42</v>
      </c>
      <c r="B1" s="533"/>
      <c r="C1" s="533"/>
      <c r="D1" s="533"/>
      <c r="E1" s="533"/>
      <c r="F1" s="533"/>
      <c r="G1" s="533"/>
      <c r="H1" s="533"/>
    </row>
    <row r="2" spans="1:8" x14ac:dyDescent="0.25">
      <c r="A2" s="533"/>
      <c r="B2" s="533"/>
      <c r="C2" s="533"/>
      <c r="D2" s="533"/>
      <c r="E2" s="533"/>
      <c r="F2" s="533"/>
      <c r="G2" s="533"/>
      <c r="H2" s="533"/>
    </row>
    <row r="3" spans="1:8" x14ac:dyDescent="0.25">
      <c r="A3" s="533"/>
      <c r="B3" s="533"/>
      <c r="C3" s="533"/>
      <c r="D3" s="533"/>
      <c r="E3" s="533"/>
      <c r="F3" s="533"/>
      <c r="G3" s="533"/>
      <c r="H3" s="533"/>
    </row>
    <row r="4" spans="1:8" x14ac:dyDescent="0.25">
      <c r="A4" s="533"/>
      <c r="B4" s="533"/>
      <c r="C4" s="533"/>
      <c r="D4" s="533"/>
      <c r="E4" s="533"/>
      <c r="F4" s="533"/>
      <c r="G4" s="533"/>
      <c r="H4" s="533"/>
    </row>
    <row r="5" spans="1:8" x14ac:dyDescent="0.25">
      <c r="A5" s="533"/>
      <c r="B5" s="533"/>
      <c r="C5" s="533"/>
      <c r="D5" s="533"/>
      <c r="E5" s="533"/>
      <c r="F5" s="533"/>
      <c r="G5" s="533"/>
      <c r="H5" s="533"/>
    </row>
    <row r="6" spans="1:8" x14ac:dyDescent="0.25">
      <c r="A6" s="533"/>
      <c r="B6" s="533"/>
      <c r="C6" s="533"/>
      <c r="D6" s="533"/>
      <c r="E6" s="533"/>
      <c r="F6" s="533"/>
      <c r="G6" s="533"/>
      <c r="H6" s="533"/>
    </row>
    <row r="7" spans="1:8" x14ac:dyDescent="0.25">
      <c r="A7" s="533"/>
      <c r="B7" s="533"/>
      <c r="C7" s="533"/>
      <c r="D7" s="533"/>
      <c r="E7" s="533"/>
      <c r="F7" s="533"/>
      <c r="G7" s="533"/>
      <c r="H7" s="533"/>
    </row>
    <row r="8" spans="1:8" x14ac:dyDescent="0.25">
      <c r="A8" s="534" t="s">
        <v>43</v>
      </c>
      <c r="B8" s="534"/>
      <c r="C8" s="534"/>
      <c r="D8" s="534"/>
      <c r="E8" s="534"/>
      <c r="F8" s="534"/>
      <c r="G8" s="534"/>
      <c r="H8" s="534"/>
    </row>
    <row r="9" spans="1:8" x14ac:dyDescent="0.25">
      <c r="A9" s="534"/>
      <c r="B9" s="534"/>
      <c r="C9" s="534"/>
      <c r="D9" s="534"/>
      <c r="E9" s="534"/>
      <c r="F9" s="534"/>
      <c r="G9" s="534"/>
      <c r="H9" s="534"/>
    </row>
    <row r="10" spans="1:8" x14ac:dyDescent="0.25">
      <c r="A10" s="534"/>
      <c r="B10" s="534"/>
      <c r="C10" s="534"/>
      <c r="D10" s="534"/>
      <c r="E10" s="534"/>
      <c r="F10" s="534"/>
      <c r="G10" s="534"/>
      <c r="H10" s="534"/>
    </row>
    <row r="11" spans="1:8" x14ac:dyDescent="0.25">
      <c r="A11" s="534"/>
      <c r="B11" s="534"/>
      <c r="C11" s="534"/>
      <c r="D11" s="534"/>
      <c r="E11" s="534"/>
      <c r="F11" s="534"/>
      <c r="G11" s="534"/>
      <c r="H11" s="534"/>
    </row>
    <row r="12" spans="1:8" x14ac:dyDescent="0.25">
      <c r="A12" s="534"/>
      <c r="B12" s="534"/>
      <c r="C12" s="534"/>
      <c r="D12" s="534"/>
      <c r="E12" s="534"/>
      <c r="F12" s="534"/>
      <c r="G12" s="534"/>
      <c r="H12" s="534"/>
    </row>
    <row r="13" spans="1:8" x14ac:dyDescent="0.25">
      <c r="A13" s="534"/>
      <c r="B13" s="534"/>
      <c r="C13" s="534"/>
      <c r="D13" s="534"/>
      <c r="E13" s="534"/>
      <c r="F13" s="534"/>
      <c r="G13" s="534"/>
      <c r="H13" s="534"/>
    </row>
    <row r="14" spans="1:8" x14ac:dyDescent="0.25">
      <c r="A14" s="534"/>
      <c r="B14" s="534"/>
      <c r="C14" s="534"/>
      <c r="D14" s="534"/>
      <c r="E14" s="534"/>
      <c r="F14" s="534"/>
      <c r="G14" s="534"/>
      <c r="H14" s="534"/>
    </row>
    <row r="15" spans="1:8" ht="19.5" customHeight="1" thickBot="1" x14ac:dyDescent="0.3"/>
    <row r="16" spans="1:8" ht="19.5" customHeight="1" thickBot="1" x14ac:dyDescent="0.3">
      <c r="A16" s="535" t="s">
        <v>28</v>
      </c>
      <c r="B16" s="536"/>
      <c r="C16" s="536"/>
      <c r="D16" s="536"/>
      <c r="E16" s="536"/>
      <c r="F16" s="536"/>
      <c r="G16" s="536"/>
      <c r="H16" s="537"/>
    </row>
    <row r="17" spans="1:14" ht="18.75" x14ac:dyDescent="0.3">
      <c r="A17" s="251" t="s">
        <v>44</v>
      </c>
      <c r="B17" s="251"/>
    </row>
    <row r="18" spans="1:14" ht="18.75" x14ac:dyDescent="0.3">
      <c r="A18" s="253" t="s">
        <v>30</v>
      </c>
      <c r="B18" s="538" t="s">
        <v>134</v>
      </c>
      <c r="C18" s="538"/>
      <c r="D18" s="254"/>
      <c r="E18" s="254"/>
    </row>
    <row r="19" spans="1:14" ht="18.75" x14ac:dyDescent="0.3">
      <c r="A19" s="253" t="s">
        <v>31</v>
      </c>
      <c r="B19" s="255" t="s">
        <v>135</v>
      </c>
      <c r="C19" s="256">
        <v>24</v>
      </c>
    </row>
    <row r="20" spans="1:14" ht="18.75" x14ac:dyDescent="0.3">
      <c r="A20" s="253" t="s">
        <v>32</v>
      </c>
      <c r="B20" s="255" t="s">
        <v>128</v>
      </c>
    </row>
    <row r="21" spans="1:14" ht="18.75" x14ac:dyDescent="0.3">
      <c r="A21" s="253" t="s">
        <v>33</v>
      </c>
      <c r="B21" s="257" t="s">
        <v>136</v>
      </c>
      <c r="C21" s="257"/>
      <c r="D21" s="257"/>
      <c r="E21" s="257"/>
      <c r="F21" s="257"/>
      <c r="G21" s="257"/>
      <c r="H21" s="257"/>
      <c r="I21" s="257"/>
    </row>
    <row r="22" spans="1:14" ht="18.75" x14ac:dyDescent="0.3">
      <c r="A22" s="253" t="s">
        <v>34</v>
      </c>
      <c r="B22" s="258">
        <v>42719</v>
      </c>
    </row>
    <row r="23" spans="1:14" ht="18.75" x14ac:dyDescent="0.3">
      <c r="A23" s="253" t="s">
        <v>35</v>
      </c>
      <c r="B23" s="258">
        <v>42723</v>
      </c>
    </row>
    <row r="24" spans="1:14" ht="18.75" x14ac:dyDescent="0.3">
      <c r="A24" s="253"/>
      <c r="B24" s="259"/>
    </row>
    <row r="25" spans="1:14" ht="18.75" x14ac:dyDescent="0.3">
      <c r="A25" s="260" t="s">
        <v>1</v>
      </c>
      <c r="B25" s="259"/>
    </row>
    <row r="26" spans="1:14" ht="26.25" customHeight="1" x14ac:dyDescent="0.4">
      <c r="A26" s="261" t="s">
        <v>4</v>
      </c>
      <c r="B26" s="262" t="s">
        <v>128</v>
      </c>
      <c r="C26" s="263"/>
    </row>
    <row r="27" spans="1:14" ht="26.25" customHeight="1" x14ac:dyDescent="0.4">
      <c r="A27" s="264" t="s">
        <v>45</v>
      </c>
      <c r="B27" s="265" t="s">
        <v>133</v>
      </c>
    </row>
    <row r="28" spans="1:14" ht="27" customHeight="1" thickBot="1" x14ac:dyDescent="0.45">
      <c r="A28" s="264" t="s">
        <v>6</v>
      </c>
      <c r="B28" s="265">
        <v>99.65</v>
      </c>
    </row>
    <row r="29" spans="1:14" s="266" customFormat="1" ht="27" customHeight="1" thickBot="1" x14ac:dyDescent="0.45">
      <c r="A29" s="264" t="s">
        <v>46</v>
      </c>
      <c r="B29" s="265">
        <v>0</v>
      </c>
      <c r="C29" s="511" t="s">
        <v>47</v>
      </c>
      <c r="D29" s="512"/>
      <c r="E29" s="512"/>
      <c r="F29" s="512"/>
      <c r="G29" s="513"/>
      <c r="I29" s="267"/>
      <c r="J29" s="267"/>
      <c r="K29" s="267"/>
      <c r="L29" s="267"/>
    </row>
    <row r="30" spans="1:14" s="266" customFormat="1" ht="19.5" customHeight="1" thickBot="1" x14ac:dyDescent="0.35">
      <c r="A30" s="264" t="s">
        <v>48</v>
      </c>
      <c r="B30" s="268">
        <f>B28-B29</f>
        <v>99.65</v>
      </c>
      <c r="C30" s="269"/>
      <c r="D30" s="269"/>
      <c r="E30" s="269"/>
      <c r="F30" s="269"/>
      <c r="G30" s="270"/>
      <c r="I30" s="267"/>
      <c r="J30" s="267"/>
      <c r="K30" s="267"/>
      <c r="L30" s="267"/>
    </row>
    <row r="31" spans="1:14" s="266" customFormat="1" ht="27" customHeight="1" thickBot="1" x14ac:dyDescent="0.45">
      <c r="A31" s="264" t="s">
        <v>49</v>
      </c>
      <c r="B31" s="271">
        <v>1</v>
      </c>
      <c r="C31" s="514" t="s">
        <v>50</v>
      </c>
      <c r="D31" s="515"/>
      <c r="E31" s="515"/>
      <c r="F31" s="515"/>
      <c r="G31" s="515"/>
      <c r="H31" s="516"/>
      <c r="I31" s="267"/>
      <c r="J31" s="267"/>
      <c r="K31" s="267"/>
      <c r="L31" s="267"/>
    </row>
    <row r="32" spans="1:14" s="266" customFormat="1" ht="27" customHeight="1" thickBot="1" x14ac:dyDescent="0.45">
      <c r="A32" s="264" t="s">
        <v>51</v>
      </c>
      <c r="B32" s="271">
        <v>1</v>
      </c>
      <c r="C32" s="514" t="s">
        <v>52</v>
      </c>
      <c r="D32" s="515"/>
      <c r="E32" s="515"/>
      <c r="F32" s="515"/>
      <c r="G32" s="515"/>
      <c r="H32" s="516"/>
      <c r="I32" s="267"/>
      <c r="J32" s="267"/>
      <c r="K32" s="267"/>
      <c r="L32" s="272"/>
      <c r="M32" s="272"/>
      <c r="N32" s="273"/>
    </row>
    <row r="33" spans="1:14" s="266" customFormat="1" ht="17.25" customHeight="1" x14ac:dyDescent="0.3">
      <c r="A33" s="264"/>
      <c r="B33" s="274"/>
      <c r="C33" s="275"/>
      <c r="D33" s="275"/>
      <c r="E33" s="275"/>
      <c r="F33" s="275"/>
      <c r="G33" s="275"/>
      <c r="H33" s="275"/>
      <c r="I33" s="267"/>
      <c r="J33" s="267"/>
      <c r="K33" s="267"/>
      <c r="L33" s="272"/>
      <c r="M33" s="272"/>
      <c r="N33" s="273"/>
    </row>
    <row r="34" spans="1:14" s="266" customFormat="1" ht="18.75" x14ac:dyDescent="0.3">
      <c r="A34" s="264" t="s">
        <v>53</v>
      </c>
      <c r="B34" s="276">
        <f>B31/B32</f>
        <v>1</v>
      </c>
      <c r="C34" s="256" t="s">
        <v>54</v>
      </c>
      <c r="D34" s="256"/>
      <c r="E34" s="256"/>
      <c r="F34" s="256"/>
      <c r="G34" s="256"/>
      <c r="I34" s="267"/>
      <c r="J34" s="267"/>
      <c r="K34" s="267"/>
      <c r="L34" s="272"/>
      <c r="M34" s="272"/>
      <c r="N34" s="273"/>
    </row>
    <row r="35" spans="1:14" s="266" customFormat="1" ht="19.5" customHeight="1" thickBot="1" x14ac:dyDescent="0.35">
      <c r="A35" s="264"/>
      <c r="B35" s="268"/>
      <c r="G35" s="256"/>
      <c r="I35" s="267"/>
      <c r="J35" s="267"/>
      <c r="K35" s="267"/>
      <c r="L35" s="272"/>
      <c r="M35" s="272"/>
      <c r="N35" s="273"/>
    </row>
    <row r="36" spans="1:14" s="266" customFormat="1" ht="27" customHeight="1" thickBot="1" x14ac:dyDescent="0.45">
      <c r="A36" s="277" t="s">
        <v>137</v>
      </c>
      <c r="B36" s="278">
        <v>50</v>
      </c>
      <c r="C36" s="256"/>
      <c r="D36" s="517" t="s">
        <v>56</v>
      </c>
      <c r="E36" s="532"/>
      <c r="F36" s="517" t="s">
        <v>57</v>
      </c>
      <c r="G36" s="518"/>
      <c r="J36" s="267"/>
      <c r="K36" s="267"/>
      <c r="L36" s="272"/>
      <c r="M36" s="272"/>
      <c r="N36" s="273"/>
    </row>
    <row r="37" spans="1:14" s="266" customFormat="1" ht="15.75" customHeight="1" x14ac:dyDescent="0.4">
      <c r="A37" s="279" t="s">
        <v>58</v>
      </c>
      <c r="B37" s="280">
        <v>1</v>
      </c>
      <c r="C37" s="281" t="s">
        <v>138</v>
      </c>
      <c r="D37" s="282" t="s">
        <v>60</v>
      </c>
      <c r="E37" s="283" t="s">
        <v>61</v>
      </c>
      <c r="F37" s="282" t="s">
        <v>60</v>
      </c>
      <c r="G37" s="284" t="s">
        <v>61</v>
      </c>
      <c r="J37" s="267"/>
      <c r="K37" s="267"/>
      <c r="L37" s="272"/>
      <c r="M37" s="272"/>
      <c r="N37" s="273"/>
    </row>
    <row r="38" spans="1:14" s="266" customFormat="1" ht="26.25" customHeight="1" x14ac:dyDescent="0.4">
      <c r="A38" s="279" t="s">
        <v>63</v>
      </c>
      <c r="B38" s="280">
        <v>1</v>
      </c>
      <c r="C38" s="285">
        <v>1</v>
      </c>
      <c r="D38" s="244">
        <v>920441</v>
      </c>
      <c r="E38" s="287">
        <f>IF(ISBLANK(D38),"-",$D$48/$D$45*D38)</f>
        <v>875520.24502821476</v>
      </c>
      <c r="F38" s="244">
        <v>907900</v>
      </c>
      <c r="G38" s="288">
        <f>IF(ISBLANK(F38),"-",$D$48/$F$45*F38)</f>
        <v>895859.2043637489</v>
      </c>
      <c r="J38" s="267"/>
      <c r="K38" s="267"/>
      <c r="L38" s="272"/>
      <c r="M38" s="272"/>
      <c r="N38" s="273"/>
    </row>
    <row r="39" spans="1:14" s="266" customFormat="1" ht="26.25" customHeight="1" x14ac:dyDescent="0.4">
      <c r="A39" s="279" t="s">
        <v>64</v>
      </c>
      <c r="B39" s="280">
        <v>1</v>
      </c>
      <c r="C39" s="289">
        <v>2</v>
      </c>
      <c r="D39" s="245">
        <v>928063</v>
      </c>
      <c r="E39" s="291">
        <f>IF(ISBLANK(D39),"-",$D$48/$D$45*D39)</f>
        <v>882770.26464664238</v>
      </c>
      <c r="F39" s="245">
        <v>912556</v>
      </c>
      <c r="G39" s="292">
        <f>IF(ISBLANK(F39),"-",$D$48/$F$45*F39)</f>
        <v>900453.45533358876</v>
      </c>
      <c r="J39" s="267"/>
      <c r="K39" s="267"/>
      <c r="L39" s="272"/>
      <c r="M39" s="272"/>
      <c r="N39" s="273"/>
    </row>
    <row r="40" spans="1:14" ht="26.25" customHeight="1" x14ac:dyDescent="0.4">
      <c r="A40" s="279" t="s">
        <v>65</v>
      </c>
      <c r="B40" s="280">
        <v>1</v>
      </c>
      <c r="C40" s="289">
        <v>3</v>
      </c>
      <c r="D40" s="245">
        <v>919972</v>
      </c>
      <c r="E40" s="291">
        <f>IF(ISBLANK(D40),"-",$D$48/$D$45*D40)</f>
        <v>875074.13387614943</v>
      </c>
      <c r="F40" s="245">
        <v>904027</v>
      </c>
      <c r="G40" s="292">
        <f>IF(ISBLANK(F40),"-",$D$48/$F$45*F40)</f>
        <v>892037.56905314117</v>
      </c>
      <c r="L40" s="272"/>
      <c r="M40" s="272"/>
      <c r="N40" s="256"/>
    </row>
    <row r="41" spans="1:14" ht="26.25" customHeight="1" x14ac:dyDescent="0.4">
      <c r="A41" s="279" t="s">
        <v>66</v>
      </c>
      <c r="B41" s="280">
        <v>1</v>
      </c>
      <c r="C41" s="293">
        <v>4</v>
      </c>
      <c r="D41" s="246"/>
      <c r="E41" s="295" t="str">
        <f>IF(ISBLANK(D41),"-",$D$48/$D$45*D41)</f>
        <v>-</v>
      </c>
      <c r="F41" s="246"/>
      <c r="G41" s="296" t="str">
        <f>IF(ISBLANK(F41),"-",$D$48/$F$45*F41)</f>
        <v>-</v>
      </c>
      <c r="L41" s="272"/>
      <c r="M41" s="272"/>
      <c r="N41" s="256"/>
    </row>
    <row r="42" spans="1:14" ht="27" customHeight="1" thickBot="1" x14ac:dyDescent="0.45">
      <c r="A42" s="279" t="s">
        <v>67</v>
      </c>
      <c r="B42" s="280">
        <v>1</v>
      </c>
      <c r="C42" s="297" t="s">
        <v>68</v>
      </c>
      <c r="D42" s="298">
        <f>AVERAGE(D38:D41)</f>
        <v>922825.33333333337</v>
      </c>
      <c r="E42" s="299">
        <f>AVERAGE(E38:E41)</f>
        <v>877788.21451700211</v>
      </c>
      <c r="F42" s="300">
        <f>AVERAGE(F38:F41)</f>
        <v>908161</v>
      </c>
      <c r="G42" s="301">
        <f>AVERAGE(G38:G41)</f>
        <v>896116.74291682616</v>
      </c>
      <c r="H42" s="302"/>
    </row>
    <row r="43" spans="1:14" ht="26.25" customHeight="1" x14ac:dyDescent="0.4">
      <c r="A43" s="279" t="s">
        <v>69</v>
      </c>
      <c r="B43" s="265">
        <v>1</v>
      </c>
      <c r="C43" s="303" t="s">
        <v>110</v>
      </c>
      <c r="D43" s="304">
        <v>10.55</v>
      </c>
      <c r="E43" s="256"/>
      <c r="F43" s="305">
        <v>10.17</v>
      </c>
      <c r="H43" s="302"/>
    </row>
    <row r="44" spans="1:14" ht="26.25" customHeight="1" x14ac:dyDescent="0.4">
      <c r="A44" s="279" t="s">
        <v>71</v>
      </c>
      <c r="B44" s="265">
        <v>1</v>
      </c>
      <c r="C44" s="306" t="s">
        <v>111</v>
      </c>
      <c r="D44" s="307">
        <f>D43*$B$34</f>
        <v>10.55</v>
      </c>
      <c r="E44" s="308"/>
      <c r="F44" s="309">
        <f>F43*$B$34</f>
        <v>10.17</v>
      </c>
      <c r="H44" s="302"/>
    </row>
    <row r="45" spans="1:14" ht="19.5" customHeight="1" thickBot="1" x14ac:dyDescent="0.35">
      <c r="A45" s="279" t="s">
        <v>73</v>
      </c>
      <c r="B45" s="268">
        <f>(B44/B43)*(B42/B41)*(B40/B39)*(B38/B37)*B36</f>
        <v>50</v>
      </c>
      <c r="C45" s="306" t="s">
        <v>74</v>
      </c>
      <c r="D45" s="310">
        <f>D44*$B$30/100</f>
        <v>10.513075000000001</v>
      </c>
      <c r="E45" s="311"/>
      <c r="F45" s="312">
        <f>F44*$B$30/100</f>
        <v>10.134405000000001</v>
      </c>
      <c r="H45" s="302"/>
    </row>
    <row r="46" spans="1:14" ht="19.5" customHeight="1" thickBot="1" x14ac:dyDescent="0.35">
      <c r="A46" s="507" t="s">
        <v>75</v>
      </c>
      <c r="B46" s="519"/>
      <c r="C46" s="306" t="s">
        <v>76</v>
      </c>
      <c r="D46" s="307">
        <f>D45/$B$45</f>
        <v>0.21026150000000002</v>
      </c>
      <c r="E46" s="311"/>
      <c r="F46" s="313">
        <f>F45/$B$45</f>
        <v>0.20268810000000001</v>
      </c>
      <c r="H46" s="302"/>
    </row>
    <row r="47" spans="1:14" ht="27" customHeight="1" thickBot="1" x14ac:dyDescent="0.45">
      <c r="A47" s="509"/>
      <c r="B47" s="520"/>
      <c r="C47" s="306" t="s">
        <v>139</v>
      </c>
      <c r="D47" s="314">
        <v>0.2</v>
      </c>
      <c r="F47" s="315"/>
      <c r="H47" s="302"/>
    </row>
    <row r="48" spans="1:14" ht="18.75" x14ac:dyDescent="0.3">
      <c r="C48" s="306" t="s">
        <v>78</v>
      </c>
      <c r="D48" s="307">
        <f>D47*$B$45</f>
        <v>10</v>
      </c>
      <c r="F48" s="315"/>
      <c r="H48" s="302"/>
    </row>
    <row r="49" spans="1:12" ht="19.5" customHeight="1" thickBot="1" x14ac:dyDescent="0.35">
      <c r="C49" s="316" t="s">
        <v>79</v>
      </c>
      <c r="D49" s="317">
        <f>D48/B34</f>
        <v>10</v>
      </c>
      <c r="F49" s="318"/>
      <c r="H49" s="302"/>
    </row>
    <row r="50" spans="1:12" ht="18.75" x14ac:dyDescent="0.3">
      <c r="C50" s="319" t="s">
        <v>80</v>
      </c>
      <c r="D50" s="320">
        <f>AVERAGE(E38:E41,G38:G41)</f>
        <v>886952.47871691419</v>
      </c>
      <c r="F50" s="318"/>
      <c r="H50" s="302"/>
    </row>
    <row r="51" spans="1:12" ht="18.75" x14ac:dyDescent="0.3">
      <c r="C51" s="321" t="s">
        <v>81</v>
      </c>
      <c r="D51" s="322">
        <f>STDEV(E38:E41,G38:G41)/D50</f>
        <v>1.2108965151645813E-2</v>
      </c>
      <c r="F51" s="318"/>
    </row>
    <row r="52" spans="1:12" ht="19.5" customHeight="1" thickBot="1" x14ac:dyDescent="0.35">
      <c r="C52" s="323" t="s">
        <v>17</v>
      </c>
      <c r="D52" s="324">
        <f>COUNT(E38:E41,G38:G41)</f>
        <v>6</v>
      </c>
      <c r="F52" s="318"/>
    </row>
    <row r="54" spans="1:12" ht="18.75" x14ac:dyDescent="0.3">
      <c r="A54" s="251" t="s">
        <v>1</v>
      </c>
      <c r="B54" s="325" t="s">
        <v>82</v>
      </c>
    </row>
    <row r="55" spans="1:12" ht="18.75" x14ac:dyDescent="0.3">
      <c r="A55" s="256" t="s">
        <v>83</v>
      </c>
      <c r="B55" s="326" t="str">
        <f>B21</f>
        <v>Each tablets contains 40mg Artemether</v>
      </c>
    </row>
    <row r="56" spans="1:12" ht="26.25" customHeight="1" x14ac:dyDescent="0.4">
      <c r="A56" s="326" t="s">
        <v>140</v>
      </c>
      <c r="B56" s="265">
        <v>40</v>
      </c>
      <c r="C56" s="256" t="str">
        <f>B20</f>
        <v>Artemether</v>
      </c>
      <c r="H56" s="308"/>
    </row>
    <row r="57" spans="1:12" ht="18.75" x14ac:dyDescent="0.3">
      <c r="A57" s="326" t="s">
        <v>141</v>
      </c>
      <c r="B57" s="327">
        <f>'Uniformity (2)'!C46</f>
        <v>415.07349999999997</v>
      </c>
      <c r="H57" s="308"/>
    </row>
    <row r="58" spans="1:12" ht="19.5" customHeight="1" thickBot="1" x14ac:dyDescent="0.35">
      <c r="H58" s="308"/>
    </row>
    <row r="59" spans="1:12" s="266" customFormat="1" ht="27" customHeight="1" thickBot="1" x14ac:dyDescent="0.45">
      <c r="A59" s="277" t="s">
        <v>142</v>
      </c>
      <c r="B59" s="278">
        <v>100</v>
      </c>
      <c r="C59" s="256"/>
      <c r="D59" s="328" t="s">
        <v>87</v>
      </c>
      <c r="E59" s="329" t="s">
        <v>59</v>
      </c>
      <c r="F59" s="329" t="s">
        <v>60</v>
      </c>
      <c r="G59" s="329" t="s">
        <v>88</v>
      </c>
      <c r="H59" s="281" t="s">
        <v>89</v>
      </c>
      <c r="L59" s="267"/>
    </row>
    <row r="60" spans="1:12" s="266" customFormat="1" ht="22.5" customHeight="1" x14ac:dyDescent="0.4">
      <c r="A60" s="279" t="s">
        <v>119</v>
      </c>
      <c r="B60" s="280">
        <v>10</v>
      </c>
      <c r="C60" s="521" t="s">
        <v>91</v>
      </c>
      <c r="D60" s="524">
        <v>418.09</v>
      </c>
      <c r="E60" s="330">
        <v>1</v>
      </c>
      <c r="F60" s="331">
        <v>858160</v>
      </c>
      <c r="G60" s="332">
        <f>IF(ISBLANK(F60),"-",(F60/$D$50*$D$47*$B$68)*($B$57/$D$60))</f>
        <v>38.422280145143887</v>
      </c>
      <c r="H60" s="333">
        <f t="shared" ref="H60:H71" si="0">IF(ISBLANK(F60),"-",G60/$B$56)</f>
        <v>0.96055700362859719</v>
      </c>
      <c r="L60" s="267"/>
    </row>
    <row r="61" spans="1:12" s="266" customFormat="1" ht="26.25" customHeight="1" x14ac:dyDescent="0.4">
      <c r="A61" s="279" t="s">
        <v>92</v>
      </c>
      <c r="B61" s="280">
        <v>20</v>
      </c>
      <c r="C61" s="522"/>
      <c r="D61" s="525"/>
      <c r="E61" s="334">
        <v>2</v>
      </c>
      <c r="F61" s="290">
        <v>858695</v>
      </c>
      <c r="G61" s="335">
        <f>IF(ISBLANK(F61),"-",(F61/$D$50*$D$47*$B$68)*($B$57/$D$60))</f>
        <v>38.4462336268695</v>
      </c>
      <c r="H61" s="336">
        <f t="shared" si="0"/>
        <v>0.96115584067173754</v>
      </c>
      <c r="L61" s="267"/>
    </row>
    <row r="62" spans="1:12" s="266" customFormat="1" ht="26.25" customHeight="1" x14ac:dyDescent="0.4">
      <c r="A62" s="279" t="s">
        <v>93</v>
      </c>
      <c r="B62" s="280">
        <v>1</v>
      </c>
      <c r="C62" s="522"/>
      <c r="D62" s="525"/>
      <c r="E62" s="334">
        <v>3</v>
      </c>
      <c r="F62" s="290">
        <v>861092</v>
      </c>
      <c r="G62" s="335">
        <f>IF(ISBLANK(F62),"-",(F62/$D$50*$D$47*$B$68)*($B$57/$D$60))</f>
        <v>38.553554179572849</v>
      </c>
      <c r="H62" s="336">
        <f t="shared" si="0"/>
        <v>0.96383885448932127</v>
      </c>
      <c r="L62" s="267"/>
    </row>
    <row r="63" spans="1:12" ht="21" customHeight="1" thickBot="1" x14ac:dyDescent="0.45">
      <c r="A63" s="279" t="s">
        <v>94</v>
      </c>
      <c r="B63" s="280">
        <v>1</v>
      </c>
      <c r="C63" s="523"/>
      <c r="D63" s="526"/>
      <c r="E63" s="337">
        <v>4</v>
      </c>
      <c r="F63" s="338"/>
      <c r="G63" s="335" t="str">
        <f>IF(ISBLANK(F63),"-",(F63/$D$50*$D$47*$B$68)*($B$57/$D$60))</f>
        <v>-</v>
      </c>
      <c r="H63" s="336" t="str">
        <f t="shared" si="0"/>
        <v>-</v>
      </c>
    </row>
    <row r="64" spans="1:12" ht="26.25" customHeight="1" x14ac:dyDescent="0.4">
      <c r="A64" s="279" t="s">
        <v>95</v>
      </c>
      <c r="B64" s="280">
        <v>1</v>
      </c>
      <c r="C64" s="521" t="s">
        <v>96</v>
      </c>
      <c r="D64" s="524">
        <v>413.91</v>
      </c>
      <c r="E64" s="330">
        <v>1</v>
      </c>
      <c r="F64" s="331"/>
      <c r="G64" s="339" t="str">
        <f>IF(ISBLANK(F64),"-",(F64/$D$50*$D$47*$B$68)*($B$57/$D$64))</f>
        <v>-</v>
      </c>
      <c r="H64" s="340" t="str">
        <f t="shared" si="0"/>
        <v>-</v>
      </c>
    </row>
    <row r="65" spans="1:8" ht="26.25" customHeight="1" x14ac:dyDescent="0.4">
      <c r="A65" s="279" t="s">
        <v>97</v>
      </c>
      <c r="B65" s="280">
        <v>1</v>
      </c>
      <c r="C65" s="522"/>
      <c r="D65" s="525"/>
      <c r="E65" s="334">
        <v>2</v>
      </c>
      <c r="F65" s="290"/>
      <c r="G65" s="341" t="str">
        <f>IF(ISBLANK(F65),"-",(F65/$D$50*$D$47*$B$68)*($B$57/$D$64))</f>
        <v>-</v>
      </c>
      <c r="H65" s="342" t="str">
        <f t="shared" si="0"/>
        <v>-</v>
      </c>
    </row>
    <row r="66" spans="1:8" ht="26.25" customHeight="1" x14ac:dyDescent="0.4">
      <c r="A66" s="279" t="s">
        <v>98</v>
      </c>
      <c r="B66" s="280">
        <v>1</v>
      </c>
      <c r="C66" s="522"/>
      <c r="D66" s="525"/>
      <c r="E66" s="334">
        <v>3</v>
      </c>
      <c r="F66" s="290"/>
      <c r="G66" s="341" t="str">
        <f>IF(ISBLANK(F66),"-",(F66/$D$50*$D$47*$B$68)*($B$57/$D$64))</f>
        <v>-</v>
      </c>
      <c r="H66" s="342" t="str">
        <f t="shared" si="0"/>
        <v>-</v>
      </c>
    </row>
    <row r="67" spans="1:8" ht="21" customHeight="1" thickBot="1" x14ac:dyDescent="0.45">
      <c r="A67" s="279" t="s">
        <v>99</v>
      </c>
      <c r="B67" s="280">
        <v>1</v>
      </c>
      <c r="C67" s="523"/>
      <c r="D67" s="526"/>
      <c r="E67" s="337">
        <v>4</v>
      </c>
      <c r="F67" s="338"/>
      <c r="G67" s="343" t="str">
        <f>IF(ISBLANK(F67),"-",(F67/$D$50*$D$47*$B$68)*($B$57/$D$64))</f>
        <v>-</v>
      </c>
      <c r="H67" s="344" t="str">
        <f t="shared" si="0"/>
        <v>-</v>
      </c>
    </row>
    <row r="68" spans="1:8" ht="21.75" customHeight="1" x14ac:dyDescent="0.4">
      <c r="A68" s="279" t="s">
        <v>100</v>
      </c>
      <c r="B68" s="345">
        <f>(B67/B66)*(B65/B64)*(B63/B62)*(B61/B60)*B59</f>
        <v>200</v>
      </c>
      <c r="C68" s="521" t="s">
        <v>101</v>
      </c>
      <c r="D68" s="524">
        <v>418.85</v>
      </c>
      <c r="E68" s="330">
        <v>1</v>
      </c>
      <c r="F68" s="331">
        <v>832667</v>
      </c>
      <c r="G68" s="339">
        <f>IF(ISBLANK(F68),"-",(F68/$D$50*$D$47*$B$68)*($B$57/$D$68))</f>
        <v>37.213239676827044</v>
      </c>
      <c r="H68" s="336">
        <f t="shared" si="0"/>
        <v>0.93033099192067614</v>
      </c>
    </row>
    <row r="69" spans="1:8" ht="21.75" customHeight="1" thickBot="1" x14ac:dyDescent="0.45">
      <c r="A69" s="346" t="s">
        <v>102</v>
      </c>
      <c r="B69" s="347">
        <f>D47*B68/B56*B57</f>
        <v>415.07349999999997</v>
      </c>
      <c r="C69" s="522"/>
      <c r="D69" s="525"/>
      <c r="E69" s="334">
        <v>2</v>
      </c>
      <c r="F69" s="290">
        <v>832890</v>
      </c>
      <c r="G69" s="341">
        <f>IF(ISBLANK(F69),"-",(F69/$D$50*$D$47*$B$68)*($B$57/$D$68))</f>
        <v>37.223205908763624</v>
      </c>
      <c r="H69" s="336">
        <f t="shared" si="0"/>
        <v>0.93058014771909059</v>
      </c>
    </row>
    <row r="70" spans="1:8" ht="22.5" customHeight="1" x14ac:dyDescent="0.4">
      <c r="A70" s="528" t="s">
        <v>75</v>
      </c>
      <c r="B70" s="529"/>
      <c r="C70" s="522"/>
      <c r="D70" s="525"/>
      <c r="E70" s="334">
        <v>3</v>
      </c>
      <c r="F70" s="290">
        <v>833704</v>
      </c>
      <c r="G70" s="341">
        <f>IF(ISBLANK(F70),"-",(F70/$D$50*$D$47*$B$68)*($B$57/$D$68))</f>
        <v>37.25958488991327</v>
      </c>
      <c r="H70" s="336">
        <f t="shared" si="0"/>
        <v>0.93148962224783172</v>
      </c>
    </row>
    <row r="71" spans="1:8" ht="21.75" customHeight="1" thickBot="1" x14ac:dyDescent="0.45">
      <c r="A71" s="530"/>
      <c r="B71" s="531"/>
      <c r="C71" s="527"/>
      <c r="D71" s="526"/>
      <c r="E71" s="337">
        <v>4</v>
      </c>
      <c r="F71" s="338"/>
      <c r="G71" s="343" t="str">
        <f>IF(ISBLANK(F71),"-",(F71/$D$50*$D$47*$B$68)*($B$57/$D$68))</f>
        <v>-</v>
      </c>
      <c r="H71" s="348" t="str">
        <f t="shared" si="0"/>
        <v>-</v>
      </c>
    </row>
    <row r="72" spans="1:8" ht="26.25" customHeight="1" x14ac:dyDescent="0.4">
      <c r="A72" s="308"/>
      <c r="B72" s="308"/>
      <c r="C72" s="308"/>
      <c r="D72" s="308"/>
      <c r="E72" s="308"/>
      <c r="F72" s="308"/>
      <c r="G72" s="349" t="s">
        <v>68</v>
      </c>
      <c r="H72" s="350">
        <f>AVERAGE(H60:H71)</f>
        <v>0.94632541011287563</v>
      </c>
    </row>
    <row r="73" spans="1:8" ht="26.25" customHeight="1" x14ac:dyDescent="0.4">
      <c r="C73" s="308"/>
      <c r="D73" s="308"/>
      <c r="E73" s="308"/>
      <c r="F73" s="308"/>
      <c r="G73" s="321" t="s">
        <v>81</v>
      </c>
      <c r="H73" s="351">
        <f>STDEV(H60:H71)/H72</f>
        <v>1.8014104492845472E-2</v>
      </c>
    </row>
    <row r="74" spans="1:8" ht="27" customHeight="1" thickBot="1" x14ac:dyDescent="0.45">
      <c r="A74" s="308"/>
      <c r="B74" s="308"/>
      <c r="C74" s="308"/>
      <c r="D74" s="308"/>
      <c r="E74" s="311"/>
      <c r="F74" s="308"/>
      <c r="G74" s="323" t="s">
        <v>17</v>
      </c>
      <c r="H74" s="352">
        <f>COUNT(H60:H71)</f>
        <v>6</v>
      </c>
    </row>
    <row r="75" spans="1:8" ht="18.75" x14ac:dyDescent="0.3">
      <c r="A75" s="308"/>
      <c r="B75" s="308"/>
      <c r="C75" s="308"/>
      <c r="D75" s="308"/>
      <c r="E75" s="311"/>
      <c r="F75" s="308"/>
      <c r="G75" s="264"/>
      <c r="H75" s="268"/>
    </row>
    <row r="76" spans="1:8" ht="18.75" x14ac:dyDescent="0.3">
      <c r="A76" s="261" t="s">
        <v>143</v>
      </c>
      <c r="B76" s="264" t="s">
        <v>123</v>
      </c>
      <c r="C76" s="505" t="str">
        <f>B20</f>
        <v>Artemether</v>
      </c>
      <c r="D76" s="505"/>
      <c r="E76" s="256" t="s">
        <v>144</v>
      </c>
      <c r="F76" s="256"/>
      <c r="G76" s="353">
        <f>H72</f>
        <v>0.94632541011287563</v>
      </c>
      <c r="H76" s="268"/>
    </row>
    <row r="77" spans="1:8" ht="18.75" x14ac:dyDescent="0.3">
      <c r="A77" s="308"/>
      <c r="B77" s="308"/>
      <c r="C77" s="308"/>
      <c r="D77" s="308"/>
      <c r="E77" s="311"/>
      <c r="F77" s="308"/>
      <c r="G77" s="264"/>
      <c r="H77" s="268"/>
    </row>
    <row r="78" spans="1:8" ht="26.25" customHeight="1" x14ac:dyDescent="0.4">
      <c r="A78" s="260" t="s">
        <v>145</v>
      </c>
      <c r="B78" s="260" t="s">
        <v>146</v>
      </c>
      <c r="D78" s="354">
        <v>60</v>
      </c>
    </row>
    <row r="79" spans="1:8" ht="18.75" x14ac:dyDescent="0.3">
      <c r="A79" s="260"/>
      <c r="B79" s="260"/>
    </row>
    <row r="80" spans="1:8" ht="26.25" customHeight="1" x14ac:dyDescent="0.4">
      <c r="A80" s="261" t="s">
        <v>4</v>
      </c>
      <c r="B80" s="265" t="str">
        <f>B26</f>
        <v>Artemether</v>
      </c>
      <c r="C80" s="263"/>
    </row>
    <row r="81" spans="1:12" ht="26.25" customHeight="1" x14ac:dyDescent="0.4">
      <c r="A81" s="264" t="s">
        <v>45</v>
      </c>
      <c r="B81" s="265" t="str">
        <f>B27</f>
        <v>A5 5</v>
      </c>
    </row>
    <row r="82" spans="1:12" ht="27" customHeight="1" thickBot="1" x14ac:dyDescent="0.45">
      <c r="A82" s="264" t="s">
        <v>6</v>
      </c>
      <c r="B82" s="265">
        <f>B28</f>
        <v>99.65</v>
      </c>
    </row>
    <row r="83" spans="1:12" s="266" customFormat="1" ht="27" customHeight="1" thickBot="1" x14ac:dyDescent="0.45">
      <c r="A83" s="264" t="s">
        <v>46</v>
      </c>
      <c r="B83" s="265">
        <f>B29</f>
        <v>0</v>
      </c>
      <c r="C83" s="511" t="s">
        <v>47</v>
      </c>
      <c r="D83" s="512"/>
      <c r="E83" s="512"/>
      <c r="F83" s="512"/>
      <c r="G83" s="513"/>
      <c r="I83" s="267"/>
      <c r="J83" s="267"/>
      <c r="K83" s="267"/>
      <c r="L83" s="267"/>
    </row>
    <row r="84" spans="1:12" s="266" customFormat="1" ht="18.75" x14ac:dyDescent="0.3">
      <c r="A84" s="264" t="s">
        <v>48</v>
      </c>
      <c r="B84" s="268">
        <f>B82-B83</f>
        <v>99.65</v>
      </c>
      <c r="C84" s="269"/>
      <c r="D84" s="269"/>
      <c r="E84" s="269"/>
      <c r="F84" s="269"/>
      <c r="G84" s="270"/>
      <c r="I84" s="267"/>
      <c r="J84" s="267"/>
      <c r="K84" s="267"/>
      <c r="L84" s="267"/>
    </row>
    <row r="85" spans="1:12" s="266" customFormat="1" ht="19.5" customHeight="1" thickBot="1" x14ac:dyDescent="0.35">
      <c r="A85" s="264"/>
      <c r="B85" s="268"/>
      <c r="C85" s="269"/>
      <c r="D85" s="269"/>
      <c r="E85" s="269"/>
      <c r="F85" s="269"/>
      <c r="G85" s="270"/>
      <c r="I85" s="267"/>
      <c r="J85" s="267"/>
      <c r="K85" s="267"/>
      <c r="L85" s="267"/>
    </row>
    <row r="86" spans="1:12" s="266" customFormat="1" ht="27" customHeight="1" thickBot="1" x14ac:dyDescent="0.45">
      <c r="A86" s="264" t="s">
        <v>49</v>
      </c>
      <c r="B86" s="271">
        <v>1</v>
      </c>
      <c r="C86" s="514" t="s">
        <v>50</v>
      </c>
      <c r="D86" s="515"/>
      <c r="E86" s="515"/>
      <c r="F86" s="515"/>
      <c r="G86" s="515"/>
      <c r="H86" s="516"/>
      <c r="I86" s="267"/>
      <c r="J86" s="267"/>
      <c r="K86" s="267"/>
      <c r="L86" s="267"/>
    </row>
    <row r="87" spans="1:12" s="266" customFormat="1" ht="27" customHeight="1" thickBot="1" x14ac:dyDescent="0.45">
      <c r="A87" s="264" t="s">
        <v>51</v>
      </c>
      <c r="B87" s="271">
        <v>1</v>
      </c>
      <c r="C87" s="514" t="s">
        <v>52</v>
      </c>
      <c r="D87" s="515"/>
      <c r="E87" s="515"/>
      <c r="F87" s="515"/>
      <c r="G87" s="515"/>
      <c r="H87" s="516"/>
      <c r="I87" s="267"/>
      <c r="J87" s="267"/>
      <c r="K87" s="267"/>
      <c r="L87" s="267"/>
    </row>
    <row r="88" spans="1:12" s="266" customFormat="1" ht="18.75" x14ac:dyDescent="0.3">
      <c r="A88" s="264"/>
      <c r="B88" s="268"/>
      <c r="C88" s="269"/>
      <c r="D88" s="269"/>
      <c r="E88" s="269"/>
      <c r="F88" s="269"/>
      <c r="G88" s="270"/>
      <c r="I88" s="267"/>
      <c r="J88" s="267"/>
      <c r="K88" s="267"/>
      <c r="L88" s="267"/>
    </row>
    <row r="89" spans="1:12" ht="18.75" x14ac:dyDescent="0.3">
      <c r="A89" s="264" t="s">
        <v>53</v>
      </c>
      <c r="B89" s="276">
        <f>B86/B87</f>
        <v>1</v>
      </c>
      <c r="C89" s="256" t="s">
        <v>54</v>
      </c>
    </row>
    <row r="90" spans="1:12" ht="19.5" customHeight="1" thickBot="1" x14ac:dyDescent="0.35">
      <c r="A90" s="264"/>
      <c r="B90" s="276"/>
    </row>
    <row r="91" spans="1:12" ht="27" customHeight="1" thickBot="1" x14ac:dyDescent="0.45">
      <c r="A91" s="277" t="s">
        <v>137</v>
      </c>
      <c r="B91" s="278">
        <v>50</v>
      </c>
      <c r="D91" s="355" t="s">
        <v>56</v>
      </c>
      <c r="E91" s="356"/>
      <c r="F91" s="517" t="s">
        <v>57</v>
      </c>
      <c r="G91" s="518"/>
    </row>
    <row r="92" spans="1:12" ht="26.25" customHeight="1" x14ac:dyDescent="0.4">
      <c r="A92" s="279" t="s">
        <v>58</v>
      </c>
      <c r="B92" s="280">
        <v>5</v>
      </c>
      <c r="C92" s="357" t="s">
        <v>138</v>
      </c>
      <c r="D92" s="282" t="s">
        <v>60</v>
      </c>
      <c r="E92" s="283" t="s">
        <v>61</v>
      </c>
      <c r="F92" s="282" t="s">
        <v>60</v>
      </c>
      <c r="G92" s="284" t="s">
        <v>61</v>
      </c>
    </row>
    <row r="93" spans="1:12" ht="26.25" customHeight="1" x14ac:dyDescent="0.4">
      <c r="A93" s="279" t="s">
        <v>63</v>
      </c>
      <c r="B93" s="280">
        <v>20</v>
      </c>
      <c r="C93" s="358">
        <v>1</v>
      </c>
      <c r="D93" s="286">
        <v>322391</v>
      </c>
      <c r="E93" s="287">
        <f>IF(ISBLANK(D93),"-",$D$103/$D$100*D93)</f>
        <v>278599.20918046322</v>
      </c>
      <c r="F93" s="286">
        <v>328467</v>
      </c>
      <c r="G93" s="288">
        <f>IF(ISBLANK(F93),"-",$D$103/$F$100*F93)</f>
        <v>274970.32104545261</v>
      </c>
    </row>
    <row r="94" spans="1:12" ht="26.25" customHeight="1" x14ac:dyDescent="0.4">
      <c r="A94" s="279" t="s">
        <v>64</v>
      </c>
      <c r="B94" s="280">
        <v>1</v>
      </c>
      <c r="C94" s="308">
        <v>2</v>
      </c>
      <c r="D94" s="290">
        <v>322944</v>
      </c>
      <c r="E94" s="291">
        <f>IF(ISBLANK(D94),"-",$D$103/$D$100*D94)</f>
        <v>279077.09275251324</v>
      </c>
      <c r="F94" s="290">
        <v>335760</v>
      </c>
      <c r="G94" s="292">
        <f>IF(ISBLANK(F94),"-",$D$103/$F$100*F94)</f>
        <v>281075.52659543022</v>
      </c>
    </row>
    <row r="95" spans="1:12" ht="26.25" customHeight="1" x14ac:dyDescent="0.4">
      <c r="A95" s="279" t="s">
        <v>65</v>
      </c>
      <c r="B95" s="280">
        <v>1</v>
      </c>
      <c r="C95" s="308">
        <v>3</v>
      </c>
      <c r="D95" s="290">
        <v>312376</v>
      </c>
      <c r="E95" s="291">
        <f>IF(ISBLANK(D95),"-",$D$103/$D$100*D95)</f>
        <v>269944.59078248579</v>
      </c>
      <c r="F95" s="290">
        <v>339546</v>
      </c>
      <c r="G95" s="292">
        <f>IF(ISBLANK(F95),"-",$D$103/$F$100*F95)</f>
        <v>284244.9093202643</v>
      </c>
    </row>
    <row r="96" spans="1:12" ht="26.25" customHeight="1" x14ac:dyDescent="0.4">
      <c r="A96" s="279" t="s">
        <v>66</v>
      </c>
      <c r="B96" s="280">
        <v>1</v>
      </c>
      <c r="C96" s="359">
        <v>4</v>
      </c>
      <c r="D96" s="294"/>
      <c r="E96" s="295" t="str">
        <f>IF(ISBLANK(D96),"-",$D$103/$D$100*D96)</f>
        <v>-</v>
      </c>
      <c r="F96" s="360"/>
      <c r="G96" s="296" t="str">
        <f>IF(ISBLANK(F96),"-",$D$103/$F$100*F96)</f>
        <v>-</v>
      </c>
    </row>
    <row r="97" spans="1:10" ht="27" customHeight="1" thickBot="1" x14ac:dyDescent="0.45">
      <c r="A97" s="279" t="s">
        <v>67</v>
      </c>
      <c r="B97" s="280">
        <v>1</v>
      </c>
      <c r="C97" s="264" t="s">
        <v>68</v>
      </c>
      <c r="D97" s="361">
        <f>AVERAGE(D93:D96)</f>
        <v>319237</v>
      </c>
      <c r="E97" s="299">
        <f>AVERAGE(E93:E96)</f>
        <v>275873.6309051541</v>
      </c>
      <c r="F97" s="362">
        <f>AVERAGE(F93:F96)</f>
        <v>334591</v>
      </c>
      <c r="G97" s="363">
        <f>AVERAGE(G93:G96)</f>
        <v>280096.91898704902</v>
      </c>
    </row>
    <row r="98" spans="1:10" ht="26.25" customHeight="1" x14ac:dyDescent="0.4">
      <c r="A98" s="279" t="s">
        <v>69</v>
      </c>
      <c r="B98" s="265">
        <v>1</v>
      </c>
      <c r="C98" s="303" t="s">
        <v>110</v>
      </c>
      <c r="D98" s="304">
        <v>9.2899999999999991</v>
      </c>
      <c r="E98" s="256"/>
      <c r="F98" s="305">
        <v>9.59</v>
      </c>
    </row>
    <row r="99" spans="1:10" ht="26.25" customHeight="1" x14ac:dyDescent="0.4">
      <c r="A99" s="279" t="s">
        <v>71</v>
      </c>
      <c r="B99" s="265">
        <v>1</v>
      </c>
      <c r="C99" s="306" t="s">
        <v>111</v>
      </c>
      <c r="D99" s="307">
        <f>D98*$B$89</f>
        <v>9.2899999999999991</v>
      </c>
      <c r="E99" s="308"/>
      <c r="F99" s="309">
        <f>F98*$B$89</f>
        <v>9.59</v>
      </c>
    </row>
    <row r="100" spans="1:10" ht="19.5" customHeight="1" thickBot="1" x14ac:dyDescent="0.35">
      <c r="A100" s="279" t="s">
        <v>73</v>
      </c>
      <c r="B100" s="268">
        <f>(B99/B98)*(B97/B96)*(B95/B94)*(B93/B92)*B91</f>
        <v>200</v>
      </c>
      <c r="C100" s="306" t="s">
        <v>74</v>
      </c>
      <c r="D100" s="310">
        <f>D99*$B$84/100</f>
        <v>9.2574849999999991</v>
      </c>
      <c r="E100" s="311"/>
      <c r="F100" s="312">
        <f>F99*$B$84/100</f>
        <v>9.5564350000000005</v>
      </c>
    </row>
    <row r="101" spans="1:10" ht="19.5" customHeight="1" thickBot="1" x14ac:dyDescent="0.35">
      <c r="A101" s="507" t="s">
        <v>75</v>
      </c>
      <c r="B101" s="519"/>
      <c r="C101" s="306" t="s">
        <v>76</v>
      </c>
      <c r="D101" s="307">
        <f>D100/$B$100</f>
        <v>4.6287424999999993E-2</v>
      </c>
      <c r="E101" s="311"/>
      <c r="F101" s="313">
        <f>F100/$B$100</f>
        <v>4.7782175000000003E-2</v>
      </c>
      <c r="H101" s="302"/>
    </row>
    <row r="102" spans="1:10" ht="19.5" customHeight="1" thickBot="1" x14ac:dyDescent="0.35">
      <c r="A102" s="509"/>
      <c r="B102" s="520"/>
      <c r="C102" s="306" t="s">
        <v>139</v>
      </c>
      <c r="D102" s="310">
        <f>$B$56/$B$118</f>
        <v>0.04</v>
      </c>
      <c r="F102" s="315"/>
      <c r="G102" s="364"/>
      <c r="H102" s="302"/>
    </row>
    <row r="103" spans="1:10" ht="18.75" x14ac:dyDescent="0.3">
      <c r="C103" s="306" t="s">
        <v>78</v>
      </c>
      <c r="D103" s="307">
        <f>D102*$B$100</f>
        <v>8</v>
      </c>
      <c r="F103" s="315"/>
      <c r="H103" s="302"/>
    </row>
    <row r="104" spans="1:10" ht="19.5" customHeight="1" thickBot="1" x14ac:dyDescent="0.35">
      <c r="C104" s="316" t="s">
        <v>79</v>
      </c>
      <c r="D104" s="317">
        <f>D103/B34</f>
        <v>8</v>
      </c>
      <c r="F104" s="318"/>
      <c r="H104" s="302"/>
      <c r="J104" s="365"/>
    </row>
    <row r="105" spans="1:10" ht="18.75" x14ac:dyDescent="0.3">
      <c r="C105" s="319" t="s">
        <v>80</v>
      </c>
      <c r="D105" s="320">
        <f>AVERAGE(E93:E96,G93:G96)</f>
        <v>277985.27494610153</v>
      </c>
      <c r="F105" s="318"/>
      <c r="G105" s="364"/>
      <c r="H105" s="302"/>
      <c r="J105" s="366"/>
    </row>
    <row r="106" spans="1:10" ht="18.75" x14ac:dyDescent="0.3">
      <c r="C106" s="321" t="s">
        <v>81</v>
      </c>
      <c r="D106" s="367">
        <f>STDEV(E93:E96,G93:G96)/D105</f>
        <v>1.7917666604148272E-2</v>
      </c>
      <c r="F106" s="318"/>
      <c r="H106" s="302"/>
      <c r="J106" s="366"/>
    </row>
    <row r="107" spans="1:10" ht="19.5" customHeight="1" thickBot="1" x14ac:dyDescent="0.35">
      <c r="C107" s="323" t="s">
        <v>17</v>
      </c>
      <c r="D107" s="368">
        <f>COUNT(E93:E96,G93:G96)</f>
        <v>6</v>
      </c>
      <c r="F107" s="318"/>
      <c r="H107" s="302"/>
      <c r="J107" s="366"/>
    </row>
    <row r="108" spans="1:10" ht="19.5" customHeight="1" thickBot="1" x14ac:dyDescent="0.35">
      <c r="A108" s="251"/>
      <c r="B108" s="251"/>
      <c r="C108" s="251"/>
      <c r="D108" s="251"/>
      <c r="E108" s="251"/>
    </row>
    <row r="109" spans="1:10" ht="26.25" customHeight="1" x14ac:dyDescent="0.4">
      <c r="A109" s="277" t="s">
        <v>115</v>
      </c>
      <c r="B109" s="278">
        <v>1000</v>
      </c>
      <c r="C109" s="355" t="s">
        <v>147</v>
      </c>
      <c r="D109" s="369" t="s">
        <v>60</v>
      </c>
      <c r="E109" s="370" t="s">
        <v>117</v>
      </c>
      <c r="F109" s="371" t="s">
        <v>118</v>
      </c>
    </row>
    <row r="110" spans="1:10" ht="26.25" customHeight="1" x14ac:dyDescent="0.4">
      <c r="A110" s="279" t="s">
        <v>119</v>
      </c>
      <c r="B110" s="280">
        <v>1</v>
      </c>
      <c r="C110" s="372">
        <v>1</v>
      </c>
      <c r="D110" s="373">
        <v>183142</v>
      </c>
      <c r="E110" s="374">
        <f t="shared" ref="E110:E115" si="1">IF(ISBLANK(D110),"-",D110/$D$105*$D$102*$B$118)</f>
        <v>26.35276275486309</v>
      </c>
      <c r="F110" s="375">
        <f t="shared" ref="F110:F115" si="2">IF(ISBLANK(D110), "-", E110/$B$56)</f>
        <v>0.65881906887157726</v>
      </c>
    </row>
    <row r="111" spans="1:10" ht="26.25" customHeight="1" x14ac:dyDescent="0.4">
      <c r="A111" s="279" t="s">
        <v>92</v>
      </c>
      <c r="B111" s="280">
        <v>1</v>
      </c>
      <c r="C111" s="372">
        <v>2</v>
      </c>
      <c r="D111" s="373">
        <v>169567</v>
      </c>
      <c r="E111" s="376">
        <f t="shared" si="1"/>
        <v>24.399421880583752</v>
      </c>
      <c r="F111" s="377">
        <f t="shared" si="2"/>
        <v>0.60998554701459384</v>
      </c>
    </row>
    <row r="112" spans="1:10" ht="26.25" customHeight="1" x14ac:dyDescent="0.4">
      <c r="A112" s="279" t="s">
        <v>93</v>
      </c>
      <c r="B112" s="280">
        <v>1</v>
      </c>
      <c r="C112" s="372">
        <v>3</v>
      </c>
      <c r="D112" s="373">
        <v>164792</v>
      </c>
      <c r="E112" s="376">
        <f t="shared" si="1"/>
        <v>23.712335127384208</v>
      </c>
      <c r="F112" s="377">
        <f t="shared" si="2"/>
        <v>0.59280837818460519</v>
      </c>
    </row>
    <row r="113" spans="1:10" ht="26.25" customHeight="1" x14ac:dyDescent="0.4">
      <c r="A113" s="279" t="s">
        <v>94</v>
      </c>
      <c r="B113" s="280">
        <v>1</v>
      </c>
      <c r="C113" s="372">
        <v>4</v>
      </c>
      <c r="D113" s="373">
        <v>168695</v>
      </c>
      <c r="E113" s="376">
        <f t="shared" si="1"/>
        <v>24.273947608585846</v>
      </c>
      <c r="F113" s="377">
        <f t="shared" si="2"/>
        <v>0.60684869021464616</v>
      </c>
    </row>
    <row r="114" spans="1:10" ht="26.25" customHeight="1" x14ac:dyDescent="0.4">
      <c r="A114" s="279" t="s">
        <v>95</v>
      </c>
      <c r="B114" s="280">
        <v>1</v>
      </c>
      <c r="C114" s="372">
        <v>5</v>
      </c>
      <c r="D114" s="373">
        <v>168682</v>
      </c>
      <c r="E114" s="376">
        <f t="shared" si="1"/>
        <v>24.272077005906976</v>
      </c>
      <c r="F114" s="377">
        <f t="shared" si="2"/>
        <v>0.60680192514767439</v>
      </c>
    </row>
    <row r="115" spans="1:10" ht="26.25" customHeight="1" x14ac:dyDescent="0.4">
      <c r="A115" s="279" t="s">
        <v>97</v>
      </c>
      <c r="B115" s="280">
        <v>1</v>
      </c>
      <c r="C115" s="378">
        <v>6</v>
      </c>
      <c r="D115" s="379">
        <v>174976</v>
      </c>
      <c r="E115" s="380">
        <f t="shared" si="1"/>
        <v>25.177736487506543</v>
      </c>
      <c r="F115" s="381">
        <f t="shared" si="2"/>
        <v>0.62944341218766353</v>
      </c>
    </row>
    <row r="116" spans="1:10" ht="26.25" customHeight="1" x14ac:dyDescent="0.4">
      <c r="A116" s="279" t="s">
        <v>98</v>
      </c>
      <c r="B116" s="280">
        <v>1</v>
      </c>
      <c r="C116" s="372"/>
      <c r="D116" s="308"/>
      <c r="E116" s="256"/>
      <c r="F116" s="382"/>
    </row>
    <row r="117" spans="1:10" ht="26.25" customHeight="1" x14ac:dyDescent="0.4">
      <c r="A117" s="279" t="s">
        <v>99</v>
      </c>
      <c r="B117" s="280">
        <v>1</v>
      </c>
      <c r="C117" s="372"/>
      <c r="D117" s="383"/>
      <c r="E117" s="384" t="s">
        <v>68</v>
      </c>
      <c r="F117" s="385">
        <f>AVERAGE(F110:F115)</f>
        <v>0.61745117027012675</v>
      </c>
    </row>
    <row r="118" spans="1:10" ht="19.5" customHeight="1" thickBot="1" x14ac:dyDescent="0.35">
      <c r="A118" s="279" t="s">
        <v>100</v>
      </c>
      <c r="B118" s="345">
        <f>(B117/B116)*(B115/B114)*(B113/B112)*(B111/B110)*B109</f>
        <v>1000</v>
      </c>
      <c r="C118" s="386"/>
      <c r="D118" s="387"/>
      <c r="E118" s="264" t="s">
        <v>81</v>
      </c>
      <c r="F118" s="388">
        <f>STDEV(F110:F115)/F117</f>
        <v>3.7940196628140313E-2</v>
      </c>
      <c r="I118" s="256"/>
    </row>
    <row r="119" spans="1:10" ht="19.5" customHeight="1" thickBot="1" x14ac:dyDescent="0.35">
      <c r="A119" s="507" t="s">
        <v>75</v>
      </c>
      <c r="B119" s="508"/>
      <c r="C119" s="389"/>
      <c r="D119" s="390"/>
      <c r="E119" s="391" t="s">
        <v>17</v>
      </c>
      <c r="F119" s="368">
        <f>COUNT(F110:F115)</f>
        <v>6</v>
      </c>
      <c r="I119" s="256"/>
      <c r="J119" s="366"/>
    </row>
    <row r="120" spans="1:10" ht="19.5" customHeight="1" thickBot="1" x14ac:dyDescent="0.35">
      <c r="A120" s="509"/>
      <c r="B120" s="510"/>
      <c r="C120" s="256"/>
      <c r="D120" s="256"/>
      <c r="E120" s="256"/>
      <c r="F120" s="308"/>
      <c r="G120" s="256"/>
      <c r="H120" s="256"/>
      <c r="I120" s="256"/>
    </row>
    <row r="121" spans="1:10" ht="18.75" x14ac:dyDescent="0.3">
      <c r="A121" s="275"/>
      <c r="B121" s="275"/>
      <c r="C121" s="256"/>
      <c r="D121" s="256"/>
      <c r="E121" s="256"/>
      <c r="F121" s="308"/>
      <c r="G121" s="256"/>
      <c r="H121" s="256"/>
      <c r="I121" s="256"/>
    </row>
    <row r="122" spans="1:10" ht="18.75" x14ac:dyDescent="0.3">
      <c r="A122" s="261" t="s">
        <v>143</v>
      </c>
      <c r="B122" s="264" t="s">
        <v>123</v>
      </c>
      <c r="C122" s="505" t="str">
        <f>B20</f>
        <v>Artemether</v>
      </c>
      <c r="D122" s="505"/>
      <c r="E122" s="256" t="s">
        <v>124</v>
      </c>
      <c r="F122" s="256"/>
      <c r="G122" s="353">
        <f>F117</f>
        <v>0.61745117027012675</v>
      </c>
      <c r="H122" s="256"/>
      <c r="I122" s="256"/>
    </row>
    <row r="123" spans="1:10" ht="18.75" x14ac:dyDescent="0.3">
      <c r="A123" s="275"/>
      <c r="B123" s="275"/>
      <c r="C123" s="256"/>
      <c r="D123" s="256"/>
      <c r="E123" s="256"/>
      <c r="F123" s="308"/>
      <c r="G123" s="256"/>
      <c r="H123" s="256"/>
      <c r="I123" s="256"/>
    </row>
    <row r="124" spans="1:10" ht="26.25" customHeight="1" x14ac:dyDescent="0.4">
      <c r="A124" s="260" t="s">
        <v>145</v>
      </c>
      <c r="B124" s="260" t="s">
        <v>146</v>
      </c>
      <c r="D124" s="354">
        <v>180</v>
      </c>
    </row>
    <row r="125" spans="1:10" ht="19.5" customHeight="1" thickBot="1" x14ac:dyDescent="0.35">
      <c r="A125" s="251"/>
      <c r="B125" s="251"/>
      <c r="C125" s="251"/>
      <c r="D125" s="251"/>
      <c r="E125" s="251"/>
    </row>
    <row r="126" spans="1:10" ht="26.25" customHeight="1" x14ac:dyDescent="0.4">
      <c r="A126" s="277" t="s">
        <v>115</v>
      </c>
      <c r="B126" s="278">
        <v>1000</v>
      </c>
      <c r="C126" s="355" t="s">
        <v>147</v>
      </c>
      <c r="D126" s="369" t="s">
        <v>60</v>
      </c>
      <c r="E126" s="370" t="s">
        <v>117</v>
      </c>
      <c r="F126" s="371" t="s">
        <v>118</v>
      </c>
    </row>
    <row r="127" spans="1:10" ht="26.25" customHeight="1" x14ac:dyDescent="0.4">
      <c r="A127" s="279" t="s">
        <v>119</v>
      </c>
      <c r="B127" s="280">
        <v>1</v>
      </c>
      <c r="C127" s="372">
        <v>1</v>
      </c>
      <c r="D127" s="373">
        <v>255499</v>
      </c>
      <c r="E127" s="392">
        <f t="shared" ref="E127:E132" si="3">IF(ISBLANK(D127),"-",D127/$D$105*$D$102*$B$135)</f>
        <v>36.76439337292792</v>
      </c>
      <c r="F127" s="393">
        <f t="shared" ref="F127:F132" si="4">IF(ISBLANK(D127), "-", E127/$B$56)</f>
        <v>0.91910983432319804</v>
      </c>
    </row>
    <row r="128" spans="1:10" ht="26.25" customHeight="1" x14ac:dyDescent="0.4">
      <c r="A128" s="279" t="s">
        <v>92</v>
      </c>
      <c r="B128" s="280">
        <v>1</v>
      </c>
      <c r="C128" s="372">
        <v>2</v>
      </c>
      <c r="D128" s="373">
        <v>262768</v>
      </c>
      <c r="E128" s="394">
        <f t="shared" si="3"/>
        <v>37.810348055442574</v>
      </c>
      <c r="F128" s="395">
        <f t="shared" si="4"/>
        <v>0.94525870138606438</v>
      </c>
    </row>
    <row r="129" spans="1:10" ht="26.25" customHeight="1" x14ac:dyDescent="0.4">
      <c r="A129" s="279" t="s">
        <v>93</v>
      </c>
      <c r="B129" s="280">
        <v>1</v>
      </c>
      <c r="C129" s="372">
        <v>3</v>
      </c>
      <c r="D129" s="373">
        <v>256992</v>
      </c>
      <c r="E129" s="394">
        <f t="shared" si="3"/>
        <v>36.979224895970205</v>
      </c>
      <c r="F129" s="395">
        <f t="shared" si="4"/>
        <v>0.9244806223992551</v>
      </c>
    </row>
    <row r="130" spans="1:10" ht="26.25" customHeight="1" x14ac:dyDescent="0.4">
      <c r="A130" s="279" t="s">
        <v>94</v>
      </c>
      <c r="B130" s="280">
        <v>1</v>
      </c>
      <c r="C130" s="372">
        <v>4</v>
      </c>
      <c r="D130" s="373">
        <v>260967</v>
      </c>
      <c r="E130" s="394">
        <f t="shared" si="3"/>
        <v>37.551197638162499</v>
      </c>
      <c r="F130" s="395">
        <f t="shared" si="4"/>
        <v>0.93877994095406248</v>
      </c>
    </row>
    <row r="131" spans="1:10" ht="26.25" customHeight="1" x14ac:dyDescent="0.4">
      <c r="A131" s="279" t="s">
        <v>95</v>
      </c>
      <c r="B131" s="280">
        <v>1</v>
      </c>
      <c r="C131" s="372">
        <v>5</v>
      </c>
      <c r="D131" s="373">
        <v>250482</v>
      </c>
      <c r="E131" s="394">
        <f t="shared" si="3"/>
        <v>36.042484631398679</v>
      </c>
      <c r="F131" s="395">
        <f t="shared" si="4"/>
        <v>0.90106211578496698</v>
      </c>
    </row>
    <row r="132" spans="1:10" ht="26.25" customHeight="1" x14ac:dyDescent="0.4">
      <c r="A132" s="279" t="s">
        <v>97</v>
      </c>
      <c r="B132" s="280">
        <v>1</v>
      </c>
      <c r="C132" s="378">
        <v>6</v>
      </c>
      <c r="D132" s="379">
        <v>252479</v>
      </c>
      <c r="E132" s="396">
        <f t="shared" si="3"/>
        <v>36.329837981375533</v>
      </c>
      <c r="F132" s="397">
        <f t="shared" si="4"/>
        <v>0.90824594953438831</v>
      </c>
    </row>
    <row r="133" spans="1:10" ht="26.25" customHeight="1" x14ac:dyDescent="0.4">
      <c r="A133" s="279" t="s">
        <v>98</v>
      </c>
      <c r="B133" s="280">
        <v>1</v>
      </c>
      <c r="C133" s="372"/>
      <c r="D133" s="308"/>
      <c r="E133" s="256"/>
      <c r="F133" s="382"/>
    </row>
    <row r="134" spans="1:10" ht="26.25" customHeight="1" x14ac:dyDescent="0.4">
      <c r="A134" s="279" t="s">
        <v>99</v>
      </c>
      <c r="B134" s="280">
        <v>1</v>
      </c>
      <c r="C134" s="372"/>
      <c r="D134" s="383"/>
      <c r="E134" s="384" t="s">
        <v>68</v>
      </c>
      <c r="F134" s="398">
        <f>AVERAGE(F127:F132)</f>
        <v>0.9228228607303226</v>
      </c>
    </row>
    <row r="135" spans="1:10" ht="27" customHeight="1" thickBot="1" x14ac:dyDescent="0.45">
      <c r="A135" s="279" t="s">
        <v>100</v>
      </c>
      <c r="B135" s="280">
        <f>(B134/B133)*(B132/B131)*(B130/B129)*(B128/B127)*B126</f>
        <v>1000</v>
      </c>
      <c r="C135" s="386"/>
      <c r="D135" s="387"/>
      <c r="E135" s="264" t="s">
        <v>81</v>
      </c>
      <c r="F135" s="399">
        <f>STDEV(F127:F132)/F134</f>
        <v>1.8520569659301545E-2</v>
      </c>
      <c r="I135" s="256"/>
    </row>
    <row r="136" spans="1:10" ht="27" customHeight="1" thickBot="1" x14ac:dyDescent="0.45">
      <c r="A136" s="507" t="s">
        <v>75</v>
      </c>
      <c r="B136" s="508"/>
      <c r="C136" s="389"/>
      <c r="D136" s="390"/>
      <c r="E136" s="391" t="s">
        <v>17</v>
      </c>
      <c r="F136" s="400">
        <f>COUNT(F127:F132)</f>
        <v>6</v>
      </c>
      <c r="I136" s="256"/>
      <c r="J136" s="366"/>
    </row>
    <row r="137" spans="1:10" ht="19.5" customHeight="1" thickBot="1" x14ac:dyDescent="0.35">
      <c r="A137" s="509"/>
      <c r="B137" s="510"/>
      <c r="C137" s="256"/>
      <c r="D137" s="256"/>
      <c r="E137" s="256"/>
      <c r="F137" s="308"/>
      <c r="G137" s="256"/>
      <c r="H137" s="256"/>
      <c r="I137" s="256"/>
    </row>
    <row r="138" spans="1:10" ht="18.75" x14ac:dyDescent="0.3">
      <c r="A138" s="275"/>
      <c r="B138" s="275"/>
      <c r="C138" s="256"/>
      <c r="D138" s="256"/>
      <c r="E138" s="256"/>
      <c r="F138" s="308"/>
      <c r="G138" s="256"/>
      <c r="H138" s="256"/>
      <c r="I138" s="256"/>
    </row>
    <row r="139" spans="1:10" ht="26.25" customHeight="1" x14ac:dyDescent="0.4">
      <c r="A139" s="261" t="s">
        <v>143</v>
      </c>
      <c r="B139" s="264" t="s">
        <v>123</v>
      </c>
      <c r="C139" s="505" t="str">
        <f>B20</f>
        <v>Artemether</v>
      </c>
      <c r="D139" s="505"/>
      <c r="E139" s="256" t="s">
        <v>124</v>
      </c>
      <c r="F139" s="256"/>
      <c r="G139" s="401">
        <f>F134</f>
        <v>0.9228228607303226</v>
      </c>
      <c r="H139" s="256"/>
      <c r="I139" s="256"/>
    </row>
    <row r="140" spans="1:10" ht="18.75" x14ac:dyDescent="0.3">
      <c r="A140" s="261"/>
      <c r="B140" s="264"/>
      <c r="C140" s="268"/>
      <c r="D140" s="268"/>
      <c r="E140" s="256"/>
      <c r="F140" s="256"/>
      <c r="G140" s="353"/>
      <c r="H140" s="256"/>
      <c r="I140" s="256"/>
    </row>
    <row r="141" spans="1:10" ht="26.25" customHeight="1" x14ac:dyDescent="0.4">
      <c r="A141" s="260" t="s">
        <v>145</v>
      </c>
      <c r="B141" s="260" t="s">
        <v>146</v>
      </c>
      <c r="D141" s="354"/>
      <c r="H141" s="256"/>
      <c r="I141" s="256"/>
    </row>
    <row r="142" spans="1:10" ht="19.5" customHeight="1" thickBot="1" x14ac:dyDescent="0.35">
      <c r="A142" s="251"/>
      <c r="B142" s="251"/>
      <c r="C142" s="251"/>
      <c r="D142" s="251"/>
      <c r="E142" s="251"/>
      <c r="H142" s="256"/>
      <c r="I142" s="256"/>
    </row>
    <row r="143" spans="1:10" ht="26.25" customHeight="1" x14ac:dyDescent="0.4">
      <c r="A143" s="277" t="s">
        <v>115</v>
      </c>
      <c r="B143" s="278"/>
      <c r="C143" s="355" t="s">
        <v>147</v>
      </c>
      <c r="D143" s="369" t="s">
        <v>60</v>
      </c>
      <c r="E143" s="370" t="s">
        <v>117</v>
      </c>
      <c r="F143" s="371" t="s">
        <v>118</v>
      </c>
      <c r="H143" s="256"/>
      <c r="I143" s="256"/>
    </row>
    <row r="144" spans="1:10" ht="26.25" customHeight="1" x14ac:dyDescent="0.4">
      <c r="A144" s="279" t="s">
        <v>119</v>
      </c>
      <c r="B144" s="280"/>
      <c r="C144" s="372">
        <v>1</v>
      </c>
      <c r="D144" s="373"/>
      <c r="E144" s="392" t="str">
        <f t="shared" ref="E144:E149" si="5">IF(ISBLANK(D144),"-",D144/$D$105*$D$102*$B$152)</f>
        <v>-</v>
      </c>
      <c r="F144" s="393" t="str">
        <f t="shared" ref="F144:F149" si="6">IF(ISBLANK(D144), "-", E144/$B$56)</f>
        <v>-</v>
      </c>
      <c r="H144" s="256"/>
      <c r="I144" s="256"/>
    </row>
    <row r="145" spans="1:9" ht="26.25" customHeight="1" x14ac:dyDescent="0.4">
      <c r="A145" s="279" t="s">
        <v>92</v>
      </c>
      <c r="B145" s="280"/>
      <c r="C145" s="372">
        <v>2</v>
      </c>
      <c r="D145" s="373"/>
      <c r="E145" s="394" t="str">
        <f t="shared" si="5"/>
        <v>-</v>
      </c>
      <c r="F145" s="395" t="str">
        <f t="shared" si="6"/>
        <v>-</v>
      </c>
      <c r="H145" s="256"/>
      <c r="I145" s="256"/>
    </row>
    <row r="146" spans="1:9" ht="26.25" customHeight="1" x14ac:dyDescent="0.4">
      <c r="A146" s="279" t="s">
        <v>93</v>
      </c>
      <c r="B146" s="280"/>
      <c r="C146" s="372">
        <v>3</v>
      </c>
      <c r="D146" s="373"/>
      <c r="E146" s="394" t="str">
        <f t="shared" si="5"/>
        <v>-</v>
      </c>
      <c r="F146" s="395" t="str">
        <f t="shared" si="6"/>
        <v>-</v>
      </c>
      <c r="H146" s="256"/>
      <c r="I146" s="256"/>
    </row>
    <row r="147" spans="1:9" ht="26.25" customHeight="1" x14ac:dyDescent="0.4">
      <c r="A147" s="279" t="s">
        <v>94</v>
      </c>
      <c r="B147" s="280"/>
      <c r="C147" s="372">
        <v>4</v>
      </c>
      <c r="D147" s="373"/>
      <c r="E147" s="394" t="str">
        <f t="shared" si="5"/>
        <v>-</v>
      </c>
      <c r="F147" s="395" t="str">
        <f t="shared" si="6"/>
        <v>-</v>
      </c>
      <c r="H147" s="256"/>
      <c r="I147" s="256"/>
    </row>
    <row r="148" spans="1:9" ht="26.25" customHeight="1" x14ac:dyDescent="0.4">
      <c r="A148" s="279" t="s">
        <v>95</v>
      </c>
      <c r="B148" s="280"/>
      <c r="C148" s="372">
        <v>5</v>
      </c>
      <c r="D148" s="373"/>
      <c r="E148" s="394" t="str">
        <f t="shared" si="5"/>
        <v>-</v>
      </c>
      <c r="F148" s="395" t="str">
        <f t="shared" si="6"/>
        <v>-</v>
      </c>
      <c r="H148" s="256"/>
      <c r="I148" s="256"/>
    </row>
    <row r="149" spans="1:9" ht="26.25" customHeight="1" x14ac:dyDescent="0.4">
      <c r="A149" s="279" t="s">
        <v>97</v>
      </c>
      <c r="B149" s="280"/>
      <c r="C149" s="378">
        <v>6</v>
      </c>
      <c r="D149" s="379"/>
      <c r="E149" s="396" t="str">
        <f t="shared" si="5"/>
        <v>-</v>
      </c>
      <c r="F149" s="397" t="str">
        <f t="shared" si="6"/>
        <v>-</v>
      </c>
      <c r="H149" s="256"/>
      <c r="I149" s="256"/>
    </row>
    <row r="150" spans="1:9" ht="26.25" customHeight="1" x14ac:dyDescent="0.4">
      <c r="A150" s="279" t="s">
        <v>98</v>
      </c>
      <c r="B150" s="280"/>
      <c r="C150" s="372"/>
      <c r="D150" s="308"/>
      <c r="E150" s="256"/>
      <c r="F150" s="382"/>
      <c r="H150" s="256"/>
      <c r="I150" s="256"/>
    </row>
    <row r="151" spans="1:9" ht="26.25" customHeight="1" x14ac:dyDescent="0.4">
      <c r="A151" s="279" t="s">
        <v>99</v>
      </c>
      <c r="B151" s="280"/>
      <c r="C151" s="372"/>
      <c r="D151" s="383"/>
      <c r="E151" s="384" t="s">
        <v>68</v>
      </c>
      <c r="F151" s="398" t="e">
        <f>AVERAGE(F144:F149)</f>
        <v>#DIV/0!</v>
      </c>
      <c r="H151" s="256"/>
      <c r="I151" s="256"/>
    </row>
    <row r="152" spans="1:9" ht="27" customHeight="1" thickBot="1" x14ac:dyDescent="0.45">
      <c r="A152" s="279" t="s">
        <v>100</v>
      </c>
      <c r="B152" s="280"/>
      <c r="C152" s="386"/>
      <c r="D152" s="387"/>
      <c r="E152" s="264" t="s">
        <v>81</v>
      </c>
      <c r="F152" s="399" t="e">
        <f>STDEV(F144:F149)/F151</f>
        <v>#DIV/0!</v>
      </c>
      <c r="H152" s="256"/>
      <c r="I152" s="256"/>
    </row>
    <row r="153" spans="1:9" ht="27" customHeight="1" thickBot="1" x14ac:dyDescent="0.45">
      <c r="A153" s="507" t="s">
        <v>75</v>
      </c>
      <c r="B153" s="508"/>
      <c r="C153" s="389"/>
      <c r="D153" s="390"/>
      <c r="E153" s="391" t="s">
        <v>17</v>
      </c>
      <c r="F153" s="400">
        <f>COUNT(F144:F149)</f>
        <v>0</v>
      </c>
      <c r="H153" s="256"/>
      <c r="I153" s="256"/>
    </row>
    <row r="154" spans="1:9" ht="19.5" customHeight="1" thickBot="1" x14ac:dyDescent="0.35">
      <c r="A154" s="509"/>
      <c r="B154" s="510"/>
      <c r="C154" s="256"/>
      <c r="D154" s="256"/>
      <c r="E154" s="256"/>
      <c r="F154" s="308"/>
      <c r="G154" s="256"/>
      <c r="H154" s="256"/>
      <c r="I154" s="256"/>
    </row>
    <row r="155" spans="1:9" ht="18.75" x14ac:dyDescent="0.3">
      <c r="A155" s="275"/>
      <c r="B155" s="275"/>
      <c r="C155" s="256"/>
      <c r="D155" s="256"/>
      <c r="E155" s="256"/>
      <c r="F155" s="308"/>
      <c r="G155" s="256"/>
      <c r="H155" s="256"/>
      <c r="I155" s="256"/>
    </row>
    <row r="156" spans="1:9" ht="26.25" customHeight="1" x14ac:dyDescent="0.4">
      <c r="A156" s="261" t="s">
        <v>143</v>
      </c>
      <c r="B156" s="264" t="s">
        <v>123</v>
      </c>
      <c r="C156" s="505" t="str">
        <f>B20</f>
        <v>Artemether</v>
      </c>
      <c r="D156" s="505"/>
      <c r="E156" s="256" t="s">
        <v>124</v>
      </c>
      <c r="F156" s="256"/>
      <c r="G156" s="401" t="e">
        <f>F151</f>
        <v>#DIV/0!</v>
      </c>
      <c r="H156" s="256"/>
      <c r="I156" s="256"/>
    </row>
    <row r="157" spans="1:9" ht="18.75" x14ac:dyDescent="0.3">
      <c r="A157" s="261"/>
      <c r="B157" s="264"/>
      <c r="C157" s="268"/>
      <c r="D157" s="268"/>
      <c r="E157" s="256"/>
      <c r="F157" s="256"/>
      <c r="G157" s="353"/>
      <c r="H157" s="256"/>
      <c r="I157" s="256"/>
    </row>
    <row r="158" spans="1:9" ht="26.25" customHeight="1" x14ac:dyDescent="0.4">
      <c r="A158" s="260" t="s">
        <v>145</v>
      </c>
      <c r="B158" s="260" t="s">
        <v>146</v>
      </c>
      <c r="D158" s="354"/>
      <c r="H158" s="256"/>
      <c r="I158" s="256"/>
    </row>
    <row r="159" spans="1:9" ht="19.5" customHeight="1" thickBot="1" x14ac:dyDescent="0.35">
      <c r="A159" s="251"/>
      <c r="B159" s="251"/>
      <c r="C159" s="251"/>
      <c r="D159" s="251"/>
      <c r="E159" s="251"/>
      <c r="H159" s="256"/>
      <c r="I159" s="256"/>
    </row>
    <row r="160" spans="1:9" ht="26.25" customHeight="1" x14ac:dyDescent="0.4">
      <c r="A160" s="277" t="s">
        <v>115</v>
      </c>
      <c r="B160" s="278"/>
      <c r="C160" s="355" t="s">
        <v>147</v>
      </c>
      <c r="D160" s="369" t="s">
        <v>60</v>
      </c>
      <c r="E160" s="370" t="s">
        <v>117</v>
      </c>
      <c r="F160" s="371" t="s">
        <v>118</v>
      </c>
      <c r="H160" s="256"/>
      <c r="I160" s="256"/>
    </row>
    <row r="161" spans="1:9" ht="26.25" customHeight="1" x14ac:dyDescent="0.4">
      <c r="A161" s="279" t="s">
        <v>119</v>
      </c>
      <c r="B161" s="280"/>
      <c r="C161" s="372">
        <v>1</v>
      </c>
      <c r="D161" s="373"/>
      <c r="E161" s="392" t="str">
        <f t="shared" ref="E161:E166" si="7">IF(ISBLANK(D161),"-",D161/$D$105*$D$102*$B$169)</f>
        <v>-</v>
      </c>
      <c r="F161" s="393" t="str">
        <f t="shared" ref="F161:F166" si="8">IF(ISBLANK(D161), "-", E161/$B$56)</f>
        <v>-</v>
      </c>
      <c r="H161" s="256"/>
      <c r="I161" s="256"/>
    </row>
    <row r="162" spans="1:9" ht="26.25" customHeight="1" x14ac:dyDescent="0.4">
      <c r="A162" s="279" t="s">
        <v>92</v>
      </c>
      <c r="B162" s="280"/>
      <c r="C162" s="372">
        <v>2</v>
      </c>
      <c r="D162" s="373"/>
      <c r="E162" s="394" t="str">
        <f t="shared" si="7"/>
        <v>-</v>
      </c>
      <c r="F162" s="395" t="str">
        <f t="shared" si="8"/>
        <v>-</v>
      </c>
      <c r="H162" s="256"/>
      <c r="I162" s="256"/>
    </row>
    <row r="163" spans="1:9" ht="26.25" customHeight="1" x14ac:dyDescent="0.4">
      <c r="A163" s="279" t="s">
        <v>93</v>
      </c>
      <c r="B163" s="280"/>
      <c r="C163" s="372">
        <v>3</v>
      </c>
      <c r="D163" s="373"/>
      <c r="E163" s="394" t="str">
        <f t="shared" si="7"/>
        <v>-</v>
      </c>
      <c r="F163" s="395" t="str">
        <f t="shared" si="8"/>
        <v>-</v>
      </c>
      <c r="H163" s="256"/>
      <c r="I163" s="256"/>
    </row>
    <row r="164" spans="1:9" ht="26.25" customHeight="1" x14ac:dyDescent="0.4">
      <c r="A164" s="279" t="s">
        <v>94</v>
      </c>
      <c r="B164" s="280"/>
      <c r="C164" s="372">
        <v>4</v>
      </c>
      <c r="D164" s="373"/>
      <c r="E164" s="394" t="str">
        <f t="shared" si="7"/>
        <v>-</v>
      </c>
      <c r="F164" s="395" t="str">
        <f t="shared" si="8"/>
        <v>-</v>
      </c>
      <c r="H164" s="256"/>
      <c r="I164" s="256"/>
    </row>
    <row r="165" spans="1:9" ht="26.25" customHeight="1" x14ac:dyDescent="0.4">
      <c r="A165" s="279" t="s">
        <v>95</v>
      </c>
      <c r="B165" s="280"/>
      <c r="C165" s="372">
        <v>5</v>
      </c>
      <c r="D165" s="373"/>
      <c r="E165" s="394" t="str">
        <f t="shared" si="7"/>
        <v>-</v>
      </c>
      <c r="F165" s="395" t="str">
        <f t="shared" si="8"/>
        <v>-</v>
      </c>
      <c r="H165" s="256"/>
      <c r="I165" s="256"/>
    </row>
    <row r="166" spans="1:9" ht="26.25" customHeight="1" x14ac:dyDescent="0.4">
      <c r="A166" s="279" t="s">
        <v>97</v>
      </c>
      <c r="B166" s="280"/>
      <c r="C166" s="378">
        <v>6</v>
      </c>
      <c r="D166" s="379"/>
      <c r="E166" s="396" t="str">
        <f t="shared" si="7"/>
        <v>-</v>
      </c>
      <c r="F166" s="397" t="str">
        <f t="shared" si="8"/>
        <v>-</v>
      </c>
      <c r="H166" s="256"/>
      <c r="I166" s="256"/>
    </row>
    <row r="167" spans="1:9" ht="26.25" customHeight="1" x14ac:dyDescent="0.4">
      <c r="A167" s="279" t="s">
        <v>98</v>
      </c>
      <c r="B167" s="280"/>
      <c r="C167" s="372"/>
      <c r="D167" s="308"/>
      <c r="E167" s="256"/>
      <c r="F167" s="382"/>
      <c r="H167" s="256"/>
      <c r="I167" s="256"/>
    </row>
    <row r="168" spans="1:9" ht="26.25" customHeight="1" x14ac:dyDescent="0.4">
      <c r="A168" s="279" t="s">
        <v>99</v>
      </c>
      <c r="B168" s="280"/>
      <c r="C168" s="372"/>
      <c r="D168" s="383"/>
      <c r="E168" s="384" t="s">
        <v>68</v>
      </c>
      <c r="F168" s="398" t="e">
        <f>AVERAGE(F161:F166)</f>
        <v>#DIV/0!</v>
      </c>
      <c r="H168" s="256"/>
      <c r="I168" s="256"/>
    </row>
    <row r="169" spans="1:9" ht="27" customHeight="1" thickBot="1" x14ac:dyDescent="0.45">
      <c r="A169" s="279" t="s">
        <v>100</v>
      </c>
      <c r="B169" s="280"/>
      <c r="C169" s="386"/>
      <c r="D169" s="387"/>
      <c r="E169" s="264" t="s">
        <v>81</v>
      </c>
      <c r="F169" s="399" t="e">
        <f>STDEV(F161:F166)/F168</f>
        <v>#DIV/0!</v>
      </c>
      <c r="H169" s="256"/>
      <c r="I169" s="256"/>
    </row>
    <row r="170" spans="1:9" ht="27" customHeight="1" thickBot="1" x14ac:dyDescent="0.45">
      <c r="A170" s="507" t="s">
        <v>75</v>
      </c>
      <c r="B170" s="508"/>
      <c r="C170" s="389"/>
      <c r="D170" s="390"/>
      <c r="E170" s="391" t="s">
        <v>17</v>
      </c>
      <c r="F170" s="400">
        <f>COUNT(F161:F166)</f>
        <v>0</v>
      </c>
      <c r="H170" s="256"/>
      <c r="I170" s="256"/>
    </row>
    <row r="171" spans="1:9" ht="19.5" customHeight="1" thickBot="1" x14ac:dyDescent="0.35">
      <c r="A171" s="509"/>
      <c r="B171" s="510"/>
      <c r="C171" s="256"/>
      <c r="D171" s="256"/>
      <c r="E171" s="256"/>
      <c r="F171" s="308"/>
      <c r="G171" s="256"/>
      <c r="H171" s="256"/>
      <c r="I171" s="256"/>
    </row>
    <row r="172" spans="1:9" ht="18.75" x14ac:dyDescent="0.3">
      <c r="A172" s="275"/>
      <c r="B172" s="275"/>
      <c r="C172" s="256"/>
      <c r="D172" s="256"/>
      <c r="E172" s="256"/>
      <c r="F172" s="308"/>
      <c r="G172" s="256"/>
      <c r="H172" s="256"/>
      <c r="I172" s="256"/>
    </row>
    <row r="173" spans="1:9" ht="26.25" customHeight="1" x14ac:dyDescent="0.4">
      <c r="A173" s="261" t="s">
        <v>143</v>
      </c>
      <c r="B173" s="264" t="s">
        <v>123</v>
      </c>
      <c r="C173" s="505" t="str">
        <f>B20</f>
        <v>Artemether</v>
      </c>
      <c r="D173" s="505"/>
      <c r="E173" s="256" t="s">
        <v>124</v>
      </c>
      <c r="F173" s="256"/>
      <c r="G173" s="401" t="e">
        <f>F168</f>
        <v>#DIV/0!</v>
      </c>
      <c r="H173" s="256"/>
      <c r="I173" s="256"/>
    </row>
    <row r="174" spans="1:9" ht="18.75" x14ac:dyDescent="0.3">
      <c r="A174" s="261"/>
      <c r="B174" s="264"/>
      <c r="C174" s="268"/>
      <c r="D174" s="268"/>
      <c r="E174" s="256"/>
      <c r="F174" s="256"/>
      <c r="G174" s="353"/>
      <c r="H174" s="256"/>
      <c r="I174" s="256"/>
    </row>
    <row r="175" spans="1:9" ht="19.5" customHeight="1" thickBot="1" x14ac:dyDescent="0.35">
      <c r="A175" s="402"/>
      <c r="B175" s="402"/>
      <c r="C175" s="403"/>
      <c r="D175" s="403"/>
      <c r="E175" s="403"/>
      <c r="F175" s="403"/>
      <c r="G175" s="403"/>
      <c r="H175" s="403"/>
    </row>
    <row r="176" spans="1:9" ht="18.75" x14ac:dyDescent="0.3">
      <c r="B176" s="506" t="s">
        <v>23</v>
      </c>
      <c r="C176" s="506"/>
      <c r="E176" s="357" t="s">
        <v>24</v>
      </c>
      <c r="F176" s="404"/>
      <c r="G176" s="506" t="s">
        <v>25</v>
      </c>
      <c r="H176" s="506"/>
    </row>
    <row r="177" spans="1:9" ht="83.1" customHeight="1" x14ac:dyDescent="0.3">
      <c r="A177" s="261" t="s">
        <v>26</v>
      </c>
      <c r="B177" s="405"/>
      <c r="C177" s="405"/>
      <c r="E177" s="406"/>
      <c r="F177" s="256"/>
      <c r="G177" s="406"/>
      <c r="H177" s="406"/>
    </row>
    <row r="178" spans="1:9" ht="83.1" customHeight="1" x14ac:dyDescent="0.3">
      <c r="A178" s="261" t="s">
        <v>27</v>
      </c>
      <c r="B178" s="407"/>
      <c r="C178" s="407"/>
      <c r="E178" s="408"/>
      <c r="F178" s="256"/>
      <c r="G178" s="409"/>
      <c r="H178" s="409"/>
    </row>
    <row r="179" spans="1:9" ht="18.75" x14ac:dyDescent="0.3">
      <c r="A179" s="308"/>
      <c r="B179" s="308"/>
      <c r="C179" s="308"/>
      <c r="D179" s="308"/>
      <c r="E179" s="308"/>
      <c r="F179" s="311"/>
      <c r="G179" s="308"/>
      <c r="H179" s="308"/>
      <c r="I179" s="256"/>
    </row>
    <row r="180" spans="1:9" ht="18.75" x14ac:dyDescent="0.3">
      <c r="A180" s="308"/>
      <c r="B180" s="308"/>
      <c r="C180" s="308"/>
      <c r="D180" s="308"/>
      <c r="E180" s="308"/>
      <c r="F180" s="311"/>
      <c r="G180" s="308"/>
      <c r="H180" s="308"/>
      <c r="I180" s="256"/>
    </row>
    <row r="181" spans="1:9" ht="18.75" x14ac:dyDescent="0.3">
      <c r="A181" s="308"/>
      <c r="B181" s="308"/>
      <c r="C181" s="308"/>
      <c r="D181" s="308"/>
      <c r="E181" s="308"/>
      <c r="F181" s="311"/>
      <c r="G181" s="308"/>
      <c r="H181" s="308"/>
      <c r="I181" s="256"/>
    </row>
    <row r="182" spans="1:9" ht="18.75" x14ac:dyDescent="0.3">
      <c r="A182" s="308"/>
      <c r="B182" s="308"/>
      <c r="C182" s="308"/>
      <c r="D182" s="308"/>
      <c r="E182" s="308"/>
      <c r="F182" s="311"/>
      <c r="G182" s="308"/>
      <c r="H182" s="308"/>
      <c r="I182" s="256"/>
    </row>
    <row r="183" spans="1:9" ht="18.75" x14ac:dyDescent="0.3">
      <c r="A183" s="308"/>
      <c r="B183" s="308"/>
      <c r="C183" s="308"/>
      <c r="D183" s="308"/>
      <c r="E183" s="308"/>
      <c r="F183" s="311"/>
      <c r="G183" s="308"/>
      <c r="H183" s="308"/>
      <c r="I183" s="256"/>
    </row>
    <row r="184" spans="1:9" ht="18.75" x14ac:dyDescent="0.3">
      <c r="A184" s="308"/>
      <c r="B184" s="308"/>
      <c r="C184" s="308"/>
      <c r="D184" s="308"/>
      <c r="E184" s="308"/>
      <c r="F184" s="311"/>
      <c r="G184" s="308"/>
      <c r="H184" s="308"/>
      <c r="I184" s="256"/>
    </row>
    <row r="185" spans="1:9" ht="18.75" x14ac:dyDescent="0.3">
      <c r="A185" s="308"/>
      <c r="B185" s="308"/>
      <c r="C185" s="308"/>
      <c r="D185" s="308"/>
      <c r="E185" s="308"/>
      <c r="F185" s="311"/>
      <c r="G185" s="308"/>
      <c r="H185" s="308"/>
      <c r="I185" s="256"/>
    </row>
    <row r="186" spans="1:9" ht="18.75" x14ac:dyDescent="0.3">
      <c r="A186" s="308"/>
      <c r="B186" s="308"/>
      <c r="C186" s="308"/>
      <c r="D186" s="308"/>
      <c r="E186" s="308"/>
      <c r="F186" s="311"/>
      <c r="G186" s="308"/>
      <c r="H186" s="308"/>
      <c r="I186" s="256"/>
    </row>
    <row r="187" spans="1:9" ht="18.75" x14ac:dyDescent="0.3">
      <c r="A187" s="308"/>
      <c r="B187" s="308"/>
      <c r="C187" s="308"/>
      <c r="D187" s="308"/>
      <c r="E187" s="308"/>
      <c r="F187" s="311"/>
      <c r="G187" s="308"/>
      <c r="H187" s="308"/>
      <c r="I187" s="256"/>
    </row>
    <row r="250" spans="1:1" x14ac:dyDescent="0.25">
      <c r="A250" s="250">
        <v>0</v>
      </c>
    </row>
  </sheetData>
  <sheetProtection password="F258" sheet="1" objects="1" scenarios="1" formatCells="0" formatColumns="0"/>
  <mergeCells count="33">
    <mergeCell ref="C31:H31"/>
    <mergeCell ref="A1:H7"/>
    <mergeCell ref="A8:H14"/>
    <mergeCell ref="A16:H16"/>
    <mergeCell ref="B18:C18"/>
    <mergeCell ref="C29:G29"/>
    <mergeCell ref="C32:H32"/>
    <mergeCell ref="D36:E36"/>
    <mergeCell ref="F36:G36"/>
    <mergeCell ref="A46:B47"/>
    <mergeCell ref="C60:C63"/>
    <mergeCell ref="D60:D63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173:D173"/>
    <mergeCell ref="B176:C176"/>
    <mergeCell ref="G176:H176"/>
    <mergeCell ref="C122:D122"/>
    <mergeCell ref="A136:B137"/>
    <mergeCell ref="C139:D139"/>
    <mergeCell ref="A153:B154"/>
    <mergeCell ref="C156:D156"/>
    <mergeCell ref="A170:B171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8:O19"/>
  <sheetViews>
    <sheetView workbookViewId="0">
      <selection activeCell="N18" sqref="N18"/>
    </sheetView>
  </sheetViews>
  <sheetFormatPr defaultRowHeight="12.75" x14ac:dyDescent="0.2"/>
  <sheetData>
    <row r="18" spans="14:15" x14ac:dyDescent="0.2">
      <c r="N18">
        <f>40/1000</f>
        <v>0.04</v>
      </c>
    </row>
    <row r="19" spans="14:15" x14ac:dyDescent="0.2">
      <c r="O19">
        <f>10/50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Uniformity (2)</vt:lpstr>
      <vt:lpstr>SST A</vt:lpstr>
      <vt:lpstr>SST L</vt:lpstr>
      <vt:lpstr>Lumefantrine</vt:lpstr>
      <vt:lpstr>Artemether1</vt:lpstr>
      <vt:lpstr>Sheet3</vt:lpstr>
      <vt:lpstr>Artemether1!Print_Area</vt:lpstr>
      <vt:lpstr>Lumefantrine!Print_Area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2016-12-08T07:30:53Z</cp:lastPrinted>
  <dcterms:created xsi:type="dcterms:W3CDTF">2005-07-05T10:19:27Z</dcterms:created>
  <dcterms:modified xsi:type="dcterms:W3CDTF">2017-03-24T12:51:49Z</dcterms:modified>
</cp:coreProperties>
</file>