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Joy\2016\August\"/>
    </mc:Choice>
  </mc:AlternateContent>
  <bookViews>
    <workbookView xWindow="510" yWindow="555" windowWidth="15015" windowHeight="7620" activeTab="3"/>
  </bookViews>
  <sheets>
    <sheet name="Relative density" sheetId="1" r:id="rId1"/>
    <sheet name="SST" sheetId="5" r:id="rId2"/>
    <sheet name="Amoxicillin 1" sheetId="3" r:id="rId3"/>
    <sheet name="Clavulanic acid" sheetId="4" r:id="rId4"/>
    <sheet name="Sheet1" sheetId="7" r:id="rId5"/>
  </sheets>
  <definedNames>
    <definedName name="_xlnm.Print_Area" localSheetId="2">'Amoxicillin 1'!$A$1:$I$135</definedName>
    <definedName name="_xlnm.Print_Area" localSheetId="3">'Clavulanic acid'!$A$1:$I$146</definedName>
  </definedNames>
  <calcPr calcId="152511"/>
</workbook>
</file>

<file path=xl/calcChain.xml><?xml version="1.0" encoding="utf-8"?>
<calcChain xmlns="http://schemas.openxmlformats.org/spreadsheetml/2006/main">
  <c r="B58" i="3" l="1"/>
  <c r="B58" i="4"/>
  <c r="B41" i="5" l="1"/>
  <c r="B40" i="5"/>
  <c r="B39" i="5"/>
  <c r="B20" i="5"/>
  <c r="B19" i="5"/>
  <c r="B18" i="5"/>
  <c r="B17" i="5"/>
  <c r="P13" i="7" l="1"/>
  <c r="R11" i="7" s="1"/>
  <c r="M6" i="7"/>
  <c r="M24" i="7"/>
  <c r="L20" i="7"/>
  <c r="N10" i="7"/>
  <c r="L16" i="7"/>
  <c r="H18" i="7"/>
  <c r="G18" i="7"/>
  <c r="G21" i="7" s="1"/>
  <c r="G13" i="7"/>
  <c r="J13" i="7"/>
  <c r="H13" i="7"/>
  <c r="H7" i="7"/>
  <c r="G7" i="7"/>
  <c r="B83" i="4" l="1"/>
  <c r="E30" i="5"/>
  <c r="D30" i="5"/>
  <c r="C30" i="5"/>
  <c r="B30" i="5"/>
  <c r="B31" i="5" s="1"/>
  <c r="F51" i="5"/>
  <c r="E51" i="5"/>
  <c r="D51" i="5"/>
  <c r="C51" i="5"/>
  <c r="B51" i="5"/>
  <c r="B52" i="5" s="1"/>
  <c r="B32" i="5"/>
  <c r="C132" i="4" l="1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B59" i="4"/>
  <c r="B112" i="4"/>
  <c r="D113" i="4" s="1"/>
  <c r="E57" i="4"/>
  <c r="B56" i="4"/>
  <c r="B46" i="4"/>
  <c r="D49" i="4" s="1"/>
  <c r="F43" i="4"/>
  <c r="D43" i="4"/>
  <c r="G42" i="4"/>
  <c r="E42" i="4"/>
  <c r="B35" i="4"/>
  <c r="D45" i="4" s="1"/>
  <c r="B31" i="4"/>
  <c r="C132" i="3"/>
  <c r="H127" i="3"/>
  <c r="G127" i="3"/>
  <c r="B124" i="3"/>
  <c r="H123" i="3"/>
  <c r="G123" i="3"/>
  <c r="H119" i="3"/>
  <c r="G119" i="3"/>
  <c r="B113" i="3"/>
  <c r="E111" i="3"/>
  <c r="B110" i="3"/>
  <c r="B100" i="3"/>
  <c r="D103" i="3" s="1"/>
  <c r="F97" i="3"/>
  <c r="D97" i="3"/>
  <c r="G96" i="3"/>
  <c r="E96" i="3"/>
  <c r="B89" i="3"/>
  <c r="F99" i="3" s="1"/>
  <c r="B85" i="3"/>
  <c r="C78" i="3"/>
  <c r="H73" i="3"/>
  <c r="G73" i="3"/>
  <c r="B70" i="3"/>
  <c r="H69" i="3"/>
  <c r="G69" i="3"/>
  <c r="G65" i="3"/>
  <c r="H65" i="3" s="1"/>
  <c r="G63" i="3"/>
  <c r="H63" i="3" s="1"/>
  <c r="G62" i="3"/>
  <c r="H62" i="3" s="1"/>
  <c r="B59" i="3"/>
  <c r="B112" i="3"/>
  <c r="D113" i="3" s="1"/>
  <c r="E57" i="3"/>
  <c r="B56" i="3"/>
  <c r="B46" i="3"/>
  <c r="D49" i="3" s="1"/>
  <c r="D50" i="3" s="1"/>
  <c r="F43" i="3"/>
  <c r="D43" i="3"/>
  <c r="G42" i="3"/>
  <c r="E42" i="3"/>
  <c r="B35" i="3"/>
  <c r="D45" i="3" s="1"/>
  <c r="B31" i="3"/>
  <c r="C13" i="1"/>
  <c r="B13" i="1"/>
  <c r="A13" i="1"/>
  <c r="B125" i="3" l="1"/>
  <c r="F45" i="3"/>
  <c r="B125" i="4"/>
  <c r="D46" i="4"/>
  <c r="D47" i="4" s="1"/>
  <c r="B17" i="1"/>
  <c r="B15" i="1"/>
  <c r="D50" i="4"/>
  <c r="F45" i="4"/>
  <c r="F46" i="4" s="1"/>
  <c r="D46" i="3"/>
  <c r="E41" i="3" s="1"/>
  <c r="F100" i="4"/>
  <c r="F101" i="4" s="1"/>
  <c r="F100" i="3"/>
  <c r="F101" i="3" s="1"/>
  <c r="F46" i="3"/>
  <c r="G40" i="3" s="1"/>
  <c r="E40" i="3"/>
  <c r="D99" i="3"/>
  <c r="D100" i="3" s="1"/>
  <c r="D101" i="3" s="1"/>
  <c r="D104" i="3"/>
  <c r="E40" i="4"/>
  <c r="D99" i="4"/>
  <c r="D100" i="4" s="1"/>
  <c r="D101" i="4" s="1"/>
  <c r="D104" i="4"/>
  <c r="D59" i="3"/>
  <c r="B71" i="3" s="1"/>
  <c r="E39" i="4"/>
  <c r="D59" i="4"/>
  <c r="B71" i="4" s="1"/>
  <c r="E41" i="4" l="1"/>
  <c r="G41" i="4"/>
  <c r="G40" i="4"/>
  <c r="E39" i="3"/>
  <c r="E43" i="3" s="1"/>
  <c r="F47" i="3"/>
  <c r="B21" i="5" s="1"/>
  <c r="D47" i="3"/>
  <c r="B19" i="1"/>
  <c r="F47" i="4"/>
  <c r="B42" i="5" s="1"/>
  <c r="G95" i="4"/>
  <c r="G94" i="4"/>
  <c r="G93" i="4"/>
  <c r="G39" i="4"/>
  <c r="G94" i="3"/>
  <c r="G95" i="3"/>
  <c r="G93" i="3"/>
  <c r="G39" i="3"/>
  <c r="G41" i="3"/>
  <c r="E95" i="4"/>
  <c r="E94" i="3"/>
  <c r="E95" i="3"/>
  <c r="E93" i="4"/>
  <c r="E43" i="4"/>
  <c r="E93" i="3"/>
  <c r="E94" i="4"/>
  <c r="G43" i="4" l="1"/>
  <c r="G97" i="4"/>
  <c r="D53" i="3"/>
  <c r="D51" i="4"/>
  <c r="G72" i="4" s="1"/>
  <c r="H72" i="4" s="1"/>
  <c r="D53" i="4"/>
  <c r="D51" i="3"/>
  <c r="G66" i="3" s="1"/>
  <c r="H66" i="3" s="1"/>
  <c r="G97" i="3"/>
  <c r="G43" i="3"/>
  <c r="G64" i="3"/>
  <c r="H64" i="3" s="1"/>
  <c r="D105" i="3"/>
  <c r="E97" i="3"/>
  <c r="D107" i="3"/>
  <c r="D105" i="4"/>
  <c r="E97" i="4"/>
  <c r="D107" i="4"/>
  <c r="G71" i="4" l="1"/>
  <c r="H71" i="4" s="1"/>
  <c r="G62" i="4"/>
  <c r="H62" i="4" s="1"/>
  <c r="G63" i="4"/>
  <c r="H63" i="4" s="1"/>
  <c r="G64" i="4"/>
  <c r="H64" i="4" s="1"/>
  <c r="D52" i="4"/>
  <c r="G66" i="4"/>
  <c r="H66" i="4" s="1"/>
  <c r="G70" i="4"/>
  <c r="H70" i="4" s="1"/>
  <c r="G68" i="4"/>
  <c r="H68" i="4" s="1"/>
  <c r="G67" i="4"/>
  <c r="H67" i="4" s="1"/>
  <c r="G68" i="3"/>
  <c r="H68" i="3" s="1"/>
  <c r="D52" i="3"/>
  <c r="G71" i="3"/>
  <c r="H71" i="3" s="1"/>
  <c r="G70" i="3"/>
  <c r="H70" i="3" s="1"/>
  <c r="G72" i="3"/>
  <c r="H72" i="3" s="1"/>
  <c r="G67" i="3"/>
  <c r="H67" i="3" s="1"/>
  <c r="G116" i="4"/>
  <c r="H116" i="4" s="1"/>
  <c r="G117" i="4"/>
  <c r="H117" i="4" s="1"/>
  <c r="G117" i="3"/>
  <c r="H117" i="3" s="1"/>
  <c r="G116" i="3"/>
  <c r="H116" i="3" s="1"/>
  <c r="G124" i="4"/>
  <c r="H124" i="4" s="1"/>
  <c r="D106" i="4"/>
  <c r="G125" i="4"/>
  <c r="H125" i="4" s="1"/>
  <c r="G122" i="4"/>
  <c r="H122" i="4" s="1"/>
  <c r="G120" i="4"/>
  <c r="H120" i="4" s="1"/>
  <c r="G118" i="4"/>
  <c r="H118" i="4" s="1"/>
  <c r="G126" i="4"/>
  <c r="H126" i="4" s="1"/>
  <c r="G121" i="4"/>
  <c r="H121" i="4" s="1"/>
  <c r="G124" i="3"/>
  <c r="H124" i="3" s="1"/>
  <c r="D106" i="3"/>
  <c r="G125" i="3"/>
  <c r="H125" i="3" s="1"/>
  <c r="G122" i="3"/>
  <c r="H122" i="3" s="1"/>
  <c r="G120" i="3"/>
  <c r="H120" i="3" s="1"/>
  <c r="G118" i="3"/>
  <c r="H118" i="3" s="1"/>
  <c r="G126" i="3"/>
  <c r="H126" i="3" s="1"/>
  <c r="G121" i="3"/>
  <c r="H121" i="3" s="1"/>
  <c r="H76" i="4" l="1"/>
  <c r="H74" i="4"/>
  <c r="H75" i="4" s="1"/>
  <c r="H74" i="3"/>
  <c r="G78" i="3" s="1"/>
  <c r="H76" i="3"/>
  <c r="H130" i="3"/>
  <c r="H128" i="3"/>
  <c r="H128" i="4"/>
  <c r="H130" i="4"/>
  <c r="H75" i="3" l="1"/>
  <c r="G78" i="4"/>
  <c r="H129" i="3"/>
  <c r="G132" i="3"/>
  <c r="H129" i="4"/>
  <c r="G132" i="4"/>
</calcChain>
</file>

<file path=xl/sharedStrings.xml><?xml version="1.0" encoding="utf-8"?>
<sst xmlns="http://schemas.openxmlformats.org/spreadsheetml/2006/main" count="401" uniqueCount="124">
  <si>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</si>
  <si>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</si>
  <si>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</si>
  <si>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</si>
  <si>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</si>
  <si>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</si>
  <si>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National Quality Control Laboratory</t>
  </si>
  <si>
    <t>Laboratory Data Calculation Spreadsheet</t>
  </si>
  <si>
    <t>Please enter the required information in the cells highlighted in green</t>
  </si>
  <si>
    <t>COSIL - 228.5 DRY POWDER FOR SUSPENSION     70 ml</t>
  </si>
  <si>
    <t>NDQD201604857</t>
  </si>
  <si>
    <t>Sample Name:</t>
  </si>
  <si>
    <t>Amoxicillin &amp; Clavulanate Potassium</t>
  </si>
  <si>
    <t>Laboratory Ref No:</t>
  </si>
  <si>
    <t>Each 5 mL after reconstitution contains Amoxicillin Trihydrate USP equivalent to Amoxicillin 200 mg, Clavulanate USP  equivalent to Clavulanic Acid 28.5 mg.</t>
  </si>
  <si>
    <t>Active Ingredient:</t>
  </si>
  <si>
    <t>Label Claim:</t>
  </si>
  <si>
    <t>Date Analysis Started:</t>
  </si>
  <si>
    <t>Date Analysis Completed: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</si>
  <si>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</si>
  <si>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</si>
  <si>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</si>
  <si>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</si>
  <si>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</si>
  <si>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</si>
  <si>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</si>
  <si>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Day 1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</si>
  <si>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</si>
  <si>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</si>
  <si>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</si>
  <si>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</si>
  <si>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</si>
  <si>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</si>
  <si>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</si>
  <si>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</si>
  <si>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</si>
  <si>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</si>
  <si>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</si>
  <si>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</si>
  <si>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</si>
  <si>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</si>
  <si>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</si>
  <si>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</si>
  <si>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</si>
  <si>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</si>
  <si>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</si>
  <si>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</si>
  <si>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</si>
  <si>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</si>
  <si>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</si>
  <si>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</si>
  <si>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</si>
  <si>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</si>
  <si>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</si>
  <si>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</si>
  <si>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</si>
  <si>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</si>
  <si>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</si>
  <si>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</si>
  <si>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</si>
  <si>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</si>
  <si>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</si>
  <si>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</si>
  <si>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</si>
  <si>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</si>
  <si>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</si>
  <si>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</si>
  <si>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</si>
  <si>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</si>
  <si>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</si>
  <si>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</si>
  <si>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</si>
  <si>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</si>
  <si>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</si>
  <si>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</si>
  <si>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</si>
  <si>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</si>
  <si>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</si>
  <si>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</si>
  <si>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</si>
  <si>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</si>
  <si>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</si>
  <si>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</si>
  <si>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</si>
  <si>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</si>
  <si>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</si>
  <si>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</si>
  <si>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</si>
  <si>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</si>
  <si>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</si>
  <si>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</si>
  <si>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</si>
  <si>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</si>
  <si>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</si>
  <si>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</si>
  <si>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</si>
  <si>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</si>
  <si>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</si>
  <si>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</si>
  <si>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</si>
  <si>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</si>
  <si>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</si>
  <si>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</si>
  <si>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</si>
  <si>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</si>
  <si>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</si>
  <si>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</si>
  <si>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</si>
  <si>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</si>
  <si>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</si>
  <si>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</si>
  <si>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JOYFRIDA</t>
  </si>
  <si>
    <t>RESOLUTION (min)</t>
  </si>
  <si>
    <t>5ML (after reconstitution) contains 200mg amoxicillin and 28.5mg clavulanic acid</t>
  </si>
  <si>
    <t xml:space="preserve">Amoxicillin </t>
  </si>
  <si>
    <t>A1-3</t>
  </si>
  <si>
    <t xml:space="preserve">AMOXICILLIN </t>
  </si>
  <si>
    <t>COSIL-228.5</t>
  </si>
  <si>
    <t xml:space="preserve"> Amoxicillin </t>
  </si>
  <si>
    <t>CLAVULANATE LITHIUM</t>
  </si>
  <si>
    <t>C62-4</t>
  </si>
  <si>
    <t>CLAVULANATE</t>
  </si>
  <si>
    <t>28TH June2016</t>
  </si>
  <si>
    <t>CLAVULANIC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</si>
</sst>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"/>
    <numFmt numFmtId="165" formatCode="0.00000"/>
    <numFmt numFmtId="166" formatCode="0.0000000"/>
    <numFmt numFmtId="167" formatCode="0.000"/>
    <numFmt numFmtId="168" formatCode="dd\-mmm\-yy"/>
    <numFmt numFmtId="169" formatCode="0.0000\ &quot;mg&quot;"/>
    <numFmt numFmtId="170" formatCode="0.0\ &quot;mL&quot;"/>
    <numFmt numFmtId="171" formatCode="0.0000\ &quot;g&quot;"/>
    <numFmt numFmtId="172" formatCode="0.0\ &quot;mg&quot;"/>
    <numFmt numFmtId="173" formatCode="0.0%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sz val="14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</font>
    <font>
      <sz val="11"/>
      <color rgb="FF000000"/>
      <name val="Book Antiqua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2" borderId="0"/>
  </cellStyleXfs>
  <cellXfs count="391">
    <xf numFmtId="0" fontId="0" fillId="2" borderId="0" xfId="0" applyFill="1"/>
    <xf numFmtId="0" fontId="1" fillId="2" borderId="0" xfId="0" applyFont="1" applyFill="1"/>
    <xf numFmtId="2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2" fontId="1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/>
    </xf>
    <xf numFmtId="165" fontId="4" fillId="3" borderId="0" xfId="0" applyNumberFormat="1" applyFont="1" applyFill="1" applyAlignment="1" applyProtection="1">
      <alignment horizontal="center"/>
      <protection locked="0"/>
    </xf>
    <xf numFmtId="165" fontId="4" fillId="2" borderId="0" xfId="0" applyNumberFormat="1" applyFont="1" applyFill="1" applyAlignment="1">
      <alignment horizontal="center"/>
    </xf>
    <xf numFmtId="166" fontId="3" fillId="4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6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8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11" fillId="2" borderId="0" xfId="0" applyFont="1" applyFill="1"/>
    <xf numFmtId="0" fontId="5" fillId="2" borderId="0" xfId="0" applyFont="1" applyFill="1" applyAlignment="1">
      <alignment horizontal="left" vertical="center" wrapText="1"/>
    </xf>
    <xf numFmtId="169" fontId="3" fillId="2" borderId="0" xfId="0" applyNumberFormat="1" applyFont="1" applyFill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1" fontId="3" fillId="5" borderId="20" xfId="0" applyNumberFormat="1" applyFont="1" applyFill="1" applyBorder="1" applyAlignment="1">
      <alignment horizontal="center"/>
    </xf>
    <xf numFmtId="167" fontId="3" fillId="5" borderId="21" xfId="0" applyNumberFormat="1" applyFont="1" applyFill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7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right"/>
    </xf>
    <xf numFmtId="10" fontId="4" fillId="5" borderId="7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23" xfId="0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7" fontId="3" fillId="5" borderId="26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27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/>
    <xf numFmtId="0" fontId="5" fillId="2" borderId="11" xfId="0" applyFont="1" applyFill="1" applyBorder="1" applyAlignment="1">
      <alignment horizontal="left" vertical="center" wrapText="1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67" fontId="4" fillId="2" borderId="17" xfId="0" applyNumberFormat="1" applyFont="1" applyFill="1" applyBorder="1" applyAlignment="1">
      <alignment horizontal="center"/>
    </xf>
    <xf numFmtId="167" fontId="4" fillId="2" borderId="28" xfId="0" applyNumberFormat="1" applyFont="1" applyFill="1" applyBorder="1" applyAlignment="1">
      <alignment horizontal="center"/>
    </xf>
    <xf numFmtId="167" fontId="4" fillId="2" borderId="2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0" xfId="0" applyFont="1" applyFill="1" applyBorder="1"/>
    <xf numFmtId="0" fontId="3" fillId="2" borderId="31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67" fontId="4" fillId="2" borderId="27" xfId="0" applyNumberFormat="1" applyFont="1" applyFill="1" applyBorder="1" applyAlignment="1">
      <alignment horizontal="center"/>
    </xf>
    <xf numFmtId="167" fontId="4" fillId="2" borderId="32" xfId="0" applyNumberFormat="1" applyFont="1" applyFill="1" applyBorder="1" applyAlignment="1">
      <alignment horizontal="center"/>
    </xf>
    <xf numFmtId="167" fontId="4" fillId="2" borderId="33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Alignment="1">
      <alignment horizontal="right"/>
    </xf>
    <xf numFmtId="170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0" fontId="4" fillId="2" borderId="15" xfId="0" applyNumberFormat="1" applyFont="1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center" vertical="center"/>
    </xf>
    <xf numFmtId="10" fontId="4" fillId="2" borderId="35" xfId="0" applyNumberFormat="1" applyFont="1" applyFill="1" applyBorder="1" applyAlignment="1">
      <alignment horizontal="center" vertical="center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3" fillId="5" borderId="36" xfId="0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5" borderId="38" xfId="0" applyNumberFormat="1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2" fontId="4" fillId="5" borderId="17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right"/>
    </xf>
    <xf numFmtId="167" fontId="3" fillId="6" borderId="6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1" fontId="3" fillId="2" borderId="0" xfId="0" applyNumberFormat="1" applyFont="1" applyFill="1" applyAlignment="1">
      <alignment horizontal="center"/>
    </xf>
    <xf numFmtId="0" fontId="4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8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0" xfId="0" applyFont="1" applyFill="1" applyBorder="1" applyAlignment="1" applyProtection="1">
      <alignment horizontal="center"/>
      <protection locked="0"/>
    </xf>
    <xf numFmtId="0" fontId="16" fillId="3" borderId="39" xfId="0" applyFont="1" applyFill="1" applyBorder="1" applyAlignment="1" applyProtection="1">
      <alignment horizontal="center"/>
      <protection locked="0"/>
    </xf>
    <xf numFmtId="0" fontId="16" fillId="3" borderId="8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0" fontId="16" fillId="3" borderId="6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38" xfId="0" applyFont="1" applyFill="1" applyBorder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172" fontId="16" fillId="3" borderId="0" xfId="0" applyNumberFormat="1" applyFont="1" applyFill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34" xfId="0" applyFont="1" applyFill="1" applyBorder="1" applyAlignment="1" applyProtection="1">
      <alignment horizontal="center"/>
      <protection locked="0"/>
    </xf>
    <xf numFmtId="2" fontId="15" fillId="2" borderId="35" xfId="0" applyNumberFormat="1" applyFont="1" applyFill="1" applyBorder="1" applyAlignment="1">
      <alignment horizontal="center"/>
    </xf>
    <xf numFmtId="10" fontId="16" fillId="6" borderId="19" xfId="0" applyNumberFormat="1" applyFont="1" applyFill="1" applyBorder="1" applyAlignment="1">
      <alignment horizontal="center"/>
    </xf>
    <xf numFmtId="10" fontId="16" fillId="5" borderId="42" xfId="0" applyNumberFormat="1" applyFont="1" applyFill="1" applyBorder="1" applyAlignment="1">
      <alignment horizontal="center"/>
    </xf>
    <xf numFmtId="0" fontId="16" fillId="6" borderId="43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73" fontId="16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11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4" fillId="2" borderId="23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25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168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 wrapText="1"/>
    </xf>
    <xf numFmtId="0" fontId="11" fillId="2" borderId="0" xfId="0" applyFont="1" applyFill="1"/>
    <xf numFmtId="0" fontId="5" fillId="2" borderId="0" xfId="0" applyFont="1" applyFill="1" applyAlignment="1">
      <alignment horizontal="left" vertical="center" wrapText="1"/>
    </xf>
    <xf numFmtId="169" fontId="3" fillId="2" borderId="0" xfId="0" applyNumberFormat="1" applyFont="1" applyFill="1" applyAlignment="1">
      <alignment horizontal="center"/>
    </xf>
    <xf numFmtId="0" fontId="4" fillId="2" borderId="14" xfId="0" applyFont="1" applyFill="1" applyBorder="1" applyAlignment="1">
      <alignment horizontal="right"/>
    </xf>
    <xf numFmtId="0" fontId="4" fillId="2" borderId="8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/>
    <xf numFmtId="0" fontId="4" fillId="2" borderId="1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right"/>
    </xf>
    <xf numFmtId="1" fontId="3" fillId="5" borderId="20" xfId="0" applyNumberFormat="1" applyFont="1" applyFill="1" applyBorder="1" applyAlignment="1">
      <alignment horizontal="center"/>
    </xf>
    <xf numFmtId="167" fontId="3" fillId="5" borderId="21" xfId="0" applyNumberFormat="1" applyFont="1" applyFill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6" borderId="7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0" fontId="4" fillId="2" borderId="22" xfId="0" applyFont="1" applyFill="1" applyBorder="1" applyAlignment="1">
      <alignment horizontal="right"/>
    </xf>
    <xf numFmtId="10" fontId="4" fillId="5" borderId="7" xfId="0" applyNumberFormat="1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23" xfId="0" applyFont="1" applyFill="1" applyBorder="1" applyAlignment="1">
      <alignment horizontal="center"/>
    </xf>
    <xf numFmtId="2" fontId="3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/>
    <xf numFmtId="167" fontId="3" fillId="5" borderId="26" xfId="0" applyNumberFormat="1" applyFont="1" applyFill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3" fillId="2" borderId="27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/>
    <xf numFmtId="0" fontId="5" fillId="2" borderId="11" xfId="0" applyFont="1" applyFill="1" applyBorder="1" applyAlignment="1">
      <alignment horizontal="left" vertical="center" wrapText="1"/>
    </xf>
    <xf numFmtId="0" fontId="4" fillId="2" borderId="11" xfId="0" applyFont="1" applyFill="1" applyBorder="1"/>
    <xf numFmtId="0" fontId="4" fillId="2" borderId="11" xfId="0" applyFont="1" applyFill="1" applyBorder="1" applyAlignment="1">
      <alignment horizontal="center"/>
    </xf>
    <xf numFmtId="167" fontId="4" fillId="2" borderId="17" xfId="0" applyNumberFormat="1" applyFont="1" applyFill="1" applyBorder="1" applyAlignment="1">
      <alignment horizontal="center"/>
    </xf>
    <xf numFmtId="167" fontId="4" fillId="2" borderId="28" xfId="0" applyNumberFormat="1" applyFont="1" applyFill="1" applyBorder="1" applyAlignment="1">
      <alignment horizontal="center"/>
    </xf>
    <xf numFmtId="167" fontId="4" fillId="2" borderId="2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0" xfId="0" applyFont="1" applyFill="1" applyBorder="1"/>
    <xf numFmtId="0" fontId="3" fillId="2" borderId="31" xfId="0" applyFont="1" applyFill="1" applyBorder="1"/>
    <xf numFmtId="0" fontId="4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167" fontId="4" fillId="2" borderId="27" xfId="0" applyNumberFormat="1" applyFont="1" applyFill="1" applyBorder="1" applyAlignment="1">
      <alignment horizontal="center"/>
    </xf>
    <xf numFmtId="167" fontId="4" fillId="2" borderId="32" xfId="0" applyNumberFormat="1" applyFont="1" applyFill="1" applyBorder="1" applyAlignment="1">
      <alignment horizontal="center"/>
    </xf>
    <xf numFmtId="167" fontId="4" fillId="2" borderId="33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1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Alignment="1">
      <alignment horizontal="right"/>
    </xf>
    <xf numFmtId="170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0" fontId="4" fillId="2" borderId="15" xfId="0" applyNumberFormat="1" applyFont="1" applyFill="1" applyBorder="1" applyAlignment="1">
      <alignment horizontal="center" vertical="center"/>
    </xf>
    <xf numFmtId="10" fontId="4" fillId="2" borderId="10" xfId="0" applyNumberFormat="1" applyFont="1" applyFill="1" applyBorder="1" applyAlignment="1">
      <alignment horizontal="center" vertical="center"/>
    </xf>
    <xf numFmtId="10" fontId="4" fillId="2" borderId="35" xfId="0" applyNumberFormat="1" applyFont="1" applyFill="1" applyBorder="1" applyAlignment="1">
      <alignment horizontal="center" vertical="center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3" fillId="5" borderId="36" xfId="0" applyNumberFormat="1" applyFont="1" applyFill="1" applyBorder="1" applyAlignment="1">
      <alignment horizontal="center"/>
    </xf>
    <xf numFmtId="0" fontId="4" fillId="2" borderId="37" xfId="0" applyFont="1" applyFill="1" applyBorder="1" applyAlignment="1">
      <alignment horizontal="right"/>
    </xf>
    <xf numFmtId="0" fontId="4" fillId="2" borderId="16" xfId="0" applyFont="1" applyFill="1" applyBorder="1" applyAlignment="1">
      <alignment horizontal="right"/>
    </xf>
    <xf numFmtId="2" fontId="4" fillId="5" borderId="38" xfId="0" applyNumberFormat="1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0" fontId="4" fillId="2" borderId="36" xfId="0" applyFont="1" applyFill="1" applyBorder="1" applyAlignment="1">
      <alignment horizontal="right"/>
    </xf>
    <xf numFmtId="2" fontId="4" fillId="5" borderId="17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right"/>
    </xf>
    <xf numFmtId="167" fontId="3" fillId="6" borderId="6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1" fontId="3" fillId="2" borderId="0" xfId="0" applyNumberFormat="1" applyFont="1" applyFill="1" applyAlignment="1">
      <alignment horizontal="center"/>
    </xf>
    <xf numFmtId="0" fontId="4" fillId="2" borderId="12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8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0" xfId="0" applyFont="1" applyFill="1" applyBorder="1" applyAlignment="1" applyProtection="1">
      <alignment horizontal="center"/>
      <protection locked="0"/>
    </xf>
    <xf numFmtId="0" fontId="16" fillId="3" borderId="39" xfId="0" applyFont="1" applyFill="1" applyBorder="1" applyAlignment="1" applyProtection="1">
      <alignment horizontal="center"/>
      <protection locked="0"/>
    </xf>
    <xf numFmtId="0" fontId="16" fillId="3" borderId="8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0" fontId="16" fillId="3" borderId="6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38" xfId="0" applyFont="1" applyFill="1" applyBorder="1" applyAlignment="1" applyProtection="1">
      <alignment horizontal="center"/>
      <protection locked="0"/>
    </xf>
    <xf numFmtId="170" fontId="16" fillId="3" borderId="0" xfId="0" applyNumberFormat="1" applyFont="1" applyFill="1" applyAlignment="1" applyProtection="1">
      <alignment horizontal="center"/>
      <protection locked="0"/>
    </xf>
    <xf numFmtId="172" fontId="16" fillId="3" borderId="0" xfId="0" applyNumberFormat="1" applyFont="1" applyFill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34" xfId="0" applyFont="1" applyFill="1" applyBorder="1" applyAlignment="1" applyProtection="1">
      <alignment horizontal="center"/>
      <protection locked="0"/>
    </xf>
    <xf numFmtId="2" fontId="15" fillId="2" borderId="35" xfId="0" applyNumberFormat="1" applyFont="1" applyFill="1" applyBorder="1" applyAlignment="1">
      <alignment horizontal="center"/>
    </xf>
    <xf numFmtId="10" fontId="16" fillId="6" borderId="19" xfId="0" applyNumberFormat="1" applyFont="1" applyFill="1" applyBorder="1" applyAlignment="1">
      <alignment horizontal="center"/>
    </xf>
    <xf numFmtId="10" fontId="16" fillId="5" borderId="42" xfId="0" applyNumberFormat="1" applyFont="1" applyFill="1" applyBorder="1" applyAlignment="1">
      <alignment horizontal="center"/>
    </xf>
    <xf numFmtId="0" fontId="16" fillId="6" borderId="43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73" fontId="16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5" fillId="2" borderId="11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4" fillId="2" borderId="23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25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0" fillId="2" borderId="0" xfId="1" applyFont="1" applyFill="1"/>
    <xf numFmtId="0" fontId="20" fillId="2" borderId="0" xfId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7" fillId="2" borderId="0" xfId="1" applyFont="1" applyFill="1" applyAlignment="1">
      <alignment horizontal="center"/>
    </xf>
    <xf numFmtId="0" fontId="8" fillId="2" borderId="0" xfId="1" applyFont="1" applyFill="1"/>
    <xf numFmtId="0" fontId="7" fillId="2" borderId="0" xfId="1" applyFont="1" applyFill="1"/>
    <xf numFmtId="2" fontId="7" fillId="2" borderId="0" xfId="1" applyNumberFormat="1" applyFont="1" applyFill="1" applyAlignment="1">
      <alignment horizontal="center"/>
    </xf>
    <xf numFmtId="165" fontId="7" fillId="2" borderId="0" xfId="1" applyNumberFormat="1" applyFont="1" applyFill="1" applyAlignment="1">
      <alignment horizontal="center"/>
    </xf>
    <xf numFmtId="0" fontId="7" fillId="2" borderId="45" xfId="1" applyFont="1" applyFill="1" applyBorder="1" applyAlignment="1">
      <alignment horizontal="center"/>
    </xf>
    <xf numFmtId="0" fontId="7" fillId="2" borderId="46" xfId="1" applyFont="1" applyFill="1" applyBorder="1" applyAlignment="1">
      <alignment horizontal="center"/>
    </xf>
    <xf numFmtId="0" fontId="8" fillId="2" borderId="47" xfId="1" applyFont="1" applyFill="1" applyBorder="1" applyAlignment="1">
      <alignment horizontal="center"/>
    </xf>
    <xf numFmtId="0" fontId="21" fillId="3" borderId="47" xfId="1" applyFont="1" applyFill="1" applyBorder="1" applyAlignment="1" applyProtection="1">
      <alignment horizontal="center"/>
      <protection locked="0"/>
    </xf>
    <xf numFmtId="2" fontId="21" fillId="3" borderId="47" xfId="1" applyNumberFormat="1" applyFont="1" applyFill="1" applyBorder="1" applyAlignment="1" applyProtection="1">
      <alignment horizontal="center"/>
      <protection locked="0"/>
    </xf>
    <xf numFmtId="2" fontId="21" fillId="3" borderId="48" xfId="1" applyNumberFormat="1" applyFont="1" applyFill="1" applyBorder="1" applyAlignment="1" applyProtection="1">
      <alignment horizontal="center"/>
      <protection locked="0"/>
    </xf>
    <xf numFmtId="0" fontId="21" fillId="3" borderId="49" xfId="1" applyFont="1" applyFill="1" applyBorder="1" applyAlignment="1" applyProtection="1">
      <alignment horizontal="center"/>
      <protection locked="0"/>
    </xf>
    <xf numFmtId="2" fontId="21" fillId="3" borderId="49" xfId="1" applyNumberFormat="1" applyFont="1" applyFill="1" applyBorder="1" applyAlignment="1" applyProtection="1">
      <alignment horizontal="center"/>
      <protection locked="0"/>
    </xf>
    <xf numFmtId="0" fontId="8" fillId="2" borderId="48" xfId="1" applyFont="1" applyFill="1" applyBorder="1"/>
    <xf numFmtId="1" fontId="7" fillId="7" borderId="46" xfId="1" applyNumberFormat="1" applyFont="1" applyFill="1" applyBorder="1" applyAlignment="1">
      <alignment horizontal="center"/>
    </xf>
    <xf numFmtId="1" fontId="7" fillId="7" borderId="45" xfId="1" applyNumberFormat="1" applyFont="1" applyFill="1" applyBorder="1" applyAlignment="1">
      <alignment horizontal="center"/>
    </xf>
    <xf numFmtId="2" fontId="7" fillId="7" borderId="45" xfId="1" applyNumberFormat="1" applyFont="1" applyFill="1" applyBorder="1" applyAlignment="1">
      <alignment horizontal="center"/>
    </xf>
    <xf numFmtId="0" fontId="8" fillId="2" borderId="47" xfId="1" applyFont="1" applyFill="1" applyBorder="1"/>
    <xf numFmtId="10" fontId="7" fillId="4" borderId="45" xfId="1" applyNumberFormat="1" applyFont="1" applyFill="1" applyBorder="1" applyAlignment="1">
      <alignment horizontal="center"/>
    </xf>
    <xf numFmtId="173" fontId="7" fillId="2" borderId="0" xfId="1" applyNumberFormat="1" applyFont="1" applyFill="1" applyAlignment="1">
      <alignment horizontal="center"/>
    </xf>
    <xf numFmtId="0" fontId="8" fillId="2" borderId="50" xfId="1" applyFont="1" applyFill="1" applyBorder="1"/>
    <xf numFmtId="0" fontId="8" fillId="2" borderId="49" xfId="1" applyFont="1" applyFill="1" applyBorder="1"/>
    <xf numFmtId="0" fontId="7" fillId="7" borderId="45" xfId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8" fillId="2" borderId="12" xfId="1" applyFont="1" applyFill="1" applyBorder="1"/>
    <xf numFmtId="0" fontId="8" fillId="2" borderId="51" xfId="1" applyFont="1" applyFill="1" applyBorder="1"/>
    <xf numFmtId="0" fontId="8" fillId="2" borderId="0" xfId="1" applyFont="1" applyFill="1" applyAlignment="1" applyProtection="1">
      <alignment horizontal="left"/>
      <protection locked="0"/>
    </xf>
    <xf numFmtId="0" fontId="8" fillId="2" borderId="0" xfId="1" applyFont="1" applyFill="1" applyProtection="1">
      <protection locked="0"/>
    </xf>
    <xf numFmtId="0" fontId="2" fillId="2" borderId="11" xfId="1" applyFont="1" applyFill="1" applyBorder="1"/>
    <xf numFmtId="0" fontId="2" fillId="2" borderId="0" xfId="1" applyFont="1" applyFill="1" applyAlignment="1">
      <alignment horizontal="center"/>
    </xf>
    <xf numFmtId="10" fontId="2" fillId="2" borderId="11" xfId="1" applyNumberFormat="1" applyFont="1" applyFill="1" applyBorder="1"/>
    <xf numFmtId="0" fontId="19" fillId="2" borderId="0" xfId="1" applyFill="1"/>
    <xf numFmtId="0" fontId="1" fillId="2" borderId="5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12" xfId="1" applyFont="1" applyFill="1" applyBorder="1"/>
    <xf numFmtId="0" fontId="22" fillId="2" borderId="12" xfId="1" applyFont="1" applyFill="1" applyBorder="1"/>
    <xf numFmtId="0" fontId="1" fillId="2" borderId="13" xfId="1" applyFont="1" applyFill="1" applyBorder="1"/>
    <xf numFmtId="0" fontId="2" fillId="2" borderId="13" xfId="1" applyFont="1" applyFill="1" applyBorder="1"/>
    <xf numFmtId="10" fontId="2" fillId="2" borderId="0" xfId="1" applyNumberFormat="1" applyFont="1" applyFill="1" applyBorder="1"/>
    <xf numFmtId="2" fontId="21" fillId="3" borderId="32" xfId="1" applyNumberFormat="1" applyFont="1" applyFill="1" applyBorder="1" applyAlignment="1" applyProtection="1">
      <alignment horizontal="center"/>
      <protection locked="0"/>
    </xf>
    <xf numFmtId="2" fontId="21" fillId="3" borderId="33" xfId="1" applyNumberFormat="1" applyFont="1" applyFill="1" applyBorder="1" applyAlignment="1" applyProtection="1">
      <alignment horizontal="center"/>
      <protection locked="0"/>
    </xf>
    <xf numFmtId="2" fontId="7" fillId="7" borderId="46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2" fontId="21" fillId="0" borderId="0" xfId="1" applyNumberFormat="1" applyFont="1" applyFill="1" applyBorder="1" applyAlignment="1" applyProtection="1">
      <alignment horizontal="center"/>
      <protection locked="0"/>
    </xf>
    <xf numFmtId="2" fontId="7" fillId="0" borderId="0" xfId="1" applyNumberFormat="1" applyFont="1" applyFill="1" applyBorder="1" applyAlignment="1">
      <alignment horizontal="center"/>
    </xf>
    <xf numFmtId="0" fontId="8" fillId="0" borderId="0" xfId="1" applyFont="1" applyFill="1" applyBorder="1"/>
    <xf numFmtId="0" fontId="7" fillId="2" borderId="52" xfId="1" applyFont="1" applyFill="1" applyBorder="1" applyAlignment="1">
      <alignment horizontal="center"/>
    </xf>
    <xf numFmtId="2" fontId="21" fillId="3" borderId="53" xfId="1" applyNumberFormat="1" applyFont="1" applyFill="1" applyBorder="1" applyAlignment="1" applyProtection="1">
      <alignment horizontal="center"/>
      <protection locked="0"/>
    </xf>
    <xf numFmtId="2" fontId="21" fillId="3" borderId="54" xfId="1" applyNumberFormat="1" applyFont="1" applyFill="1" applyBorder="1" applyAlignment="1" applyProtection="1">
      <alignment horizontal="center"/>
      <protection locked="0"/>
    </xf>
    <xf numFmtId="2" fontId="7" fillId="7" borderId="55" xfId="1" applyNumberFormat="1" applyFont="1" applyFill="1" applyBorder="1" applyAlignment="1">
      <alignment horizontal="center"/>
    </xf>
    <xf numFmtId="173" fontId="7" fillId="2" borderId="53" xfId="1" applyNumberFormat="1" applyFont="1" applyFill="1" applyBorder="1" applyAlignment="1">
      <alignment horizontal="center"/>
    </xf>
    <xf numFmtId="0" fontId="8" fillId="2" borderId="56" xfId="1" applyFont="1" applyFill="1" applyBorder="1"/>
    <xf numFmtId="0" fontId="6" fillId="2" borderId="0" xfId="1" applyFont="1" applyFill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5" fillId="2" borderId="2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2" fontId="16" fillId="3" borderId="23" xfId="0" applyNumberFormat="1" applyFont="1" applyFill="1" applyBorder="1" applyAlignment="1" applyProtection="1">
      <alignment horizontal="center" vertical="center"/>
      <protection locked="0"/>
    </xf>
    <xf numFmtId="2" fontId="16" fillId="3" borderId="24" xfId="0" applyNumberFormat="1" applyFont="1" applyFill="1" applyBorder="1" applyAlignment="1" applyProtection="1">
      <alignment horizontal="center" vertical="center"/>
      <protection locked="0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3" fillId="2" borderId="44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38"/>
  <sheetViews>
    <sheetView topLeftCell="A13" zoomScaleNormal="100" workbookViewId="0">
      <selection activeCell="E15" sqref="E15"/>
    </sheetView>
  </sheetViews>
  <sheetFormatPr defaultRowHeight="15" x14ac:dyDescent="0.3"/>
  <cols>
    <col min="1" max="1" width="28.42578125" style="1" customWidth="1"/>
    <col min="2" max="2" width="36.7109375" style="1" customWidth="1"/>
    <col min="3" max="3" width="34.28515625" style="1" customWidth="1"/>
    <col min="4" max="4" width="1.5703125" style="1" customWidth="1"/>
    <col min="5" max="5" width="25.5703125" style="1" customWidth="1"/>
    <col min="6" max="6" width="21.5703125" style="1" customWidth="1"/>
    <col min="7" max="7" width="23" style="1" customWidth="1"/>
    <col min="8" max="8" width="9.140625" style="1" customWidth="1"/>
    <col min="9" max="9" width="30.140625" style="1" customWidth="1"/>
    <col min="10" max="10" width="21.5703125" style="1" customWidth="1"/>
    <col min="11" max="11" width="23" style="1" customWidth="1"/>
    <col min="12" max="256" width="9.140625" style="1" customWidth="1"/>
    <col min="257" max="257" width="24" style="1" customWidth="1"/>
    <col min="258" max="258" width="21.5703125" style="1" customWidth="1"/>
    <col min="259" max="259" width="23" style="1" customWidth="1"/>
    <col min="260" max="512" width="9.140625" style="1" customWidth="1"/>
    <col min="513" max="513" width="24" style="1" customWidth="1"/>
    <col min="514" max="514" width="21.5703125" style="1" customWidth="1"/>
    <col min="515" max="515" width="23" style="1" customWidth="1"/>
    <col min="516" max="768" width="9.140625" style="1" customWidth="1"/>
    <col min="769" max="769" width="24" style="1" customWidth="1"/>
    <col min="770" max="770" width="21.5703125" style="1" customWidth="1"/>
    <col min="771" max="771" width="23" style="1" customWidth="1"/>
    <col min="772" max="1024" width="9.140625" style="1" customWidth="1"/>
    <col min="1025" max="1025" width="24" style="1" customWidth="1"/>
    <col min="1026" max="1026" width="21.5703125" style="1" customWidth="1"/>
    <col min="1027" max="1027" width="23" style="1" customWidth="1"/>
    <col min="1028" max="1280" width="9.140625" style="1" customWidth="1"/>
    <col min="1281" max="1281" width="24" style="1" customWidth="1"/>
    <col min="1282" max="1282" width="21.5703125" style="1" customWidth="1"/>
    <col min="1283" max="1283" width="23" style="1" customWidth="1"/>
    <col min="1284" max="1536" width="9.140625" style="1" customWidth="1"/>
    <col min="1537" max="1537" width="24" style="1" customWidth="1"/>
    <col min="1538" max="1538" width="21.5703125" style="1" customWidth="1"/>
    <col min="1539" max="1539" width="23" style="1" customWidth="1"/>
    <col min="1540" max="1792" width="9.140625" style="1" customWidth="1"/>
    <col min="1793" max="1793" width="24" style="1" customWidth="1"/>
    <col min="1794" max="1794" width="21.5703125" style="1" customWidth="1"/>
    <col min="1795" max="1795" width="23" style="1" customWidth="1"/>
    <col min="1796" max="2048" width="9.140625" style="1" customWidth="1"/>
    <col min="2049" max="2049" width="24" style="1" customWidth="1"/>
    <col min="2050" max="2050" width="21.5703125" style="1" customWidth="1"/>
    <col min="2051" max="2051" width="23" style="1" customWidth="1"/>
    <col min="2052" max="2304" width="9.140625" style="1" customWidth="1"/>
    <col min="2305" max="2305" width="24" style="1" customWidth="1"/>
    <col min="2306" max="2306" width="21.5703125" style="1" customWidth="1"/>
    <col min="2307" max="2307" width="23" style="1" customWidth="1"/>
    <col min="2308" max="2560" width="9.140625" style="1" customWidth="1"/>
    <col min="2561" max="2561" width="24" style="1" customWidth="1"/>
    <col min="2562" max="2562" width="21.5703125" style="1" customWidth="1"/>
    <col min="2563" max="2563" width="23" style="1" customWidth="1"/>
    <col min="2564" max="2816" width="9.140625" style="1" customWidth="1"/>
    <col min="2817" max="2817" width="24" style="1" customWidth="1"/>
    <col min="2818" max="2818" width="21.5703125" style="1" customWidth="1"/>
    <col min="2819" max="2819" width="23" style="1" customWidth="1"/>
    <col min="2820" max="3072" width="9.140625" style="1" customWidth="1"/>
    <col min="3073" max="3073" width="24" style="1" customWidth="1"/>
    <col min="3074" max="3074" width="21.5703125" style="1" customWidth="1"/>
    <col min="3075" max="3075" width="23" style="1" customWidth="1"/>
    <col min="3076" max="3328" width="9.140625" style="1" customWidth="1"/>
    <col min="3329" max="3329" width="24" style="1" customWidth="1"/>
    <col min="3330" max="3330" width="21.5703125" style="1" customWidth="1"/>
    <col min="3331" max="3331" width="23" style="1" customWidth="1"/>
    <col min="3332" max="3584" width="9.140625" style="1" customWidth="1"/>
    <col min="3585" max="3585" width="24" style="1" customWidth="1"/>
    <col min="3586" max="3586" width="21.5703125" style="1" customWidth="1"/>
    <col min="3587" max="3587" width="23" style="1" customWidth="1"/>
    <col min="3588" max="3840" width="9.140625" style="1" customWidth="1"/>
    <col min="3841" max="3841" width="24" style="1" customWidth="1"/>
    <col min="3842" max="3842" width="21.5703125" style="1" customWidth="1"/>
    <col min="3843" max="3843" width="23" style="1" customWidth="1"/>
    <col min="3844" max="4096" width="9.140625" style="1" customWidth="1"/>
    <col min="4097" max="4097" width="24" style="1" customWidth="1"/>
    <col min="4098" max="4098" width="21.5703125" style="1" customWidth="1"/>
    <col min="4099" max="4099" width="23" style="1" customWidth="1"/>
    <col min="4100" max="4352" width="9.140625" style="1" customWidth="1"/>
    <col min="4353" max="4353" width="24" style="1" customWidth="1"/>
    <col min="4354" max="4354" width="21.5703125" style="1" customWidth="1"/>
    <col min="4355" max="4355" width="23" style="1" customWidth="1"/>
    <col min="4356" max="4608" width="9.140625" style="1" customWidth="1"/>
    <col min="4609" max="4609" width="24" style="1" customWidth="1"/>
    <col min="4610" max="4610" width="21.5703125" style="1" customWidth="1"/>
    <col min="4611" max="4611" width="23" style="1" customWidth="1"/>
    <col min="4612" max="4864" width="9.140625" style="1" customWidth="1"/>
    <col min="4865" max="4865" width="24" style="1" customWidth="1"/>
    <col min="4866" max="4866" width="21.5703125" style="1" customWidth="1"/>
    <col min="4867" max="4867" width="23" style="1" customWidth="1"/>
    <col min="4868" max="5120" width="9.140625" style="1" customWidth="1"/>
    <col min="5121" max="5121" width="24" style="1" customWidth="1"/>
    <col min="5122" max="5122" width="21.5703125" style="1" customWidth="1"/>
    <col min="5123" max="5123" width="23" style="1" customWidth="1"/>
    <col min="5124" max="5376" width="9.140625" style="1" customWidth="1"/>
    <col min="5377" max="5377" width="24" style="1" customWidth="1"/>
    <col min="5378" max="5378" width="21.5703125" style="1" customWidth="1"/>
    <col min="5379" max="5379" width="23" style="1" customWidth="1"/>
    <col min="5380" max="5632" width="9.140625" style="1" customWidth="1"/>
    <col min="5633" max="5633" width="24" style="1" customWidth="1"/>
    <col min="5634" max="5634" width="21.5703125" style="1" customWidth="1"/>
    <col min="5635" max="5635" width="23" style="1" customWidth="1"/>
    <col min="5636" max="5888" width="9.140625" style="1" customWidth="1"/>
    <col min="5889" max="5889" width="24" style="1" customWidth="1"/>
    <col min="5890" max="5890" width="21.5703125" style="1" customWidth="1"/>
    <col min="5891" max="5891" width="23" style="1" customWidth="1"/>
    <col min="5892" max="6144" width="9.140625" style="1" customWidth="1"/>
    <col min="6145" max="6145" width="24" style="1" customWidth="1"/>
    <col min="6146" max="6146" width="21.5703125" style="1" customWidth="1"/>
    <col min="6147" max="6147" width="23" style="1" customWidth="1"/>
    <col min="6148" max="6400" width="9.140625" style="1" customWidth="1"/>
    <col min="6401" max="6401" width="24" style="1" customWidth="1"/>
    <col min="6402" max="6402" width="21.5703125" style="1" customWidth="1"/>
    <col min="6403" max="6403" width="23" style="1" customWidth="1"/>
    <col min="6404" max="6656" width="9.140625" style="1" customWidth="1"/>
    <col min="6657" max="6657" width="24" style="1" customWidth="1"/>
    <col min="6658" max="6658" width="21.5703125" style="1" customWidth="1"/>
    <col min="6659" max="6659" width="23" style="1" customWidth="1"/>
    <col min="6660" max="6912" width="9.140625" style="1" customWidth="1"/>
    <col min="6913" max="6913" width="24" style="1" customWidth="1"/>
    <col min="6914" max="6914" width="21.5703125" style="1" customWidth="1"/>
    <col min="6915" max="6915" width="23" style="1" customWidth="1"/>
    <col min="6916" max="7168" width="9.140625" style="1" customWidth="1"/>
    <col min="7169" max="7169" width="24" style="1" customWidth="1"/>
    <col min="7170" max="7170" width="21.5703125" style="1" customWidth="1"/>
    <col min="7171" max="7171" width="23" style="1" customWidth="1"/>
    <col min="7172" max="7424" width="9.140625" style="1" customWidth="1"/>
    <col min="7425" max="7425" width="24" style="1" customWidth="1"/>
    <col min="7426" max="7426" width="21.5703125" style="1" customWidth="1"/>
    <col min="7427" max="7427" width="23" style="1" customWidth="1"/>
    <col min="7428" max="7680" width="9.140625" style="1" customWidth="1"/>
    <col min="7681" max="7681" width="24" style="1" customWidth="1"/>
    <col min="7682" max="7682" width="21.5703125" style="1" customWidth="1"/>
    <col min="7683" max="7683" width="23" style="1" customWidth="1"/>
    <col min="7684" max="7936" width="9.140625" style="1" customWidth="1"/>
    <col min="7937" max="7937" width="24" style="1" customWidth="1"/>
    <col min="7938" max="7938" width="21.5703125" style="1" customWidth="1"/>
    <col min="7939" max="7939" width="23" style="1" customWidth="1"/>
    <col min="7940" max="8192" width="9.140625" style="1" customWidth="1"/>
    <col min="8193" max="8193" width="24" style="1" customWidth="1"/>
    <col min="8194" max="8194" width="21.5703125" style="1" customWidth="1"/>
    <col min="8195" max="8195" width="23" style="1" customWidth="1"/>
    <col min="8196" max="8448" width="9.140625" style="1" customWidth="1"/>
    <col min="8449" max="8449" width="24" style="1" customWidth="1"/>
    <col min="8450" max="8450" width="21.5703125" style="1" customWidth="1"/>
    <col min="8451" max="8451" width="23" style="1" customWidth="1"/>
    <col min="8452" max="8704" width="9.140625" style="1" customWidth="1"/>
    <col min="8705" max="8705" width="24" style="1" customWidth="1"/>
    <col min="8706" max="8706" width="21.5703125" style="1" customWidth="1"/>
    <col min="8707" max="8707" width="23" style="1" customWidth="1"/>
    <col min="8708" max="8960" width="9.140625" style="1" customWidth="1"/>
    <col min="8961" max="8961" width="24" style="1" customWidth="1"/>
    <col min="8962" max="8962" width="21.5703125" style="1" customWidth="1"/>
    <col min="8963" max="8963" width="23" style="1" customWidth="1"/>
    <col min="8964" max="9216" width="9.140625" style="1" customWidth="1"/>
    <col min="9217" max="9217" width="24" style="1" customWidth="1"/>
    <col min="9218" max="9218" width="21.5703125" style="1" customWidth="1"/>
    <col min="9219" max="9219" width="23" style="1" customWidth="1"/>
    <col min="9220" max="9472" width="9.140625" style="1" customWidth="1"/>
    <col min="9473" max="9473" width="24" style="1" customWidth="1"/>
    <col min="9474" max="9474" width="21.5703125" style="1" customWidth="1"/>
    <col min="9475" max="9475" width="23" style="1" customWidth="1"/>
    <col min="9476" max="9728" width="9.140625" style="1" customWidth="1"/>
    <col min="9729" max="9729" width="24" style="1" customWidth="1"/>
    <col min="9730" max="9730" width="21.5703125" style="1" customWidth="1"/>
    <col min="9731" max="9731" width="23" style="1" customWidth="1"/>
    <col min="9732" max="9984" width="9.140625" style="1" customWidth="1"/>
    <col min="9985" max="9985" width="24" style="1" customWidth="1"/>
    <col min="9986" max="9986" width="21.5703125" style="1" customWidth="1"/>
    <col min="9987" max="9987" width="23" style="1" customWidth="1"/>
    <col min="9988" max="10240" width="9.140625" style="1" customWidth="1"/>
    <col min="10241" max="10241" width="24" style="1" customWidth="1"/>
    <col min="10242" max="10242" width="21.5703125" style="1" customWidth="1"/>
    <col min="10243" max="10243" width="23" style="1" customWidth="1"/>
    <col min="10244" max="10496" width="9.140625" style="1" customWidth="1"/>
    <col min="10497" max="10497" width="24" style="1" customWidth="1"/>
    <col min="10498" max="10498" width="21.5703125" style="1" customWidth="1"/>
    <col min="10499" max="10499" width="23" style="1" customWidth="1"/>
    <col min="10500" max="10752" width="9.140625" style="1" customWidth="1"/>
    <col min="10753" max="10753" width="24" style="1" customWidth="1"/>
    <col min="10754" max="10754" width="21.5703125" style="1" customWidth="1"/>
    <col min="10755" max="10755" width="23" style="1" customWidth="1"/>
    <col min="10756" max="11008" width="9.140625" style="1" customWidth="1"/>
    <col min="11009" max="11009" width="24" style="1" customWidth="1"/>
    <col min="11010" max="11010" width="21.5703125" style="1" customWidth="1"/>
    <col min="11011" max="11011" width="23" style="1" customWidth="1"/>
    <col min="11012" max="11264" width="9.140625" style="1" customWidth="1"/>
    <col min="11265" max="11265" width="24" style="1" customWidth="1"/>
    <col min="11266" max="11266" width="21.5703125" style="1" customWidth="1"/>
    <col min="11267" max="11267" width="23" style="1" customWidth="1"/>
    <col min="11268" max="11520" width="9.140625" style="1" customWidth="1"/>
    <col min="11521" max="11521" width="24" style="1" customWidth="1"/>
    <col min="11522" max="11522" width="21.5703125" style="1" customWidth="1"/>
    <col min="11523" max="11523" width="23" style="1" customWidth="1"/>
    <col min="11524" max="11776" width="9.140625" style="1" customWidth="1"/>
    <col min="11777" max="11777" width="24" style="1" customWidth="1"/>
    <col min="11778" max="11778" width="21.5703125" style="1" customWidth="1"/>
    <col min="11779" max="11779" width="23" style="1" customWidth="1"/>
    <col min="11780" max="12032" width="9.140625" style="1" customWidth="1"/>
    <col min="12033" max="12033" width="24" style="1" customWidth="1"/>
    <col min="12034" max="12034" width="21.5703125" style="1" customWidth="1"/>
    <col min="12035" max="12035" width="23" style="1" customWidth="1"/>
    <col min="12036" max="12288" width="9.140625" style="1" customWidth="1"/>
    <col min="12289" max="12289" width="24" style="1" customWidth="1"/>
    <col min="12290" max="12290" width="21.5703125" style="1" customWidth="1"/>
    <col min="12291" max="12291" width="23" style="1" customWidth="1"/>
    <col min="12292" max="12544" width="9.140625" style="1" customWidth="1"/>
    <col min="12545" max="12545" width="24" style="1" customWidth="1"/>
    <col min="12546" max="12546" width="21.5703125" style="1" customWidth="1"/>
    <col min="12547" max="12547" width="23" style="1" customWidth="1"/>
    <col min="12548" max="12800" width="9.140625" style="1" customWidth="1"/>
    <col min="12801" max="12801" width="24" style="1" customWidth="1"/>
    <col min="12802" max="12802" width="21.5703125" style="1" customWidth="1"/>
    <col min="12803" max="12803" width="23" style="1" customWidth="1"/>
    <col min="12804" max="13056" width="9.140625" style="1" customWidth="1"/>
    <col min="13057" max="13057" width="24" style="1" customWidth="1"/>
    <col min="13058" max="13058" width="21.5703125" style="1" customWidth="1"/>
    <col min="13059" max="13059" width="23" style="1" customWidth="1"/>
    <col min="13060" max="13312" width="9.140625" style="1" customWidth="1"/>
    <col min="13313" max="13313" width="24" style="1" customWidth="1"/>
    <col min="13314" max="13314" width="21.5703125" style="1" customWidth="1"/>
    <col min="13315" max="13315" width="23" style="1" customWidth="1"/>
    <col min="13316" max="13568" width="9.140625" style="1" customWidth="1"/>
    <col min="13569" max="13569" width="24" style="1" customWidth="1"/>
    <col min="13570" max="13570" width="21.5703125" style="1" customWidth="1"/>
    <col min="13571" max="13571" width="23" style="1" customWidth="1"/>
    <col min="13572" max="13824" width="9.140625" style="1" customWidth="1"/>
    <col min="13825" max="13825" width="24" style="1" customWidth="1"/>
    <col min="13826" max="13826" width="21.5703125" style="1" customWidth="1"/>
    <col min="13827" max="13827" width="23" style="1" customWidth="1"/>
    <col min="13828" max="14080" width="9.140625" style="1" customWidth="1"/>
    <col min="14081" max="14081" width="24" style="1" customWidth="1"/>
    <col min="14082" max="14082" width="21.5703125" style="1" customWidth="1"/>
    <col min="14083" max="14083" width="23" style="1" customWidth="1"/>
    <col min="14084" max="14336" width="9.140625" style="1" customWidth="1"/>
    <col min="14337" max="14337" width="24" style="1" customWidth="1"/>
    <col min="14338" max="14338" width="21.5703125" style="1" customWidth="1"/>
    <col min="14339" max="14339" width="23" style="1" customWidth="1"/>
    <col min="14340" max="14592" width="9.140625" style="1" customWidth="1"/>
    <col min="14593" max="14593" width="24" style="1" customWidth="1"/>
    <col min="14594" max="14594" width="21.5703125" style="1" customWidth="1"/>
    <col min="14595" max="14595" width="23" style="1" customWidth="1"/>
    <col min="14596" max="14848" width="9.140625" style="1" customWidth="1"/>
    <col min="14849" max="14849" width="24" style="1" customWidth="1"/>
    <col min="14850" max="14850" width="21.5703125" style="1" customWidth="1"/>
    <col min="14851" max="14851" width="23" style="1" customWidth="1"/>
    <col min="14852" max="15104" width="9.140625" style="1" customWidth="1"/>
    <col min="15105" max="15105" width="24" style="1" customWidth="1"/>
    <col min="15106" max="15106" width="21.5703125" style="1" customWidth="1"/>
    <col min="15107" max="15107" width="23" style="1" customWidth="1"/>
    <col min="15108" max="15360" width="9.140625" style="1" customWidth="1"/>
    <col min="15361" max="15361" width="24" style="1" customWidth="1"/>
    <col min="15362" max="15362" width="21.5703125" style="1" customWidth="1"/>
    <col min="15363" max="15363" width="23" style="1" customWidth="1"/>
    <col min="15364" max="15616" width="9.140625" style="1" customWidth="1"/>
    <col min="15617" max="15617" width="24" style="1" customWidth="1"/>
    <col min="15618" max="15618" width="21.5703125" style="1" customWidth="1"/>
    <col min="15619" max="15619" width="23" style="1" customWidth="1"/>
    <col min="15620" max="15872" width="9.140625" style="1" customWidth="1"/>
    <col min="15873" max="15873" width="24" style="1" customWidth="1"/>
    <col min="15874" max="15874" width="21.5703125" style="1" customWidth="1"/>
    <col min="15875" max="15875" width="23" style="1" customWidth="1"/>
    <col min="15876" max="16128" width="9.140625" style="1" customWidth="1"/>
    <col min="16129" max="16129" width="24" style="1" customWidth="1"/>
    <col min="16130" max="16130" width="21.5703125" style="1" customWidth="1"/>
    <col min="16131" max="16131" width="23" style="1" customWidth="1"/>
    <col min="16132" max="16132" width="9.140625" style="1" customWidth="1"/>
  </cols>
  <sheetData>
    <row r="1" spans="1:16132" s="21" customForma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</row>
    <row r="2" spans="1:16132" s="21" customForma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</row>
    <row r="3" spans="1:16132" s="21" customForma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</row>
    <row r="4" spans="1:16132" s="21" customForma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</row>
    <row r="5" spans="1:16132" s="21" customForma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</row>
    <row r="6" spans="1:16132" s="21" customForma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</row>
    <row r="7" spans="1:16132" ht="18.75" customHeight="1" x14ac:dyDescent="0.3">
      <c r="A7" s="24" t="s">
        <v>0</v>
      </c>
      <c r="B7" s="24" t="s">
        <v>1</v>
      </c>
      <c r="C7" s="24" t="s">
        <v>2</v>
      </c>
      <c r="D7" s="4"/>
      <c r="E7" s="7"/>
      <c r="F7" s="7"/>
      <c r="G7" s="7"/>
      <c r="H7" s="5"/>
      <c r="I7" s="7"/>
      <c r="J7" s="7"/>
      <c r="K7" s="7"/>
      <c r="L7" s="6"/>
      <c r="M7" s="6"/>
    </row>
    <row r="8" spans="1:16132" ht="18.75" customHeight="1" x14ac:dyDescent="0.3">
      <c r="A8" s="25">
        <v>23.11993</v>
      </c>
      <c r="B8" s="25">
        <v>48.115940000000002</v>
      </c>
      <c r="C8" s="25">
        <v>49.220910000000003</v>
      </c>
      <c r="D8" s="4"/>
      <c r="E8" s="8"/>
      <c r="F8" s="8"/>
      <c r="G8" s="8"/>
      <c r="H8" s="5"/>
      <c r="I8" s="8"/>
      <c r="J8" s="8"/>
      <c r="K8" s="8"/>
      <c r="L8" s="6"/>
      <c r="M8" s="6"/>
    </row>
    <row r="9" spans="1:16132" ht="18.75" customHeight="1" x14ac:dyDescent="0.3">
      <c r="A9" s="26"/>
      <c r="B9" s="25">
        <v>48.115900000000003</v>
      </c>
      <c r="C9" s="25">
        <v>49.194929999999999</v>
      </c>
      <c r="D9" s="4"/>
      <c r="E9" s="8"/>
      <c r="F9" s="8"/>
      <c r="G9" s="8"/>
      <c r="H9" s="5"/>
      <c r="I9" s="8"/>
      <c r="J9" s="8"/>
      <c r="K9" s="8"/>
      <c r="L9" s="6"/>
      <c r="M9" s="6"/>
    </row>
    <row r="10" spans="1:16132" ht="18.75" customHeight="1" x14ac:dyDescent="0.3">
      <c r="A10" s="26"/>
      <c r="B10" s="25">
        <v>46.115549999999999</v>
      </c>
      <c r="C10" s="25">
        <v>49.19323</v>
      </c>
      <c r="D10" s="4"/>
      <c r="E10" s="8"/>
      <c r="F10" s="8"/>
      <c r="G10" s="8"/>
      <c r="H10" s="5"/>
      <c r="I10" s="8"/>
      <c r="J10" s="8"/>
      <c r="K10" s="8"/>
      <c r="L10" s="6"/>
      <c r="M10" s="6"/>
    </row>
    <row r="11" spans="1:16132" ht="18.75" customHeight="1" x14ac:dyDescent="0.3">
      <c r="A11" s="26"/>
      <c r="B11" s="26"/>
      <c r="C11" s="26"/>
      <c r="D11" s="4"/>
      <c r="E11" s="8"/>
      <c r="F11" s="8"/>
      <c r="G11" s="8"/>
      <c r="H11" s="5"/>
      <c r="I11" s="8"/>
      <c r="J11" s="8"/>
      <c r="K11" s="8"/>
      <c r="L11" s="6"/>
      <c r="M11" s="6"/>
    </row>
    <row r="12" spans="1:16132" ht="18.75" customHeight="1" x14ac:dyDescent="0.3">
      <c r="A12" s="26"/>
      <c r="B12" s="26"/>
      <c r="C12" s="26"/>
      <c r="D12" s="4"/>
      <c r="E12" s="8"/>
      <c r="F12" s="8"/>
      <c r="G12" s="8"/>
      <c r="H12" s="5"/>
      <c r="I12" s="8"/>
      <c r="J12" s="8"/>
      <c r="K12" s="8"/>
      <c r="L12" s="6"/>
      <c r="M12" s="6"/>
    </row>
    <row r="13" spans="1:16132" ht="18.75" customHeight="1" x14ac:dyDescent="0.3">
      <c r="A13" s="27">
        <f>AVERAGE(A8:A12)</f>
        <v>23.11993</v>
      </c>
      <c r="B13" s="27">
        <f>AVERAGE(B8:B12)</f>
        <v>47.449130000000004</v>
      </c>
      <c r="C13" s="27">
        <f>AVERAGE(C8:C12)</f>
        <v>49.203023333333334</v>
      </c>
      <c r="D13" s="4"/>
      <c r="E13" s="9"/>
      <c r="F13" s="9"/>
      <c r="G13" s="9"/>
      <c r="H13" s="5"/>
      <c r="I13" s="9"/>
      <c r="J13" s="9"/>
      <c r="K13" s="9"/>
      <c r="L13" s="6"/>
      <c r="M13" s="6"/>
    </row>
    <row r="14" spans="1:16132" ht="18.75" customHeight="1" x14ac:dyDescent="0.3">
      <c r="A14" s="28"/>
      <c r="B14" s="28"/>
      <c r="C14" s="28"/>
      <c r="D14" s="4"/>
      <c r="E14" s="5"/>
      <c r="F14" s="5"/>
      <c r="G14" s="5"/>
      <c r="H14" s="5"/>
      <c r="I14" s="5"/>
      <c r="J14" s="5"/>
      <c r="K14" s="5"/>
      <c r="L14" s="6"/>
      <c r="M14" s="6"/>
    </row>
    <row r="15" spans="1:16132" ht="18.75" customHeight="1" x14ac:dyDescent="0.3">
      <c r="A15" s="28" t="s">
        <v>3</v>
      </c>
      <c r="B15" s="29">
        <f>B13-A13</f>
        <v>24.329200000000004</v>
      </c>
      <c r="C15" s="28"/>
      <c r="D15" s="4"/>
      <c r="E15" s="5"/>
      <c r="F15" s="11"/>
      <c r="G15" s="5"/>
      <c r="H15" s="5"/>
      <c r="I15" s="5"/>
      <c r="J15" s="11"/>
      <c r="K15" s="5"/>
      <c r="L15" s="6"/>
      <c r="M15" s="6"/>
    </row>
    <row r="16" spans="1:16132" ht="18.75" customHeight="1" x14ac:dyDescent="0.3">
      <c r="A16" s="28"/>
      <c r="B16" s="29"/>
      <c r="C16" s="28"/>
      <c r="D16" s="4"/>
      <c r="E16" s="5"/>
      <c r="F16" s="11"/>
      <c r="G16" s="5"/>
      <c r="H16" s="5"/>
      <c r="I16" s="5"/>
      <c r="J16" s="11"/>
      <c r="K16" s="5"/>
      <c r="L16" s="6"/>
      <c r="M16" s="6"/>
    </row>
    <row r="17" spans="1:14" ht="18.75" customHeight="1" x14ac:dyDescent="0.3">
      <c r="A17" s="28" t="s">
        <v>4</v>
      </c>
      <c r="B17" s="29">
        <f>C13-A13</f>
        <v>26.083093333333334</v>
      </c>
      <c r="C17" s="28"/>
      <c r="D17" s="4"/>
      <c r="E17" s="5"/>
      <c r="F17" s="18"/>
      <c r="G17" s="19"/>
      <c r="H17" s="19"/>
      <c r="I17" s="19"/>
      <c r="J17" s="18"/>
      <c r="K17" s="19"/>
      <c r="L17" s="20"/>
      <c r="M17" s="20"/>
      <c r="N17" s="21"/>
    </row>
    <row r="18" spans="1:14" ht="19.5" customHeight="1" x14ac:dyDescent="0.3">
      <c r="A18" s="28"/>
      <c r="B18" s="29"/>
      <c r="C18" s="28"/>
      <c r="D18" s="4"/>
      <c r="E18" s="5"/>
      <c r="F18" s="18"/>
      <c r="G18" s="19"/>
      <c r="H18" s="19"/>
      <c r="I18" s="19"/>
      <c r="J18" s="18"/>
      <c r="K18" s="19"/>
      <c r="L18" s="20"/>
      <c r="M18" s="20"/>
      <c r="N18" s="21"/>
    </row>
    <row r="19" spans="1:14" ht="38.25" customHeight="1" x14ac:dyDescent="0.3">
      <c r="A19" s="30" t="s">
        <v>5</v>
      </c>
      <c r="B19" s="31">
        <f>B17/B15</f>
        <v>1.0720900536529492</v>
      </c>
      <c r="C19" s="28"/>
      <c r="D19" s="4"/>
      <c r="E19" s="12"/>
      <c r="F19" s="22"/>
      <c r="G19" s="19"/>
      <c r="H19" s="19"/>
      <c r="I19" s="23"/>
      <c r="J19" s="22"/>
      <c r="K19" s="19"/>
      <c r="L19" s="20"/>
      <c r="M19" s="20"/>
      <c r="N19" s="21"/>
    </row>
    <row r="20" spans="1:14" ht="13.5" customHeight="1" x14ac:dyDescent="0.3">
      <c r="A20" s="2"/>
      <c r="B20" s="2"/>
      <c r="C20" s="2"/>
      <c r="D20" s="4"/>
      <c r="E20" s="6"/>
      <c r="F20" s="5"/>
      <c r="G20" s="5"/>
      <c r="H20" s="5"/>
      <c r="I20" s="13"/>
      <c r="J20" s="6"/>
      <c r="K20" s="6"/>
      <c r="L20" s="6"/>
      <c r="M20" s="6"/>
    </row>
    <row r="21" spans="1:14" ht="13.5" customHeight="1" x14ac:dyDescent="0.3">
      <c r="A21" s="2"/>
      <c r="B21" s="10"/>
      <c r="C21" s="2"/>
      <c r="D21" s="4"/>
      <c r="F21" s="2"/>
      <c r="G21" s="2"/>
      <c r="H21" s="2"/>
      <c r="I21" s="4"/>
    </row>
    <row r="22" spans="1:14" ht="13.5" customHeight="1" x14ac:dyDescent="0.3">
      <c r="A22" s="2"/>
      <c r="B22" s="2"/>
      <c r="C22" s="2"/>
      <c r="D22" s="4"/>
      <c r="F22" s="2"/>
      <c r="G22" s="2"/>
      <c r="H22" s="2"/>
      <c r="I22" s="4"/>
    </row>
    <row r="23" spans="1:14" ht="13.5" customHeight="1" x14ac:dyDescent="0.3">
      <c r="A23" s="2"/>
      <c r="B23" s="2"/>
      <c r="C23" s="2"/>
      <c r="D23" s="4"/>
      <c r="F23" s="2"/>
      <c r="G23" s="2"/>
      <c r="H23" s="2"/>
      <c r="I23" s="4"/>
    </row>
    <row r="24" spans="1:14" ht="13.5" customHeight="1" x14ac:dyDescent="0.3">
      <c r="A24" s="2"/>
      <c r="B24" s="2"/>
      <c r="C24" s="2"/>
      <c r="D24" s="4"/>
      <c r="F24" s="2"/>
      <c r="G24" s="2"/>
      <c r="H24" s="2"/>
      <c r="I24" s="4"/>
    </row>
    <row r="25" spans="1:14" ht="13.5" customHeight="1" x14ac:dyDescent="0.3">
      <c r="A25" s="2"/>
      <c r="B25" s="2"/>
      <c r="C25" s="2"/>
      <c r="D25" s="4"/>
      <c r="F25" s="2"/>
      <c r="G25" s="2"/>
      <c r="H25" s="2"/>
      <c r="I25" s="4"/>
    </row>
    <row r="26" spans="1:14" ht="13.5" customHeight="1" x14ac:dyDescent="0.3">
      <c r="A26" s="2"/>
      <c r="B26" s="2"/>
      <c r="C26" s="2"/>
      <c r="D26" s="4"/>
      <c r="F26" s="2"/>
      <c r="G26" s="2"/>
      <c r="H26" s="2"/>
      <c r="I26" s="4"/>
    </row>
    <row r="28" spans="1:14" ht="13.5" customHeight="1" x14ac:dyDescent="0.3">
      <c r="A28" s="14"/>
      <c r="B28" s="14"/>
      <c r="C28" s="14"/>
      <c r="F28" s="14"/>
      <c r="G28" s="14"/>
      <c r="H28" s="14"/>
    </row>
    <row r="29" spans="1:14" ht="13.5" customHeight="1" x14ac:dyDescent="0.3">
      <c r="A29" s="3"/>
      <c r="B29" s="3"/>
      <c r="C29" s="3"/>
      <c r="F29" s="3"/>
      <c r="G29" s="3"/>
      <c r="H29" s="3"/>
    </row>
    <row r="30" spans="1:14" x14ac:dyDescent="0.3">
      <c r="B30" s="15"/>
      <c r="C30" s="15"/>
      <c r="G30" s="15"/>
      <c r="H30" s="15"/>
    </row>
    <row r="31" spans="1:14" x14ac:dyDescent="0.3">
      <c r="A31" s="16"/>
      <c r="F31" s="16"/>
    </row>
    <row r="32" spans="1:14" x14ac:dyDescent="0.3">
      <c r="C32" s="17"/>
    </row>
    <row r="33" spans="3:3" x14ac:dyDescent="0.3">
      <c r="C33" s="17"/>
    </row>
    <row r="38" spans="3:3" ht="13.5" customHeight="1" x14ac:dyDescent="0.3">
      <c r="C38" s="2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fitToWidth="0" orientation="portrait" r:id="rId1"/>
  <headerFooter alignWithMargins="0"/>
  <colBreaks count="1" manualBreakCount="1">
    <brk id="6" min="6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7" workbookViewId="0">
      <selection activeCell="F50" sqref="F50"/>
    </sheetView>
  </sheetViews>
  <sheetFormatPr defaultRowHeight="13.5" x14ac:dyDescent="0.25"/>
  <cols>
    <col min="1" max="1" width="27.5703125" style="300" customWidth="1"/>
    <col min="2" max="2" width="20.42578125" style="300" customWidth="1"/>
    <col min="3" max="3" width="26.85546875" style="300" customWidth="1"/>
    <col min="4" max="5" width="25.85546875" style="300" customWidth="1"/>
    <col min="6" max="6" width="25.7109375" style="300" customWidth="1"/>
    <col min="7" max="7" width="23.140625" style="300" customWidth="1"/>
    <col min="8" max="8" width="28.42578125" style="300" customWidth="1"/>
    <col min="9" max="9" width="21.5703125" style="300" customWidth="1"/>
    <col min="10" max="10" width="9.140625" style="300" customWidth="1"/>
    <col min="11" max="16384" width="9.140625" style="336"/>
  </cols>
  <sheetData>
    <row r="14" spans="1:7" ht="15" customHeight="1" x14ac:dyDescent="0.3">
      <c r="A14" s="299"/>
      <c r="C14" s="301"/>
      <c r="G14" s="301"/>
    </row>
    <row r="15" spans="1:7" ht="18.75" customHeight="1" x14ac:dyDescent="0.3">
      <c r="A15" s="358" t="s">
        <v>95</v>
      </c>
      <c r="B15" s="358"/>
      <c r="C15" s="358"/>
      <c r="D15" s="358"/>
      <c r="E15" s="358"/>
      <c r="F15" s="358"/>
    </row>
    <row r="16" spans="1:7" ht="16.5" customHeight="1" x14ac:dyDescent="0.3">
      <c r="A16" s="302" t="s">
        <v>25</v>
      </c>
      <c r="B16" s="303" t="s">
        <v>96</v>
      </c>
    </row>
    <row r="17" spans="1:6" ht="16.5" customHeight="1" x14ac:dyDescent="0.3">
      <c r="A17" s="304" t="s">
        <v>97</v>
      </c>
      <c r="B17" s="304" t="str">
        <f>'Amoxicillin 1'!B18:C18</f>
        <v>COSIL-228.5</v>
      </c>
      <c r="D17" s="305"/>
      <c r="E17" s="305"/>
      <c r="F17" s="306"/>
    </row>
    <row r="18" spans="1:6" ht="16.5" customHeight="1" x14ac:dyDescent="0.3">
      <c r="A18" s="307" t="s">
        <v>27</v>
      </c>
      <c r="B18" s="300" t="str">
        <f>'Amoxicillin 1'!B27:C27</f>
        <v xml:space="preserve">Amoxicillin </v>
      </c>
      <c r="C18" s="306"/>
      <c r="D18" s="306"/>
      <c r="E18" s="306"/>
      <c r="F18" s="306"/>
    </row>
    <row r="19" spans="1:6" ht="16.5" customHeight="1" x14ac:dyDescent="0.3">
      <c r="A19" s="307" t="s">
        <v>29</v>
      </c>
      <c r="B19" s="308">
        <f>'Amoxicillin 1'!B29</f>
        <v>87.84</v>
      </c>
      <c r="C19" s="306"/>
      <c r="D19" s="306"/>
      <c r="E19" s="306"/>
      <c r="F19" s="306"/>
    </row>
    <row r="20" spans="1:6" ht="16.5" customHeight="1" x14ac:dyDescent="0.3">
      <c r="A20" s="304" t="s">
        <v>98</v>
      </c>
      <c r="B20" s="308">
        <f>'Amoxicillin 1'!F44</f>
        <v>25.6</v>
      </c>
      <c r="C20" s="306"/>
      <c r="D20" s="306"/>
      <c r="E20" s="306"/>
      <c r="F20" s="306"/>
    </row>
    <row r="21" spans="1:6" ht="16.5" customHeight="1" x14ac:dyDescent="0.3">
      <c r="A21" s="304" t="s">
        <v>99</v>
      </c>
      <c r="B21" s="309">
        <f>'Amoxicillin 1'!F47</f>
        <v>0.4497408</v>
      </c>
      <c r="C21" s="306"/>
      <c r="D21" s="306"/>
      <c r="E21" s="306"/>
      <c r="F21" s="306"/>
    </row>
    <row r="22" spans="1:6" ht="15.75" customHeight="1" x14ac:dyDescent="0.25">
      <c r="A22" s="306"/>
      <c r="B22" s="306"/>
      <c r="C22" s="306"/>
      <c r="D22" s="306"/>
      <c r="E22" s="306"/>
      <c r="F22" s="306"/>
    </row>
    <row r="23" spans="1:6" ht="16.5" customHeight="1" x14ac:dyDescent="0.3">
      <c r="A23" s="310" t="s">
        <v>100</v>
      </c>
      <c r="B23" s="311" t="s">
        <v>101</v>
      </c>
      <c r="C23" s="310" t="s">
        <v>102</v>
      </c>
      <c r="D23" s="311" t="s">
        <v>103</v>
      </c>
      <c r="E23" s="352" t="s">
        <v>104</v>
      </c>
      <c r="F23" s="348"/>
    </row>
    <row r="24" spans="1:6" ht="16.5" customHeight="1" x14ac:dyDescent="0.3">
      <c r="A24" s="312">
        <v>1</v>
      </c>
      <c r="B24" s="313">
        <v>93170909</v>
      </c>
      <c r="C24" s="313">
        <v>4531.29</v>
      </c>
      <c r="D24" s="345">
        <v>1.1599999999999999</v>
      </c>
      <c r="E24" s="353">
        <v>2.58</v>
      </c>
      <c r="F24" s="349"/>
    </row>
    <row r="25" spans="1:6" ht="16.5" customHeight="1" x14ac:dyDescent="0.3">
      <c r="A25" s="312">
        <v>2</v>
      </c>
      <c r="B25" s="313">
        <v>93120902</v>
      </c>
      <c r="C25" s="313">
        <v>4501.76</v>
      </c>
      <c r="D25" s="345">
        <v>1.2</v>
      </c>
      <c r="E25" s="353">
        <v>2.58</v>
      </c>
      <c r="F25" s="349"/>
    </row>
    <row r="26" spans="1:6" ht="16.5" customHeight="1" x14ac:dyDescent="0.3">
      <c r="A26" s="312">
        <v>3</v>
      </c>
      <c r="B26" s="313">
        <v>93080711</v>
      </c>
      <c r="C26" s="313">
        <v>4562.29</v>
      </c>
      <c r="D26" s="345">
        <v>1.1499999999999999</v>
      </c>
      <c r="E26" s="353">
        <v>2.58</v>
      </c>
      <c r="F26" s="349"/>
    </row>
    <row r="27" spans="1:6" ht="16.5" customHeight="1" x14ac:dyDescent="0.3">
      <c r="A27" s="312">
        <v>4</v>
      </c>
      <c r="B27" s="313">
        <v>93037301</v>
      </c>
      <c r="C27" s="313">
        <v>4521.9799999999996</v>
      </c>
      <c r="D27" s="345">
        <v>1.17</v>
      </c>
      <c r="E27" s="353">
        <v>2.58</v>
      </c>
      <c r="F27" s="349"/>
    </row>
    <row r="28" spans="1:6" ht="16.5" customHeight="1" x14ac:dyDescent="0.3">
      <c r="A28" s="312">
        <v>5</v>
      </c>
      <c r="B28" s="313">
        <v>93091601</v>
      </c>
      <c r="C28" s="313">
        <v>4503.29</v>
      </c>
      <c r="D28" s="345">
        <v>1.19</v>
      </c>
      <c r="E28" s="353">
        <v>2.58</v>
      </c>
      <c r="F28" s="349"/>
    </row>
    <row r="29" spans="1:6" ht="16.5" customHeight="1" x14ac:dyDescent="0.3">
      <c r="A29" s="312">
        <v>6</v>
      </c>
      <c r="B29" s="316">
        <v>92942766</v>
      </c>
      <c r="C29" s="316">
        <v>4504.6499999999996</v>
      </c>
      <c r="D29" s="346">
        <v>1.19</v>
      </c>
      <c r="E29" s="354">
        <v>2.58</v>
      </c>
      <c r="F29" s="349"/>
    </row>
    <row r="30" spans="1:6" ht="16.5" customHeight="1" x14ac:dyDescent="0.3">
      <c r="A30" s="318" t="s">
        <v>105</v>
      </c>
      <c r="B30" s="319">
        <f>AVERAGE(B24:B29)</f>
        <v>93074031.666666672</v>
      </c>
      <c r="C30" s="320">
        <f>AVERAGE(C24:C29)</f>
        <v>4520.876666666667</v>
      </c>
      <c r="D30" s="347">
        <f>AVERAGE(D24:D29)</f>
        <v>1.1766666666666665</v>
      </c>
      <c r="E30" s="355">
        <f>AVERAGE(E24:E29)</f>
        <v>2.58</v>
      </c>
      <c r="F30" s="350"/>
    </row>
    <row r="31" spans="1:6" ht="16.5" customHeight="1" x14ac:dyDescent="0.3">
      <c r="A31" s="322" t="s">
        <v>106</v>
      </c>
      <c r="B31" s="323">
        <f>(STDEV(B24:B29)/B30)</f>
        <v>8.3935229528844845E-4</v>
      </c>
      <c r="C31" s="324"/>
      <c r="D31" s="324"/>
      <c r="E31" s="356"/>
      <c r="F31" s="351"/>
    </row>
    <row r="32" spans="1:6" s="300" customFormat="1" ht="16.5" customHeight="1" x14ac:dyDescent="0.3">
      <c r="A32" s="326" t="s">
        <v>65</v>
      </c>
      <c r="B32" s="327">
        <f>COUNT(B45:B50)</f>
        <v>6</v>
      </c>
      <c r="C32" s="328"/>
      <c r="D32" s="329"/>
      <c r="E32" s="357"/>
      <c r="F32" s="351"/>
    </row>
    <row r="33" spans="1:6" s="300" customFormat="1" ht="15.75" customHeight="1" x14ac:dyDescent="0.25">
      <c r="A33" s="306"/>
      <c r="B33" s="306"/>
      <c r="C33" s="306"/>
      <c r="D33" s="306"/>
      <c r="E33" s="306"/>
      <c r="F33" s="306"/>
    </row>
    <row r="34" spans="1:6" s="300" customFormat="1" ht="16.5" customHeight="1" x14ac:dyDescent="0.3">
      <c r="A34" s="307" t="s">
        <v>107</v>
      </c>
      <c r="B34" s="331" t="s">
        <v>108</v>
      </c>
      <c r="C34" s="332"/>
      <c r="D34" s="332"/>
      <c r="E34" s="332"/>
      <c r="F34" s="332"/>
    </row>
    <row r="35" spans="1:6" ht="16.5" customHeight="1" x14ac:dyDescent="0.3">
      <c r="A35" s="307"/>
      <c r="B35" s="331" t="s">
        <v>109</v>
      </c>
      <c r="C35" s="332"/>
      <c r="D35" s="332"/>
      <c r="E35" s="332"/>
    </row>
    <row r="36" spans="1:6" ht="16.5" customHeight="1" x14ac:dyDescent="0.3">
      <c r="A36" s="307"/>
      <c r="B36" s="331" t="s">
        <v>110</v>
      </c>
      <c r="C36" s="332"/>
      <c r="D36" s="332"/>
      <c r="E36" s="332"/>
    </row>
    <row r="37" spans="1:6" ht="15.75" customHeight="1" x14ac:dyDescent="0.25">
      <c r="A37" s="306"/>
      <c r="B37" s="306"/>
      <c r="C37" s="306"/>
      <c r="D37" s="306"/>
      <c r="E37" s="306"/>
    </row>
    <row r="38" spans="1:6" ht="16.5" customHeight="1" x14ac:dyDescent="0.3">
      <c r="A38" s="302" t="s">
        <v>25</v>
      </c>
      <c r="B38" s="303" t="s">
        <v>123</v>
      </c>
    </row>
    <row r="39" spans="1:6" ht="16.5" customHeight="1" x14ac:dyDescent="0.3">
      <c r="A39" s="307" t="s">
        <v>27</v>
      </c>
      <c r="B39" s="304" t="str">
        <f>'Clavulanic acid'!B27:C27</f>
        <v>CLAVULANATE LITHIUM</v>
      </c>
      <c r="C39" s="306"/>
      <c r="D39" s="306"/>
      <c r="E39" s="306"/>
    </row>
    <row r="40" spans="1:6" ht="16.5" customHeight="1" x14ac:dyDescent="0.3">
      <c r="A40" s="307" t="s">
        <v>29</v>
      </c>
      <c r="B40" s="308">
        <f>'Clavulanic acid'!B29</f>
        <v>96.96</v>
      </c>
      <c r="C40" s="306"/>
      <c r="D40" s="306"/>
      <c r="E40" s="306"/>
    </row>
    <row r="41" spans="1:6" ht="16.5" customHeight="1" x14ac:dyDescent="0.3">
      <c r="A41" s="304" t="s">
        <v>98</v>
      </c>
      <c r="B41" s="308">
        <f>'Clavulanic acid'!F44</f>
        <v>12.09</v>
      </c>
      <c r="C41" s="306"/>
      <c r="D41" s="306"/>
      <c r="E41" s="306"/>
      <c r="F41" s="306"/>
    </row>
    <row r="42" spans="1:6" ht="16.5" customHeight="1" x14ac:dyDescent="0.3">
      <c r="A42" s="304" t="s">
        <v>99</v>
      </c>
      <c r="B42" s="309">
        <f>'Clavulanic acid'!F47</f>
        <v>0.22767038180701152</v>
      </c>
      <c r="C42" s="306"/>
      <c r="D42" s="306"/>
      <c r="E42" s="306"/>
      <c r="F42" s="306"/>
    </row>
    <row r="43" spans="1:6" ht="15.75" customHeight="1" x14ac:dyDescent="0.25">
      <c r="A43" s="306"/>
      <c r="B43" s="306"/>
      <c r="C43" s="306"/>
      <c r="D43" s="306"/>
      <c r="E43" s="306"/>
      <c r="F43" s="306"/>
    </row>
    <row r="44" spans="1:6" ht="16.5" customHeight="1" x14ac:dyDescent="0.3">
      <c r="A44" s="310" t="s">
        <v>100</v>
      </c>
      <c r="B44" s="311" t="s">
        <v>101</v>
      </c>
      <c r="C44" s="310" t="s">
        <v>102</v>
      </c>
      <c r="D44" s="310" t="s">
        <v>103</v>
      </c>
      <c r="E44" s="310" t="s">
        <v>104</v>
      </c>
      <c r="F44" s="310" t="s">
        <v>112</v>
      </c>
    </row>
    <row r="45" spans="1:6" ht="16.5" customHeight="1" x14ac:dyDescent="0.3">
      <c r="A45" s="312">
        <v>1</v>
      </c>
      <c r="B45" s="313">
        <v>146117998</v>
      </c>
      <c r="C45" s="313">
        <v>3767.65</v>
      </c>
      <c r="D45" s="314">
        <v>1.02</v>
      </c>
      <c r="E45" s="315">
        <v>4.17</v>
      </c>
      <c r="F45" s="315">
        <v>7.51</v>
      </c>
    </row>
    <row r="46" spans="1:6" ht="16.5" customHeight="1" x14ac:dyDescent="0.3">
      <c r="A46" s="312">
        <v>2</v>
      </c>
      <c r="B46" s="313">
        <v>146094843</v>
      </c>
      <c r="C46" s="313">
        <v>3768.56</v>
      </c>
      <c r="D46" s="314">
        <v>1.03</v>
      </c>
      <c r="E46" s="314">
        <v>4.17</v>
      </c>
      <c r="F46" s="314">
        <v>7.5</v>
      </c>
    </row>
    <row r="47" spans="1:6" ht="16.5" customHeight="1" x14ac:dyDescent="0.3">
      <c r="A47" s="312">
        <v>3</v>
      </c>
      <c r="B47" s="313">
        <v>146065212</v>
      </c>
      <c r="C47" s="313">
        <v>3775.79</v>
      </c>
      <c r="D47" s="314">
        <v>1.01</v>
      </c>
      <c r="E47" s="314">
        <v>4.18</v>
      </c>
      <c r="F47" s="314">
        <v>7.52</v>
      </c>
    </row>
    <row r="48" spans="1:6" ht="16.5" customHeight="1" x14ac:dyDescent="0.3">
      <c r="A48" s="312">
        <v>4</v>
      </c>
      <c r="B48" s="313">
        <v>145985532</v>
      </c>
      <c r="C48" s="313">
        <v>3774.26</v>
      </c>
      <c r="D48" s="314">
        <v>1.01</v>
      </c>
      <c r="E48" s="314">
        <v>4.18</v>
      </c>
      <c r="F48" s="314">
        <v>7.5</v>
      </c>
    </row>
    <row r="49" spans="1:8" ht="16.5" customHeight="1" x14ac:dyDescent="0.3">
      <c r="A49" s="312">
        <v>5</v>
      </c>
      <c r="B49" s="313">
        <v>145963354</v>
      </c>
      <c r="C49" s="313">
        <v>3759.32</v>
      </c>
      <c r="D49" s="314">
        <v>1.02</v>
      </c>
      <c r="E49" s="314">
        <v>4.17</v>
      </c>
      <c r="F49" s="314">
        <v>7.5</v>
      </c>
    </row>
    <row r="50" spans="1:8" ht="16.5" customHeight="1" x14ac:dyDescent="0.3">
      <c r="A50" s="312">
        <v>6</v>
      </c>
      <c r="B50" s="316">
        <v>145778432</v>
      </c>
      <c r="C50" s="316">
        <v>3757.69</v>
      </c>
      <c r="D50" s="317">
        <v>1.02</v>
      </c>
      <c r="E50" s="317">
        <v>4.17</v>
      </c>
      <c r="F50" s="317">
        <v>7.5</v>
      </c>
    </row>
    <row r="51" spans="1:8" ht="16.5" customHeight="1" x14ac:dyDescent="0.3">
      <c r="A51" s="318" t="s">
        <v>105</v>
      </c>
      <c r="B51" s="319">
        <f>AVERAGE(B45:B50)</f>
        <v>146000895.16666666</v>
      </c>
      <c r="C51" s="320">
        <f>AVERAGE(C45:C50)</f>
        <v>3767.2116666666666</v>
      </c>
      <c r="D51" s="321">
        <f>AVERAGE(D45:D50)</f>
        <v>1.0183333333333333</v>
      </c>
      <c r="E51" s="321">
        <f>AVERAGE(E45:E50)</f>
        <v>4.1733333333333329</v>
      </c>
      <c r="F51" s="321">
        <f>AVERAGE(F45:F50)</f>
        <v>7.5049999999999999</v>
      </c>
    </row>
    <row r="52" spans="1:8" ht="16.5" customHeight="1" x14ac:dyDescent="0.3">
      <c r="A52" s="322" t="s">
        <v>106</v>
      </c>
      <c r="B52" s="323">
        <f>(STDEV(B45:B50)/B51)</f>
        <v>8.54437691514234E-4</v>
      </c>
      <c r="C52" s="324"/>
      <c r="D52" s="324"/>
      <c r="E52" s="324"/>
      <c r="F52" s="325"/>
    </row>
    <row r="53" spans="1:8" s="300" customFormat="1" ht="16.5" customHeight="1" x14ac:dyDescent="0.3">
      <c r="A53" s="326" t="s">
        <v>65</v>
      </c>
      <c r="B53" s="327">
        <v>6</v>
      </c>
      <c r="C53" s="328"/>
      <c r="D53" s="329"/>
      <c r="E53" s="329"/>
      <c r="F53" s="330"/>
    </row>
    <row r="54" spans="1:8" s="300" customFormat="1" ht="15.75" customHeight="1" x14ac:dyDescent="0.25">
      <c r="A54" s="306"/>
      <c r="B54" s="306"/>
      <c r="C54" s="306"/>
      <c r="D54" s="306"/>
      <c r="E54" s="306"/>
      <c r="F54" s="306"/>
    </row>
    <row r="55" spans="1:8" s="300" customFormat="1" ht="16.5" customHeight="1" x14ac:dyDescent="0.3">
      <c r="A55" s="307" t="s">
        <v>107</v>
      </c>
      <c r="B55" s="331" t="s">
        <v>108</v>
      </c>
      <c r="C55" s="332"/>
      <c r="D55" s="332"/>
      <c r="E55" s="332"/>
      <c r="F55" s="332"/>
    </row>
    <row r="56" spans="1:8" ht="16.5" customHeight="1" x14ac:dyDescent="0.3">
      <c r="A56" s="307"/>
      <c r="B56" s="331" t="s">
        <v>109</v>
      </c>
      <c r="C56" s="332"/>
      <c r="D56" s="332"/>
      <c r="E56" s="332"/>
      <c r="F56" s="332"/>
    </row>
    <row r="57" spans="1:8" ht="16.5" customHeight="1" x14ac:dyDescent="0.3">
      <c r="A57" s="307"/>
      <c r="B57" s="331" t="s">
        <v>110</v>
      </c>
      <c r="C57" s="332"/>
      <c r="D57" s="332"/>
      <c r="E57" s="332"/>
      <c r="F57" s="332"/>
    </row>
    <row r="58" spans="1:8" ht="14.25" customHeight="1" thickBot="1" x14ac:dyDescent="0.3">
      <c r="A58" s="333"/>
      <c r="B58" s="334"/>
      <c r="D58" s="335"/>
      <c r="E58" s="344"/>
      <c r="G58" s="336"/>
      <c r="H58" s="336"/>
    </row>
    <row r="59" spans="1:8" ht="15" customHeight="1" x14ac:dyDescent="0.3">
      <c r="B59" s="359" t="s">
        <v>19</v>
      </c>
      <c r="C59" s="359"/>
      <c r="F59" s="337" t="s">
        <v>20</v>
      </c>
      <c r="G59" s="338"/>
      <c r="H59" s="337" t="s">
        <v>21</v>
      </c>
    </row>
    <row r="60" spans="1:8" ht="19.5" customHeight="1" x14ac:dyDescent="0.3">
      <c r="A60" s="339" t="s">
        <v>22</v>
      </c>
      <c r="B60" s="340"/>
      <c r="C60" s="341" t="s">
        <v>111</v>
      </c>
      <c r="F60" s="341" t="s">
        <v>122</v>
      </c>
      <c r="H60" s="340"/>
    </row>
    <row r="61" spans="1:8" ht="23.25" customHeight="1" x14ac:dyDescent="0.3">
      <c r="A61" s="339" t="s">
        <v>23</v>
      </c>
      <c r="B61" s="342"/>
      <c r="C61" s="342"/>
      <c r="F61" s="342"/>
      <c r="H61" s="343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6" zoomScale="60" zoomScaleNormal="60" zoomScaleSheetLayoutView="55" workbookViewId="0">
      <selection activeCell="F126" sqref="F12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6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7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ht="19.5" customHeight="1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8</v>
      </c>
      <c r="B16" s="389"/>
      <c r="C16" s="389"/>
      <c r="D16" s="389"/>
      <c r="E16" s="389"/>
      <c r="F16" s="389"/>
      <c r="G16" s="389"/>
      <c r="H16" s="390"/>
    </row>
    <row r="17" spans="1:12" ht="20.25" customHeight="1" x14ac:dyDescent="0.25">
      <c r="A17" s="387" t="s">
        <v>24</v>
      </c>
      <c r="B17" s="387"/>
      <c r="C17" s="387"/>
      <c r="D17" s="387"/>
      <c r="E17" s="387"/>
      <c r="F17" s="387"/>
      <c r="G17" s="387"/>
      <c r="H17" s="387"/>
    </row>
    <row r="18" spans="1:12" ht="26.25" customHeight="1" x14ac:dyDescent="0.4">
      <c r="A18" s="35" t="s">
        <v>11</v>
      </c>
      <c r="B18" s="383" t="s">
        <v>117</v>
      </c>
      <c r="C18" s="383"/>
    </row>
    <row r="19" spans="1:12" ht="26.25" customHeight="1" x14ac:dyDescent="0.4">
      <c r="A19" s="35" t="s">
        <v>13</v>
      </c>
      <c r="B19" s="137" t="s">
        <v>10</v>
      </c>
      <c r="C19" s="160">
        <v>23</v>
      </c>
    </row>
    <row r="20" spans="1:12" ht="26.25" customHeight="1" x14ac:dyDescent="0.4">
      <c r="A20" s="35" t="s">
        <v>15</v>
      </c>
      <c r="B20" s="137" t="s">
        <v>116</v>
      </c>
      <c r="C20" s="138"/>
    </row>
    <row r="21" spans="1:12" ht="26.25" customHeight="1" x14ac:dyDescent="0.4">
      <c r="A21" s="35" t="s">
        <v>16</v>
      </c>
      <c r="B21" s="361" t="s">
        <v>113</v>
      </c>
      <c r="C21" s="361"/>
      <c r="D21" s="361"/>
      <c r="E21" s="361"/>
      <c r="F21" s="361"/>
      <c r="G21" s="361"/>
      <c r="H21" s="361"/>
      <c r="I21" s="162"/>
    </row>
    <row r="22" spans="1:12" ht="26.25" customHeight="1" x14ac:dyDescent="0.4">
      <c r="A22" s="35" t="s">
        <v>17</v>
      </c>
      <c r="B22" s="139">
        <v>42489</v>
      </c>
      <c r="C22" s="138"/>
      <c r="D22" s="138"/>
      <c r="E22" s="138"/>
      <c r="F22" s="138"/>
      <c r="G22" s="138"/>
      <c r="H22" s="138"/>
      <c r="I22" s="138"/>
    </row>
    <row r="23" spans="1:12" ht="26.25" customHeight="1" x14ac:dyDescent="0.4">
      <c r="A23" s="35" t="s">
        <v>18</v>
      </c>
      <c r="B23" s="139">
        <v>42496</v>
      </c>
      <c r="C23" s="138"/>
      <c r="D23" s="138"/>
      <c r="E23" s="138"/>
      <c r="F23" s="138"/>
      <c r="G23" s="138"/>
      <c r="H23" s="138"/>
      <c r="I23" s="138"/>
    </row>
    <row r="24" spans="1:12" ht="18.75" x14ac:dyDescent="0.3">
      <c r="A24" s="35"/>
      <c r="B24" s="37"/>
    </row>
    <row r="25" spans="1:12" ht="18.75" x14ac:dyDescent="0.3">
      <c r="B25" s="37"/>
    </row>
    <row r="26" spans="1:12" ht="18.75" x14ac:dyDescent="0.3">
      <c r="A26" s="33" t="s">
        <v>25</v>
      </c>
      <c r="B26" s="360" t="s">
        <v>26</v>
      </c>
      <c r="C26" s="360"/>
      <c r="D26" s="360"/>
      <c r="E26" s="360"/>
      <c r="F26" s="360"/>
      <c r="G26" s="360"/>
      <c r="H26" s="360"/>
    </row>
    <row r="27" spans="1:12" ht="26.25" customHeight="1" x14ac:dyDescent="0.4">
      <c r="A27" s="38" t="s">
        <v>27</v>
      </c>
      <c r="B27" s="383" t="s">
        <v>114</v>
      </c>
      <c r="C27" s="383"/>
    </row>
    <row r="28" spans="1:12" ht="26.25" customHeight="1" x14ac:dyDescent="0.4">
      <c r="A28" s="40" t="s">
        <v>28</v>
      </c>
      <c r="B28" s="361" t="s">
        <v>115</v>
      </c>
      <c r="C28" s="361"/>
    </row>
    <row r="29" spans="1:12" ht="27" customHeight="1" x14ac:dyDescent="0.4">
      <c r="A29" s="40" t="s">
        <v>29</v>
      </c>
      <c r="B29" s="136">
        <v>87.84</v>
      </c>
    </row>
    <row r="30" spans="1:12" s="9" customFormat="1" ht="27" customHeight="1" x14ac:dyDescent="0.4">
      <c r="A30" s="40" t="s">
        <v>30</v>
      </c>
      <c r="B30" s="135">
        <v>0</v>
      </c>
      <c r="C30" s="362" t="s">
        <v>31</v>
      </c>
      <c r="D30" s="363"/>
      <c r="E30" s="363"/>
      <c r="F30" s="363"/>
      <c r="G30" s="363"/>
      <c r="H30" s="364"/>
      <c r="I30" s="42"/>
      <c r="J30" s="42"/>
      <c r="K30" s="42"/>
      <c r="L30" s="42"/>
    </row>
    <row r="31" spans="1:12" s="9" customFormat="1" ht="19.5" customHeight="1" x14ac:dyDescent="0.3">
      <c r="A31" s="40" t="s">
        <v>32</v>
      </c>
      <c r="B31" s="39">
        <f>B29-B30</f>
        <v>87.84</v>
      </c>
      <c r="C31" s="43"/>
      <c r="D31" s="43"/>
      <c r="E31" s="43"/>
      <c r="F31" s="43"/>
      <c r="G31" s="43"/>
      <c r="H31" s="44"/>
      <c r="I31" s="42"/>
      <c r="J31" s="42"/>
      <c r="K31" s="42"/>
      <c r="L31" s="42"/>
    </row>
    <row r="32" spans="1:12" s="9" customFormat="1" ht="27" customHeight="1" x14ac:dyDescent="0.4">
      <c r="A32" s="40" t="s">
        <v>33</v>
      </c>
      <c r="B32" s="156">
        <v>1</v>
      </c>
      <c r="C32" s="365" t="s">
        <v>34</v>
      </c>
      <c r="D32" s="366"/>
      <c r="E32" s="366"/>
      <c r="F32" s="366"/>
      <c r="G32" s="366"/>
      <c r="H32" s="367"/>
      <c r="I32" s="42"/>
      <c r="J32" s="42"/>
      <c r="K32" s="42"/>
      <c r="L32" s="42"/>
    </row>
    <row r="33" spans="1:14" s="9" customFormat="1" ht="27" customHeight="1" x14ac:dyDescent="0.4">
      <c r="A33" s="40" t="s">
        <v>35</v>
      </c>
      <c r="B33" s="156">
        <v>1</v>
      </c>
      <c r="C33" s="365" t="s">
        <v>36</v>
      </c>
      <c r="D33" s="366"/>
      <c r="E33" s="366"/>
      <c r="F33" s="366"/>
      <c r="G33" s="366"/>
      <c r="H33" s="367"/>
      <c r="I33" s="42"/>
      <c r="J33" s="42"/>
      <c r="K33" s="42"/>
      <c r="L33" s="46"/>
      <c r="M33" s="46"/>
      <c r="N33" s="47"/>
    </row>
    <row r="34" spans="1:14" s="9" customFormat="1" ht="17.25" customHeight="1" x14ac:dyDescent="0.3">
      <c r="A34" s="40"/>
      <c r="B34" s="45"/>
      <c r="C34" s="48"/>
      <c r="D34" s="48"/>
      <c r="E34" s="48"/>
      <c r="F34" s="48"/>
      <c r="G34" s="48"/>
      <c r="H34" s="48"/>
      <c r="I34" s="42"/>
      <c r="J34" s="42"/>
      <c r="K34" s="42"/>
      <c r="L34" s="46"/>
      <c r="M34" s="46"/>
      <c r="N34" s="47"/>
    </row>
    <row r="35" spans="1:14" s="9" customFormat="1" ht="18.75" x14ac:dyDescent="0.3">
      <c r="A35" s="40" t="s">
        <v>37</v>
      </c>
      <c r="B35" s="49">
        <f>B32/B33</f>
        <v>1</v>
      </c>
      <c r="C35" s="34" t="s">
        <v>38</v>
      </c>
      <c r="D35" s="34"/>
      <c r="E35" s="34"/>
      <c r="F35" s="34"/>
      <c r="G35" s="34"/>
      <c r="H35" s="34"/>
      <c r="I35" s="42"/>
      <c r="J35" s="42"/>
      <c r="K35" s="42"/>
      <c r="L35" s="46"/>
      <c r="M35" s="46"/>
      <c r="N35" s="47"/>
    </row>
    <row r="36" spans="1:14" s="9" customFormat="1" ht="19.5" customHeight="1" x14ac:dyDescent="0.3">
      <c r="A36" s="40"/>
      <c r="B36" s="39"/>
      <c r="H36" s="34"/>
      <c r="I36" s="42"/>
      <c r="J36" s="42"/>
      <c r="K36" s="42"/>
      <c r="L36" s="46"/>
      <c r="M36" s="46"/>
      <c r="N36" s="47"/>
    </row>
    <row r="37" spans="1:14" s="9" customFormat="1" ht="27" customHeight="1" x14ac:dyDescent="0.4">
      <c r="A37" s="50" t="s">
        <v>39</v>
      </c>
      <c r="B37" s="140">
        <v>50</v>
      </c>
      <c r="C37" s="34"/>
      <c r="D37" s="368" t="s">
        <v>40</v>
      </c>
      <c r="E37" s="384"/>
      <c r="F37" s="96" t="s">
        <v>41</v>
      </c>
      <c r="G37" s="97"/>
      <c r="J37" s="42"/>
      <c r="K37" s="42"/>
      <c r="L37" s="46"/>
      <c r="M37" s="46"/>
      <c r="N37" s="47"/>
    </row>
    <row r="38" spans="1:14" s="9" customFormat="1" ht="26.25" customHeight="1" x14ac:dyDescent="0.4">
      <c r="A38" s="51" t="s">
        <v>42</v>
      </c>
      <c r="B38" s="141">
        <v>1</v>
      </c>
      <c r="C38" s="53" t="s">
        <v>43</v>
      </c>
      <c r="D38" s="54" t="s">
        <v>44</v>
      </c>
      <c r="E38" s="86" t="s">
        <v>45</v>
      </c>
      <c r="F38" s="54" t="s">
        <v>44</v>
      </c>
      <c r="G38" s="55" t="s">
        <v>45</v>
      </c>
      <c r="J38" s="42"/>
      <c r="K38" s="42"/>
      <c r="L38" s="46"/>
      <c r="M38" s="46"/>
      <c r="N38" s="47"/>
    </row>
    <row r="39" spans="1:14" s="9" customFormat="1" ht="26.25" customHeight="1" x14ac:dyDescent="0.4">
      <c r="A39" s="51" t="s">
        <v>46</v>
      </c>
      <c r="B39" s="141">
        <v>1</v>
      </c>
      <c r="C39" s="56">
        <v>1</v>
      </c>
      <c r="D39" s="142">
        <v>138215934</v>
      </c>
      <c r="E39" s="100">
        <f>IF(ISBLANK(D39),"-",$D$49/$D$46*D39)</f>
        <v>160692046.20031071</v>
      </c>
      <c r="F39" s="142">
        <v>146054927</v>
      </c>
      <c r="G39" s="92">
        <f>IF(ISBLANK(F39),"-",$D$49/$F$46*F39)</f>
        <v>162376781.24822119</v>
      </c>
      <c r="J39" s="42"/>
      <c r="K39" s="42"/>
      <c r="L39" s="46"/>
      <c r="M39" s="46"/>
      <c r="N39" s="47"/>
    </row>
    <row r="40" spans="1:14" s="9" customFormat="1" ht="26.25" customHeight="1" x14ac:dyDescent="0.4">
      <c r="A40" s="51" t="s">
        <v>47</v>
      </c>
      <c r="B40" s="141">
        <v>1</v>
      </c>
      <c r="C40" s="52">
        <v>2</v>
      </c>
      <c r="D40" s="143">
        <v>138095406</v>
      </c>
      <c r="E40" s="101">
        <f>IF(ISBLANK(D40),"-",$D$49/$D$46*D40)</f>
        <v>160551918.42789024</v>
      </c>
      <c r="F40" s="143">
        <v>146005594</v>
      </c>
      <c r="G40" s="93">
        <f>IF(ISBLANK(F40),"-",$D$49/$F$46*F40)</f>
        <v>162321935.21246016</v>
      </c>
      <c r="J40" s="42"/>
      <c r="K40" s="42"/>
      <c r="L40" s="46"/>
      <c r="M40" s="46"/>
      <c r="N40" s="47"/>
    </row>
    <row r="41" spans="1:14" ht="26.25" customHeight="1" x14ac:dyDescent="0.4">
      <c r="A41" s="51" t="s">
        <v>48</v>
      </c>
      <c r="B41" s="141">
        <v>1</v>
      </c>
      <c r="C41" s="52">
        <v>3</v>
      </c>
      <c r="D41" s="143">
        <v>138268364</v>
      </c>
      <c r="E41" s="101">
        <f>IF(ISBLANK(D41),"-",$D$49/$D$46*D41)</f>
        <v>160753002.15335068</v>
      </c>
      <c r="F41" s="143">
        <v>145842043</v>
      </c>
      <c r="G41" s="93">
        <f>IF(ISBLANK(F41),"-",$D$49/$F$46*F41)</f>
        <v>162140107.14616063</v>
      </c>
      <c r="L41" s="46"/>
      <c r="M41" s="46"/>
      <c r="N41" s="57"/>
    </row>
    <row r="42" spans="1:14" ht="26.25" customHeight="1" x14ac:dyDescent="0.4">
      <c r="A42" s="51" t="s">
        <v>49</v>
      </c>
      <c r="B42" s="141">
        <v>1</v>
      </c>
      <c r="C42" s="58">
        <v>4</v>
      </c>
      <c r="D42" s="144"/>
      <c r="E42" s="102" t="str">
        <f>IF(ISBLANK(D42),"-",$D$49/$D$46*D42)</f>
        <v>-</v>
      </c>
      <c r="F42" s="144"/>
      <c r="G42" s="94" t="str">
        <f>IF(ISBLANK(F42),"-",$D$49/$F$46*F42)</f>
        <v>-</v>
      </c>
      <c r="L42" s="46"/>
      <c r="M42" s="46"/>
      <c r="N42" s="57"/>
    </row>
    <row r="43" spans="1:14" ht="27" customHeight="1" x14ac:dyDescent="0.4">
      <c r="A43" s="51" t="s">
        <v>50</v>
      </c>
      <c r="B43" s="141">
        <v>1</v>
      </c>
      <c r="C43" s="59" t="s">
        <v>51</v>
      </c>
      <c r="D43" s="121">
        <f>AVERAGE(D39:D42)</f>
        <v>138193234.66666666</v>
      </c>
      <c r="E43" s="82">
        <f>AVERAGE(E39:E42)</f>
        <v>160665655.59385052</v>
      </c>
      <c r="F43" s="60">
        <f>AVERAGE(F39:F42)</f>
        <v>145967521.33333334</v>
      </c>
      <c r="G43" s="61">
        <f>AVERAGE(G39:G42)</f>
        <v>162279607.8689473</v>
      </c>
    </row>
    <row r="44" spans="1:14" ht="26.25" customHeight="1" x14ac:dyDescent="0.4">
      <c r="A44" s="51" t="s">
        <v>52</v>
      </c>
      <c r="B44" s="136">
        <v>1</v>
      </c>
      <c r="C44" s="122" t="s">
        <v>53</v>
      </c>
      <c r="D44" s="146">
        <v>24.48</v>
      </c>
      <c r="E44" s="57"/>
      <c r="F44" s="145">
        <v>25.6</v>
      </c>
      <c r="G44" s="98"/>
    </row>
    <row r="45" spans="1:14" ht="26.25" customHeight="1" x14ac:dyDescent="0.4">
      <c r="A45" s="51" t="s">
        <v>54</v>
      </c>
      <c r="B45" s="136">
        <v>1</v>
      </c>
      <c r="C45" s="123" t="s">
        <v>55</v>
      </c>
      <c r="D45" s="124">
        <f>D44*$B$35</f>
        <v>24.48</v>
      </c>
      <c r="E45" s="63"/>
      <c r="F45" s="62">
        <f>F44*$B$35</f>
        <v>25.6</v>
      </c>
      <c r="G45" s="65"/>
    </row>
    <row r="46" spans="1:14" ht="19.5" customHeight="1" x14ac:dyDescent="0.3">
      <c r="A46" s="51" t="s">
        <v>56</v>
      </c>
      <c r="B46" s="120">
        <f>(B45/B44)*(B43/B42)*(B41/B40)*(B39/B38)*B37</f>
        <v>50</v>
      </c>
      <c r="C46" s="123" t="s">
        <v>57</v>
      </c>
      <c r="D46" s="125">
        <f>D45*$B$31/100</f>
        <v>21.503232000000004</v>
      </c>
      <c r="E46" s="65"/>
      <c r="F46" s="64">
        <f>F45*$B$31/100</f>
        <v>22.48704</v>
      </c>
      <c r="G46" s="65"/>
    </row>
    <row r="47" spans="1:14" ht="19.5" customHeight="1" x14ac:dyDescent="0.3">
      <c r="A47" s="370" t="s">
        <v>58</v>
      </c>
      <c r="B47" s="371"/>
      <c r="C47" s="123" t="s">
        <v>59</v>
      </c>
      <c r="D47" s="124">
        <f>D46/$B$46</f>
        <v>0.43006464000000011</v>
      </c>
      <c r="E47" s="65"/>
      <c r="F47" s="66">
        <f>F46/$B$46</f>
        <v>0.4497408</v>
      </c>
      <c r="G47" s="65"/>
    </row>
    <row r="48" spans="1:14" ht="27" customHeight="1" x14ac:dyDescent="0.4">
      <c r="A48" s="372"/>
      <c r="B48" s="373"/>
      <c r="C48" s="123" t="s">
        <v>60</v>
      </c>
      <c r="D48" s="147">
        <v>0.5</v>
      </c>
      <c r="E48" s="98"/>
      <c r="F48" s="98"/>
      <c r="G48" s="98"/>
    </row>
    <row r="49" spans="1:12" ht="18.75" x14ac:dyDescent="0.3">
      <c r="C49" s="123" t="s">
        <v>61</v>
      </c>
      <c r="D49" s="125">
        <f>D48*$B$46</f>
        <v>25</v>
      </c>
      <c r="E49" s="65"/>
      <c r="F49" s="65"/>
      <c r="G49" s="65"/>
    </row>
    <row r="50" spans="1:12" ht="19.5" customHeight="1" x14ac:dyDescent="0.3">
      <c r="C50" s="126" t="s">
        <v>62</v>
      </c>
      <c r="D50" s="127">
        <f>D49/B35</f>
        <v>25</v>
      </c>
      <c r="E50" s="84"/>
      <c r="F50" s="84"/>
      <c r="G50" s="84"/>
    </row>
    <row r="51" spans="1:12" ht="18.75" x14ac:dyDescent="0.3">
      <c r="C51" s="128" t="s">
        <v>63</v>
      </c>
      <c r="D51" s="129">
        <f>AVERAGE(E39:E42,G39:G42)</f>
        <v>161472631.73139891</v>
      </c>
      <c r="E51" s="83"/>
      <c r="F51" s="83"/>
      <c r="G51" s="83"/>
    </row>
    <row r="52" spans="1:12" ht="18.75" x14ac:dyDescent="0.3">
      <c r="C52" s="67" t="s">
        <v>64</v>
      </c>
      <c r="D52" s="70">
        <f>STDEV(E39:E42,G39:G42)/D51</f>
        <v>5.5108789733597872E-3</v>
      </c>
      <c r="E52" s="63"/>
      <c r="F52" s="63"/>
      <c r="G52" s="63"/>
    </row>
    <row r="53" spans="1:12" ht="19.5" customHeight="1" x14ac:dyDescent="0.3">
      <c r="C53" s="68" t="s">
        <v>65</v>
      </c>
      <c r="D53" s="71">
        <f>COUNT(E39:E42,G39:G42)</f>
        <v>6</v>
      </c>
      <c r="E53" s="63"/>
      <c r="F53" s="63"/>
      <c r="G53" s="63"/>
    </row>
    <row r="55" spans="1:12" ht="18.75" x14ac:dyDescent="0.3">
      <c r="A55" s="33" t="s">
        <v>25</v>
      </c>
      <c r="B55" s="72" t="s">
        <v>66</v>
      </c>
    </row>
    <row r="56" spans="1:12" ht="18.75" x14ac:dyDescent="0.3">
      <c r="A56" s="34" t="s">
        <v>67</v>
      </c>
      <c r="B56" s="36" t="str">
        <f>B21</f>
        <v>5ML (after reconstitution) contains 200mg amoxicillin and 28.5mg clavulanic acid</v>
      </c>
    </row>
    <row r="57" spans="1:12" ht="26.25" customHeight="1" x14ac:dyDescent="0.4">
      <c r="A57" s="131" t="s">
        <v>68</v>
      </c>
      <c r="B57" s="148">
        <v>5</v>
      </c>
      <c r="C57" s="111" t="s">
        <v>69</v>
      </c>
      <c r="D57" s="149">
        <v>200</v>
      </c>
      <c r="E57" s="111" t="str">
        <f>B20</f>
        <v xml:space="preserve">AMOXICILLIN </v>
      </c>
    </row>
    <row r="58" spans="1:12" ht="18.75" x14ac:dyDescent="0.3">
      <c r="A58" s="36" t="s">
        <v>70</v>
      </c>
      <c r="B58" s="159">
        <f>'Relative density'!B19</f>
        <v>1.0720900536529492</v>
      </c>
    </row>
    <row r="59" spans="1:12" s="32" customFormat="1" ht="18.75" x14ac:dyDescent="0.3">
      <c r="A59" s="109" t="s">
        <v>71</v>
      </c>
      <c r="B59" s="110">
        <f>B57</f>
        <v>5</v>
      </c>
      <c r="C59" s="111" t="s">
        <v>72</v>
      </c>
      <c r="D59" s="132">
        <f>B58*B57</f>
        <v>5.3604502682647457</v>
      </c>
    </row>
    <row r="60" spans="1:12" ht="19.5" customHeight="1" x14ac:dyDescent="0.25"/>
    <row r="61" spans="1:12" s="9" customFormat="1" ht="27" customHeight="1" thickBot="1" x14ac:dyDescent="0.45">
      <c r="A61" s="50" t="s">
        <v>73</v>
      </c>
      <c r="B61" s="140">
        <v>100</v>
      </c>
      <c r="C61" s="34"/>
      <c r="D61" s="74" t="s">
        <v>74</v>
      </c>
      <c r="E61" s="73" t="s">
        <v>75</v>
      </c>
      <c r="F61" s="73" t="s">
        <v>44</v>
      </c>
      <c r="G61" s="73" t="s">
        <v>76</v>
      </c>
      <c r="H61" s="53" t="s">
        <v>77</v>
      </c>
      <c r="L61" s="42"/>
    </row>
    <row r="62" spans="1:12" s="9" customFormat="1" ht="24" customHeight="1" x14ac:dyDescent="0.4">
      <c r="A62" s="51" t="s">
        <v>78</v>
      </c>
      <c r="B62" s="141">
        <v>5</v>
      </c>
      <c r="C62" s="374" t="s">
        <v>79</v>
      </c>
      <c r="D62" s="377">
        <v>4.5221799999999996</v>
      </c>
      <c r="E62" s="104">
        <v>1</v>
      </c>
      <c r="F62" s="150"/>
      <c r="G62" s="116" t="str">
        <f>IF(ISBLANK(F62),"-",(F62/$D$51*$D$48*$B$70)*$D$59/$D$62)</f>
        <v>-</v>
      </c>
      <c r="H62" s="113" t="str">
        <f t="shared" ref="H62:H73" si="0">IF(ISBLANK(F62),"-",G62/$D$57)</f>
        <v>-</v>
      </c>
      <c r="L62" s="42"/>
    </row>
    <row r="63" spans="1:12" s="9" customFormat="1" ht="26.25" customHeight="1" x14ac:dyDescent="0.4">
      <c r="A63" s="51" t="s">
        <v>80</v>
      </c>
      <c r="B63" s="141">
        <v>20</v>
      </c>
      <c r="C63" s="375"/>
      <c r="D63" s="378"/>
      <c r="E63" s="105">
        <v>2</v>
      </c>
      <c r="F63" s="143"/>
      <c r="G63" s="117" t="str">
        <f>IF(ISBLANK(F63),"-",(F63/$D$51*$D$48*$B$70)*$D$59/$D$62)</f>
        <v>-</v>
      </c>
      <c r="H63" s="114" t="str">
        <f t="shared" si="0"/>
        <v>-</v>
      </c>
      <c r="L63" s="42"/>
    </row>
    <row r="64" spans="1:12" s="9" customFormat="1" ht="24.75" customHeight="1" x14ac:dyDescent="0.4">
      <c r="A64" s="51" t="s">
        <v>81</v>
      </c>
      <c r="B64" s="141">
        <v>1</v>
      </c>
      <c r="C64" s="375"/>
      <c r="D64" s="378"/>
      <c r="E64" s="105">
        <v>3</v>
      </c>
      <c r="F64" s="143"/>
      <c r="G64" s="117" t="str">
        <f>IF(ISBLANK(F64),"-",(F64/$D$51*$D$48*$B$70)*$D$59/$D$62)</f>
        <v>-</v>
      </c>
      <c r="H64" s="114" t="str">
        <f t="shared" si="0"/>
        <v>-</v>
      </c>
      <c r="L64" s="42"/>
    </row>
    <row r="65" spans="1:11" ht="27" customHeight="1" thickBot="1" x14ac:dyDescent="0.45">
      <c r="A65" s="51" t="s">
        <v>82</v>
      </c>
      <c r="B65" s="141">
        <v>1</v>
      </c>
      <c r="C65" s="376"/>
      <c r="D65" s="379"/>
      <c r="E65" s="106">
        <v>4</v>
      </c>
      <c r="F65" s="151"/>
      <c r="G65" s="117" t="str">
        <f>IF(ISBLANK(F65),"-",(F65/$D$51*$D$48*$B$70)*$D$59/$D$62)</f>
        <v>-</v>
      </c>
      <c r="H65" s="114" t="str">
        <f t="shared" si="0"/>
        <v>-</v>
      </c>
    </row>
    <row r="66" spans="1:11" ht="24.75" customHeight="1" x14ac:dyDescent="0.4">
      <c r="A66" s="51" t="s">
        <v>83</v>
      </c>
      <c r="B66" s="141">
        <v>1</v>
      </c>
      <c r="C66" s="374" t="s">
        <v>84</v>
      </c>
      <c r="D66" s="377">
        <v>3.66</v>
      </c>
      <c r="E66" s="75">
        <v>1</v>
      </c>
      <c r="F66" s="143">
        <v>114826610</v>
      </c>
      <c r="G66" s="116">
        <f>IF(ISBLANK(F66),"-",(F66/$D$51*$D$48*$B$70)*$D$59/$D$66)</f>
        <v>208.30217337337461</v>
      </c>
      <c r="H66" s="113">
        <f t="shared" si="0"/>
        <v>1.0415108668668731</v>
      </c>
    </row>
    <row r="67" spans="1:11" ht="23.25" customHeight="1" x14ac:dyDescent="0.4">
      <c r="A67" s="51" t="s">
        <v>85</v>
      </c>
      <c r="B67" s="141">
        <v>1</v>
      </c>
      <c r="C67" s="375"/>
      <c r="D67" s="378"/>
      <c r="E67" s="76">
        <v>2</v>
      </c>
      <c r="F67" s="143">
        <v>115351966</v>
      </c>
      <c r="G67" s="117">
        <f>IF(ISBLANK(F67),"-",(F67/$D$51*$D$48*$B$70)*$D$59/$D$66)</f>
        <v>209.25519982425337</v>
      </c>
      <c r="H67" s="114">
        <f t="shared" si="0"/>
        <v>1.0462759991212669</v>
      </c>
    </row>
    <row r="68" spans="1:11" ht="24.75" customHeight="1" x14ac:dyDescent="0.4">
      <c r="A68" s="51" t="s">
        <v>86</v>
      </c>
      <c r="B68" s="141">
        <v>1</v>
      </c>
      <c r="C68" s="375"/>
      <c r="D68" s="378"/>
      <c r="E68" s="76">
        <v>3</v>
      </c>
      <c r="F68" s="143">
        <v>115889486</v>
      </c>
      <c r="G68" s="117">
        <f>IF(ISBLANK(F68),"-",(F68/$D$51*$D$48*$B$70)*$D$59/$D$66)</f>
        <v>210.23029248118766</v>
      </c>
      <c r="H68" s="114">
        <f t="shared" si="0"/>
        <v>1.0511514624059384</v>
      </c>
    </row>
    <row r="69" spans="1:11" ht="27" customHeight="1" thickBot="1" x14ac:dyDescent="0.45">
      <c r="A69" s="51" t="s">
        <v>87</v>
      </c>
      <c r="B69" s="141">
        <v>1</v>
      </c>
      <c r="C69" s="376"/>
      <c r="D69" s="379"/>
      <c r="E69" s="77">
        <v>4</v>
      </c>
      <c r="F69" s="151"/>
      <c r="G69" s="118" t="str">
        <f>IF(ISBLANK(F69),"-",(F69/$D$51*$D$48*$B$70)*$D$59/$D$66)</f>
        <v>-</v>
      </c>
      <c r="H69" s="115" t="str">
        <f t="shared" si="0"/>
        <v>-</v>
      </c>
    </row>
    <row r="70" spans="1:11" ht="23.25" customHeight="1" x14ac:dyDescent="0.4">
      <c r="A70" s="51" t="s">
        <v>88</v>
      </c>
      <c r="B70" s="119">
        <f>(B69/B68)*(B67/B66)*(B65/B64)*(B63/B62)*B61</f>
        <v>400</v>
      </c>
      <c r="C70" s="374" t="s">
        <v>89</v>
      </c>
      <c r="D70" s="377">
        <v>3.5</v>
      </c>
      <c r="E70" s="75">
        <v>1</v>
      </c>
      <c r="F70" s="150">
        <v>112750216</v>
      </c>
      <c r="G70" s="116">
        <f>IF(ISBLANK(F70),"-",(F70/$D$51*$D$48*$B$70)*$D$59/$D$70)</f>
        <v>213.88566652299204</v>
      </c>
      <c r="H70" s="114">
        <f t="shared" si="0"/>
        <v>1.0694283326149603</v>
      </c>
    </row>
    <row r="71" spans="1:11" ht="22.5" customHeight="1" thickBot="1" x14ac:dyDescent="0.45">
      <c r="A71" s="130" t="s">
        <v>90</v>
      </c>
      <c r="B71" s="152">
        <f>(D48*B70)/D57*D59</f>
        <v>5.3604502682647457</v>
      </c>
      <c r="C71" s="375"/>
      <c r="D71" s="378"/>
      <c r="E71" s="76">
        <v>2</v>
      </c>
      <c r="F71" s="143">
        <v>112543624</v>
      </c>
      <c r="G71" s="117">
        <f>IF(ISBLANK(F71),"-",(F71/$D$51*$D$48*$B$70)*$D$59/$D$70)</f>
        <v>213.49376423503261</v>
      </c>
      <c r="H71" s="114">
        <f t="shared" si="0"/>
        <v>1.0674688211751631</v>
      </c>
    </row>
    <row r="72" spans="1:11" ht="23.25" customHeight="1" x14ac:dyDescent="0.4">
      <c r="A72" s="370" t="s">
        <v>58</v>
      </c>
      <c r="B72" s="381"/>
      <c r="C72" s="375"/>
      <c r="D72" s="378"/>
      <c r="E72" s="76">
        <v>3</v>
      </c>
      <c r="F72" s="143">
        <v>110670033</v>
      </c>
      <c r="G72" s="117">
        <f>IF(ISBLANK(F72),"-",(F72/$D$51*$D$48*$B$70)*$D$59/$D$70)</f>
        <v>209.93958692129269</v>
      </c>
      <c r="H72" s="114">
        <f t="shared" si="0"/>
        <v>1.0496979346064634</v>
      </c>
    </row>
    <row r="73" spans="1:11" ht="23.25" customHeight="1" thickBot="1" x14ac:dyDescent="0.45">
      <c r="A73" s="372"/>
      <c r="B73" s="382"/>
      <c r="C73" s="380"/>
      <c r="D73" s="379"/>
      <c r="E73" s="77">
        <v>4</v>
      </c>
      <c r="F73" s="151"/>
      <c r="G73" s="118" t="str">
        <f>IF(ISBLANK(F73),"-",(F73/$D$51*$D$48*$B$70)*$D$59/$D$70)</f>
        <v>-</v>
      </c>
      <c r="H73" s="115" t="str">
        <f t="shared" si="0"/>
        <v>-</v>
      </c>
    </row>
    <row r="74" spans="1:11" ht="26.25" customHeight="1" x14ac:dyDescent="0.4">
      <c r="A74" s="78"/>
      <c r="B74" s="78"/>
      <c r="C74" s="78"/>
      <c r="D74" s="78"/>
      <c r="E74" s="78"/>
      <c r="F74" s="79"/>
      <c r="G74" s="69" t="s">
        <v>51</v>
      </c>
      <c r="H74" s="153">
        <f>AVERAGE(H62:H73)</f>
        <v>1.054255569465111</v>
      </c>
    </row>
    <row r="75" spans="1:11" ht="26.25" customHeight="1" x14ac:dyDescent="0.4">
      <c r="C75" s="78"/>
      <c r="D75" s="78"/>
      <c r="E75" s="78"/>
      <c r="F75" s="79"/>
      <c r="G75" s="67" t="s">
        <v>64</v>
      </c>
      <c r="H75" s="154">
        <f>STDEV(H62:H73)/H74</f>
        <v>1.090867628859148E-2</v>
      </c>
    </row>
    <row r="76" spans="1:11" ht="27" customHeight="1" x14ac:dyDescent="0.4">
      <c r="A76" s="78"/>
      <c r="B76" s="78"/>
      <c r="C76" s="79"/>
      <c r="D76" s="80"/>
      <c r="E76" s="80"/>
      <c r="F76" s="79"/>
      <c r="G76" s="68" t="s">
        <v>65</v>
      </c>
      <c r="H76" s="155">
        <f>COUNT(H62:H73)</f>
        <v>6</v>
      </c>
    </row>
    <row r="77" spans="1:11" ht="18.75" x14ac:dyDescent="0.3">
      <c r="A77" s="78"/>
      <c r="B77" s="78"/>
      <c r="C77" s="79"/>
      <c r="D77" s="80"/>
      <c r="E77" s="80"/>
      <c r="F77" s="80"/>
      <c r="G77" s="80"/>
      <c r="H77" s="79"/>
      <c r="I77" s="81"/>
      <c r="J77" s="85"/>
      <c r="K77" s="99"/>
    </row>
    <row r="78" spans="1:11" ht="26.25" customHeight="1" x14ac:dyDescent="0.4">
      <c r="A78" s="38" t="s">
        <v>91</v>
      </c>
      <c r="B78" s="157" t="s">
        <v>92</v>
      </c>
      <c r="C78" s="360" t="str">
        <f>B20</f>
        <v xml:space="preserve">AMOXICILLIN </v>
      </c>
      <c r="D78" s="360"/>
      <c r="E78" s="103" t="s">
        <v>93</v>
      </c>
      <c r="F78" s="103"/>
      <c r="G78" s="158">
        <f>H74</f>
        <v>1.054255569465111</v>
      </c>
      <c r="H78" s="79"/>
      <c r="I78" s="81"/>
      <c r="J78" s="85"/>
      <c r="K78" s="99"/>
    </row>
    <row r="79" spans="1:11" ht="19.5" customHeight="1" x14ac:dyDescent="0.3">
      <c r="A79" s="89"/>
      <c r="B79" s="90"/>
      <c r="C79" s="91"/>
      <c r="D79" s="91"/>
      <c r="E79" s="90"/>
      <c r="F79" s="90"/>
      <c r="G79" s="90"/>
      <c r="H79" s="90"/>
    </row>
    <row r="80" spans="1:11" ht="18.75" x14ac:dyDescent="0.3">
      <c r="A80" s="33" t="s">
        <v>25</v>
      </c>
      <c r="B80" s="360" t="s">
        <v>94</v>
      </c>
      <c r="C80" s="360"/>
      <c r="D80" s="360"/>
      <c r="E80" s="360"/>
      <c r="F80" s="360"/>
      <c r="G80" s="360"/>
      <c r="H80" s="360"/>
    </row>
    <row r="81" spans="1:8" ht="26.25" customHeight="1" x14ac:dyDescent="0.4">
      <c r="A81" s="38" t="s">
        <v>27</v>
      </c>
      <c r="B81" s="383" t="s">
        <v>118</v>
      </c>
      <c r="C81" s="383"/>
    </row>
    <row r="82" spans="1:8" ht="26.25" customHeight="1" x14ac:dyDescent="0.4">
      <c r="A82" s="40" t="s">
        <v>28</v>
      </c>
      <c r="B82" s="361" t="s">
        <v>115</v>
      </c>
      <c r="C82" s="361"/>
    </row>
    <row r="83" spans="1:8" ht="27" customHeight="1" x14ac:dyDescent="0.4">
      <c r="A83" s="40" t="s">
        <v>29</v>
      </c>
      <c r="B83" s="136">
        <v>87.84</v>
      </c>
    </row>
    <row r="84" spans="1:8" ht="27" customHeight="1" x14ac:dyDescent="0.4">
      <c r="A84" s="40" t="s">
        <v>30</v>
      </c>
      <c r="B84" s="135">
        <v>0</v>
      </c>
      <c r="C84" s="362" t="s">
        <v>31</v>
      </c>
      <c r="D84" s="363"/>
      <c r="E84" s="363"/>
      <c r="F84" s="363"/>
      <c r="G84" s="363"/>
      <c r="H84" s="364"/>
    </row>
    <row r="85" spans="1:8" ht="19.5" customHeight="1" x14ac:dyDescent="0.3">
      <c r="A85" s="40" t="s">
        <v>32</v>
      </c>
      <c r="B85" s="39">
        <f>B83-B84</f>
        <v>87.84</v>
      </c>
      <c r="C85" s="43"/>
      <c r="D85" s="43"/>
      <c r="E85" s="43"/>
      <c r="F85" s="43"/>
      <c r="G85" s="43"/>
      <c r="H85" s="44"/>
    </row>
    <row r="86" spans="1:8" ht="27" customHeight="1" x14ac:dyDescent="0.4">
      <c r="A86" s="40" t="s">
        <v>33</v>
      </c>
      <c r="B86" s="156">
        <v>1</v>
      </c>
      <c r="C86" s="365" t="s">
        <v>34</v>
      </c>
      <c r="D86" s="366"/>
      <c r="E86" s="366"/>
      <c r="F86" s="366"/>
      <c r="G86" s="366"/>
      <c r="H86" s="367"/>
    </row>
    <row r="87" spans="1:8" ht="27" customHeight="1" x14ac:dyDescent="0.4">
      <c r="A87" s="40" t="s">
        <v>35</v>
      </c>
      <c r="B87" s="156">
        <v>1</v>
      </c>
      <c r="C87" s="365" t="s">
        <v>36</v>
      </c>
      <c r="D87" s="366"/>
      <c r="E87" s="366"/>
      <c r="F87" s="366"/>
      <c r="G87" s="366"/>
      <c r="H87" s="367"/>
    </row>
    <row r="88" spans="1:8" ht="18.75" x14ac:dyDescent="0.3">
      <c r="A88" s="40"/>
      <c r="B88" s="45"/>
      <c r="C88" s="48"/>
      <c r="D88" s="48"/>
      <c r="E88" s="48"/>
      <c r="F88" s="48"/>
      <c r="G88" s="48"/>
      <c r="H88" s="48"/>
    </row>
    <row r="89" spans="1:8" ht="18.75" x14ac:dyDescent="0.3">
      <c r="A89" s="40" t="s">
        <v>37</v>
      </c>
      <c r="B89" s="49">
        <f>B86/B87</f>
        <v>1</v>
      </c>
      <c r="C89" s="34" t="s">
        <v>38</v>
      </c>
    </row>
    <row r="90" spans="1:8" ht="19.5" customHeight="1" x14ac:dyDescent="0.3">
      <c r="A90" s="40"/>
      <c r="B90" s="39"/>
      <c r="C90" s="41"/>
      <c r="D90" s="41"/>
      <c r="E90" s="41"/>
      <c r="F90" s="41"/>
      <c r="G90" s="41"/>
    </row>
    <row r="91" spans="1:8" ht="27" customHeight="1" x14ac:dyDescent="0.4">
      <c r="A91" s="50" t="s">
        <v>39</v>
      </c>
      <c r="B91" s="140">
        <v>50</v>
      </c>
      <c r="D91" s="368" t="s">
        <v>40</v>
      </c>
      <c r="E91" s="369"/>
      <c r="F91" s="96" t="s">
        <v>41</v>
      </c>
      <c r="G91" s="97"/>
      <c r="H91" s="41"/>
    </row>
    <row r="92" spans="1:8" ht="26.25" customHeight="1" x14ac:dyDescent="0.4">
      <c r="A92" s="51" t="s">
        <v>42</v>
      </c>
      <c r="B92" s="141">
        <v>1</v>
      </c>
      <c r="C92" s="53" t="s">
        <v>43</v>
      </c>
      <c r="D92" s="54" t="s">
        <v>44</v>
      </c>
      <c r="E92" s="55" t="s">
        <v>45</v>
      </c>
      <c r="F92" s="54" t="s">
        <v>44</v>
      </c>
      <c r="G92" s="55" t="s">
        <v>45</v>
      </c>
      <c r="H92" s="41"/>
    </row>
    <row r="93" spans="1:8" ht="26.25" customHeight="1" x14ac:dyDescent="0.4">
      <c r="A93" s="51" t="s">
        <v>46</v>
      </c>
      <c r="B93" s="141">
        <v>1</v>
      </c>
      <c r="C93" s="56">
        <v>1</v>
      </c>
      <c r="D93" s="275">
        <v>138215934</v>
      </c>
      <c r="E93" s="92">
        <f>IF(ISBLANK(D93),"-",$D$103/$D$100*D93)</f>
        <v>160692046.20031071</v>
      </c>
      <c r="F93" s="275">
        <v>146054927</v>
      </c>
      <c r="G93" s="92">
        <f>IF(ISBLANK(F93),"-",$D$103/$F$100*F93)</f>
        <v>162376781.24822119</v>
      </c>
      <c r="H93" s="41"/>
    </row>
    <row r="94" spans="1:8" ht="26.25" customHeight="1" x14ac:dyDescent="0.4">
      <c r="A94" s="51" t="s">
        <v>47</v>
      </c>
      <c r="B94" s="141">
        <v>1</v>
      </c>
      <c r="C94" s="52">
        <v>2</v>
      </c>
      <c r="D94" s="276">
        <v>138095406</v>
      </c>
      <c r="E94" s="93">
        <f>IF(ISBLANK(D94),"-",$D$103/$D$100*D94)</f>
        <v>160551918.42789024</v>
      </c>
      <c r="F94" s="276">
        <v>146005594</v>
      </c>
      <c r="G94" s="93">
        <f>IF(ISBLANK(F94),"-",$D$103/$F$100*F94)</f>
        <v>162321935.21246016</v>
      </c>
      <c r="H94" s="41"/>
    </row>
    <row r="95" spans="1:8" ht="26.25" customHeight="1" x14ac:dyDescent="0.4">
      <c r="A95" s="51" t="s">
        <v>48</v>
      </c>
      <c r="B95" s="141">
        <v>1</v>
      </c>
      <c r="C95" s="52">
        <v>3</v>
      </c>
      <c r="D95" s="276">
        <v>138268364</v>
      </c>
      <c r="E95" s="93">
        <f>IF(ISBLANK(D95),"-",$D$103/$D$100*D95)</f>
        <v>160753002.15335068</v>
      </c>
      <c r="F95" s="276">
        <v>145842043</v>
      </c>
      <c r="G95" s="93">
        <f>IF(ISBLANK(F95),"-",$D$103/$F$100*F95)</f>
        <v>162140107.14616063</v>
      </c>
    </row>
    <row r="96" spans="1:8" ht="26.25" customHeight="1" x14ac:dyDescent="0.4">
      <c r="A96" s="51" t="s">
        <v>49</v>
      </c>
      <c r="B96" s="141">
        <v>1</v>
      </c>
      <c r="C96" s="58">
        <v>4</v>
      </c>
      <c r="D96" s="144"/>
      <c r="E96" s="94" t="str">
        <f>IF(ISBLANK(D96),"-",$D$103/$D$100*D96)</f>
        <v>-</v>
      </c>
      <c r="F96" s="144"/>
      <c r="G96" s="94" t="str">
        <f>IF(ISBLANK(F96),"-",$D$103/$F$100*F96)</f>
        <v>-</v>
      </c>
    </row>
    <row r="97" spans="1:7" ht="27" customHeight="1" x14ac:dyDescent="0.4">
      <c r="A97" s="51" t="s">
        <v>50</v>
      </c>
      <c r="B97" s="141">
        <v>1</v>
      </c>
      <c r="C97" s="59" t="s">
        <v>51</v>
      </c>
      <c r="D97" s="60">
        <f>AVERAGE(D93:D96)</f>
        <v>138193234.66666666</v>
      </c>
      <c r="E97" s="61">
        <f>AVERAGE(E93:E96)</f>
        <v>160665655.59385052</v>
      </c>
      <c r="F97" s="60">
        <f>AVERAGE(F93:F96)</f>
        <v>145967521.33333334</v>
      </c>
      <c r="G97" s="61">
        <f>AVERAGE(G93:G96)</f>
        <v>162279607.8689473</v>
      </c>
    </row>
    <row r="98" spans="1:7" ht="26.25" customHeight="1" x14ac:dyDescent="0.4">
      <c r="A98" s="51" t="s">
        <v>52</v>
      </c>
      <c r="B98" s="136">
        <v>1</v>
      </c>
      <c r="C98" s="122" t="s">
        <v>53</v>
      </c>
      <c r="D98" s="279">
        <v>24.48</v>
      </c>
      <c r="E98" s="57"/>
      <c r="F98" s="145">
        <v>25.6</v>
      </c>
      <c r="G98" s="98"/>
    </row>
    <row r="99" spans="1:7" ht="26.25" customHeight="1" x14ac:dyDescent="0.4">
      <c r="A99" s="51" t="s">
        <v>54</v>
      </c>
      <c r="B99" s="136">
        <v>1</v>
      </c>
      <c r="C99" s="123" t="s">
        <v>55</v>
      </c>
      <c r="D99" s="124">
        <f>D98*$B$89</f>
        <v>24.48</v>
      </c>
      <c r="E99" s="63"/>
      <c r="F99" s="62">
        <f>F98*$B$89</f>
        <v>25.6</v>
      </c>
      <c r="G99" s="65"/>
    </row>
    <row r="100" spans="1:7" ht="19.5" customHeight="1" x14ac:dyDescent="0.3">
      <c r="A100" s="51" t="s">
        <v>56</v>
      </c>
      <c r="B100" s="120">
        <f>(B99/B98)*(B97/B96)*(B95/B94)*(B93/B92)*B91</f>
        <v>50</v>
      </c>
      <c r="C100" s="123" t="s">
        <v>57</v>
      </c>
      <c r="D100" s="125">
        <f>D99*$B$85/100</f>
        <v>21.503232000000004</v>
      </c>
      <c r="E100" s="65"/>
      <c r="F100" s="64">
        <f>F99*$B$85/100</f>
        <v>22.48704</v>
      </c>
      <c r="G100" s="65"/>
    </row>
    <row r="101" spans="1:7" ht="19.5" customHeight="1" x14ac:dyDescent="0.3">
      <c r="A101" s="370" t="s">
        <v>58</v>
      </c>
      <c r="B101" s="371"/>
      <c r="C101" s="123" t="s">
        <v>59</v>
      </c>
      <c r="D101" s="124">
        <f>D100/$B$100</f>
        <v>0.43006464000000011</v>
      </c>
      <c r="E101" s="65"/>
      <c r="F101" s="66">
        <f>F100/$B$100</f>
        <v>0.4497408</v>
      </c>
      <c r="G101" s="65"/>
    </row>
    <row r="102" spans="1:7" ht="27" customHeight="1" x14ac:dyDescent="0.4">
      <c r="A102" s="372"/>
      <c r="B102" s="373"/>
      <c r="C102" s="123" t="s">
        <v>60</v>
      </c>
      <c r="D102" s="147">
        <v>0.5</v>
      </c>
      <c r="E102" s="98"/>
      <c r="F102" s="98"/>
      <c r="G102" s="98"/>
    </row>
    <row r="103" spans="1:7" ht="18.75" x14ac:dyDescent="0.3">
      <c r="C103" s="123" t="s">
        <v>61</v>
      </c>
      <c r="D103" s="125">
        <f>D102*$B$100</f>
        <v>25</v>
      </c>
      <c r="E103" s="65"/>
      <c r="F103" s="65"/>
      <c r="G103" s="65"/>
    </row>
    <row r="104" spans="1:7" ht="19.5" customHeight="1" x14ac:dyDescent="0.3">
      <c r="C104" s="126" t="s">
        <v>62</v>
      </c>
      <c r="D104" s="127">
        <f>D103/B89</f>
        <v>25</v>
      </c>
      <c r="E104" s="84"/>
      <c r="F104" s="84"/>
      <c r="G104" s="84"/>
    </row>
    <row r="105" spans="1:7" ht="18.75" x14ac:dyDescent="0.3">
      <c r="C105" s="128" t="s">
        <v>63</v>
      </c>
      <c r="D105" s="129">
        <f>AVERAGE(E93:E96,G93:G96)</f>
        <v>161472631.73139891</v>
      </c>
      <c r="E105" s="83"/>
      <c r="F105" s="83"/>
      <c r="G105" s="83"/>
    </row>
    <row r="106" spans="1:7" ht="18.75" x14ac:dyDescent="0.3">
      <c r="C106" s="67" t="s">
        <v>64</v>
      </c>
      <c r="D106" s="70">
        <f>STDEV(E93:E96,G93:G96)/D105</f>
        <v>5.5108789733597872E-3</v>
      </c>
      <c r="E106" s="63"/>
      <c r="F106" s="63"/>
      <c r="G106" s="63"/>
    </row>
    <row r="107" spans="1:7" ht="19.5" customHeight="1" x14ac:dyDescent="0.3">
      <c r="C107" s="68" t="s">
        <v>65</v>
      </c>
      <c r="D107" s="71">
        <f>COUNT(E93:E96,G93:G96)</f>
        <v>6</v>
      </c>
      <c r="E107" s="63"/>
      <c r="F107" s="63"/>
      <c r="G107" s="63"/>
    </row>
    <row r="109" spans="1:7" ht="18.75" x14ac:dyDescent="0.3">
      <c r="A109" s="33" t="s">
        <v>25</v>
      </c>
      <c r="B109" s="72" t="s">
        <v>66</v>
      </c>
    </row>
    <row r="110" spans="1:7" ht="18.75" x14ac:dyDescent="0.3">
      <c r="A110" s="34" t="s">
        <v>67</v>
      </c>
      <c r="B110" s="36" t="str">
        <f>B21</f>
        <v>5ML (after reconstitution) contains 200mg amoxicillin and 28.5mg clavulanic acid</v>
      </c>
    </row>
    <row r="111" spans="1:7" ht="26.25" customHeight="1" x14ac:dyDescent="0.4">
      <c r="A111" s="131" t="s">
        <v>68</v>
      </c>
      <c r="B111" s="148">
        <v>5</v>
      </c>
      <c r="C111" s="111" t="s">
        <v>69</v>
      </c>
      <c r="D111" s="149">
        <v>200</v>
      </c>
      <c r="E111" s="111" t="str">
        <f>B20</f>
        <v xml:space="preserve">AMOXICILLIN </v>
      </c>
    </row>
    <row r="112" spans="1:7" ht="18.75" x14ac:dyDescent="0.3">
      <c r="A112" s="36" t="s">
        <v>70</v>
      </c>
      <c r="B112" s="159">
        <f>B58</f>
        <v>1.0720900536529492</v>
      </c>
    </row>
    <row r="113" spans="1:8" ht="18.75" x14ac:dyDescent="0.3">
      <c r="A113" s="109" t="s">
        <v>71</v>
      </c>
      <c r="B113" s="110">
        <f>B111</f>
        <v>5</v>
      </c>
      <c r="C113" s="111" t="s">
        <v>72</v>
      </c>
      <c r="D113" s="132">
        <f>B112*B111</f>
        <v>5.3604502682647457</v>
      </c>
      <c r="E113" s="112"/>
      <c r="F113" s="112"/>
      <c r="G113" s="112"/>
      <c r="H113" s="112"/>
    </row>
    <row r="114" spans="1:8" ht="19.5" customHeight="1" x14ac:dyDescent="0.25"/>
    <row r="115" spans="1:8" ht="27" customHeight="1" x14ac:dyDescent="0.4">
      <c r="A115" s="50" t="s">
        <v>73</v>
      </c>
      <c r="B115" s="140">
        <v>100</v>
      </c>
      <c r="D115" s="74" t="s">
        <v>74</v>
      </c>
      <c r="E115" s="73" t="s">
        <v>75</v>
      </c>
      <c r="F115" s="73" t="s">
        <v>44</v>
      </c>
      <c r="G115" s="73" t="s">
        <v>76</v>
      </c>
      <c r="H115" s="53" t="s">
        <v>77</v>
      </c>
    </row>
    <row r="116" spans="1:8" ht="26.25" customHeight="1" x14ac:dyDescent="0.4">
      <c r="A116" s="51" t="s">
        <v>78</v>
      </c>
      <c r="B116" s="141">
        <v>5</v>
      </c>
      <c r="C116" s="374" t="s">
        <v>79</v>
      </c>
      <c r="D116" s="377">
        <v>4.1083600000000002</v>
      </c>
      <c r="E116" s="104">
        <v>1</v>
      </c>
      <c r="F116" s="150">
        <v>130083975</v>
      </c>
      <c r="G116" s="116">
        <f>IF(ISBLANK(F116),"-",(F116/$D$105*$D$102*$B$124)*$D$113/$D$116)</f>
        <v>210.22659217806151</v>
      </c>
      <c r="H116" s="163">
        <f t="shared" ref="H116:H127" si="1">IF(ISBLANK(F116),"-",G116/$D$111)</f>
        <v>1.0511329608903075</v>
      </c>
    </row>
    <row r="117" spans="1:8" ht="26.25" customHeight="1" x14ac:dyDescent="0.4">
      <c r="A117" s="51" t="s">
        <v>80</v>
      </c>
      <c r="B117" s="141">
        <v>20</v>
      </c>
      <c r="C117" s="375"/>
      <c r="D117" s="378"/>
      <c r="E117" s="105">
        <v>2</v>
      </c>
      <c r="F117" s="143">
        <v>129656272</v>
      </c>
      <c r="G117" s="117">
        <f>IF(ISBLANK(F117),"-",(F117/$D$105*$D$102*$B$124)*$D$113/$D$116)</f>
        <v>209.53538832951418</v>
      </c>
      <c r="H117" s="164">
        <f t="shared" si="1"/>
        <v>1.0476769416475709</v>
      </c>
    </row>
    <row r="118" spans="1:8" ht="26.25" customHeight="1" x14ac:dyDescent="0.4">
      <c r="A118" s="51" t="s">
        <v>81</v>
      </c>
      <c r="B118" s="141">
        <v>1</v>
      </c>
      <c r="C118" s="375"/>
      <c r="D118" s="378"/>
      <c r="E118" s="105">
        <v>3</v>
      </c>
      <c r="F118" s="143">
        <v>129688454</v>
      </c>
      <c r="G118" s="117">
        <f>IF(ISBLANK(F118),"-",(F118/$D$105*$D$102*$B$124)*$D$113/$D$116)</f>
        <v>209.58739713528351</v>
      </c>
      <c r="H118" s="164">
        <f t="shared" si="1"/>
        <v>1.0479369856764176</v>
      </c>
    </row>
    <row r="119" spans="1:8" ht="27" customHeight="1" x14ac:dyDescent="0.4">
      <c r="A119" s="51" t="s">
        <v>82</v>
      </c>
      <c r="B119" s="141">
        <v>1</v>
      </c>
      <c r="C119" s="376"/>
      <c r="D119" s="379"/>
      <c r="E119" s="106">
        <v>4</v>
      </c>
      <c r="F119" s="151"/>
      <c r="G119" s="118" t="str">
        <f>IF(ISBLANK(F119),"-",(F119/$D$105*$D$102*$B$124)*$D$113/$D$116)</f>
        <v>-</v>
      </c>
      <c r="H119" s="165" t="str">
        <f t="shared" si="1"/>
        <v>-</v>
      </c>
    </row>
    <row r="120" spans="1:8" ht="26.25" customHeight="1" x14ac:dyDescent="0.4">
      <c r="A120" s="51" t="s">
        <v>83</v>
      </c>
      <c r="B120" s="141">
        <v>1</v>
      </c>
      <c r="C120" s="374" t="s">
        <v>84</v>
      </c>
      <c r="D120" s="377">
        <v>4.4035200000000003</v>
      </c>
      <c r="E120" s="75">
        <v>1</v>
      </c>
      <c r="F120" s="143">
        <v>140517765</v>
      </c>
      <c r="G120" s="116">
        <f>IF(ISBLANK(F120),"-",(F120/$D$105*$D$102*$B$124)*$D$113/$D$120)</f>
        <v>211.86713976751491</v>
      </c>
      <c r="H120" s="163">
        <f t="shared" si="1"/>
        <v>1.0593356988375746</v>
      </c>
    </row>
    <row r="121" spans="1:8" ht="26.25" customHeight="1" x14ac:dyDescent="0.4">
      <c r="A121" s="51" t="s">
        <v>85</v>
      </c>
      <c r="B121" s="141">
        <v>1</v>
      </c>
      <c r="C121" s="375"/>
      <c r="D121" s="378"/>
      <c r="E121" s="76">
        <v>2</v>
      </c>
      <c r="F121" s="143">
        <v>140311526</v>
      </c>
      <c r="G121" s="117">
        <f>IF(ISBLANK(F121),"-",(F121/$D$105*$D$102*$B$124)*$D$113/$D$120)</f>
        <v>211.55618074366117</v>
      </c>
      <c r="H121" s="164">
        <f t="shared" si="1"/>
        <v>1.0577809037183059</v>
      </c>
    </row>
    <row r="122" spans="1:8" ht="26.25" customHeight="1" x14ac:dyDescent="0.4">
      <c r="A122" s="51" t="s">
        <v>86</v>
      </c>
      <c r="B122" s="141">
        <v>1</v>
      </c>
      <c r="C122" s="375"/>
      <c r="D122" s="378"/>
      <c r="E122" s="76">
        <v>3</v>
      </c>
      <c r="F122" s="143"/>
      <c r="G122" s="117" t="str">
        <f>IF(ISBLANK(F122),"-",(F122/$D$105*$D$102*$B$124)*$D$113/$D$120)</f>
        <v>-</v>
      </c>
      <c r="H122" s="164" t="str">
        <f t="shared" si="1"/>
        <v>-</v>
      </c>
    </row>
    <row r="123" spans="1:8" ht="27" customHeight="1" x14ac:dyDescent="0.4">
      <c r="A123" s="51" t="s">
        <v>87</v>
      </c>
      <c r="B123" s="141">
        <v>1</v>
      </c>
      <c r="C123" s="376"/>
      <c r="D123" s="379"/>
      <c r="E123" s="77">
        <v>4</v>
      </c>
      <c r="F123" s="151"/>
      <c r="G123" s="118" t="str">
        <f>IF(ISBLANK(F123),"-",(F123/$D$105*$D$102*$B$124)*$D$113/$D$120)</f>
        <v>-</v>
      </c>
      <c r="H123" s="165" t="str">
        <f t="shared" si="1"/>
        <v>-</v>
      </c>
    </row>
    <row r="124" spans="1:8" ht="26.25" customHeight="1" x14ac:dyDescent="0.4">
      <c r="A124" s="51" t="s">
        <v>88</v>
      </c>
      <c r="B124" s="119">
        <f>(B123/B122)*(B121/B120)*(B119/B118)*(B117/B116)*B115</f>
        <v>400</v>
      </c>
      <c r="C124" s="374" t="s">
        <v>89</v>
      </c>
      <c r="D124" s="377">
        <v>4.1829299999999998</v>
      </c>
      <c r="E124" s="75">
        <v>1</v>
      </c>
      <c r="F124" s="150">
        <v>133734946</v>
      </c>
      <c r="G124" s="116">
        <f>IF(ISBLANK(F124),"-",(F124/$D$105*$D$102*$B$124)*$D$113/$D$124)</f>
        <v>212.27392640135051</v>
      </c>
      <c r="H124" s="163">
        <f t="shared" si="1"/>
        <v>1.0613696320067525</v>
      </c>
    </row>
    <row r="125" spans="1:8" ht="27" customHeight="1" x14ac:dyDescent="0.4">
      <c r="A125" s="130" t="s">
        <v>90</v>
      </c>
      <c r="B125" s="152">
        <f>(D102*B124)/D111*D113</f>
        <v>5.3604502682647457</v>
      </c>
      <c r="C125" s="375"/>
      <c r="D125" s="378"/>
      <c r="E125" s="76">
        <v>2</v>
      </c>
      <c r="F125" s="143">
        <v>132049231</v>
      </c>
      <c r="G125" s="117">
        <f>IF(ISBLANK(F125),"-",(F125/$D$105*$D$102*$B$124)*$D$113/$D$124)</f>
        <v>209.5982357718897</v>
      </c>
      <c r="H125" s="164">
        <f t="shared" si="1"/>
        <v>1.0479911788594485</v>
      </c>
    </row>
    <row r="126" spans="1:8" ht="26.25" customHeight="1" x14ac:dyDescent="0.4">
      <c r="A126" s="370" t="s">
        <v>58</v>
      </c>
      <c r="B126" s="381"/>
      <c r="C126" s="375"/>
      <c r="D126" s="378"/>
      <c r="E126" s="76">
        <v>3</v>
      </c>
      <c r="F126" s="143">
        <v>132030596</v>
      </c>
      <c r="G126" s="117">
        <f>IF(ISBLANK(F126),"-",(F126/$D$105*$D$102*$B$124)*$D$113/$D$124)</f>
        <v>209.56865693152815</v>
      </c>
      <c r="H126" s="164">
        <f t="shared" si="1"/>
        <v>1.0478432846576409</v>
      </c>
    </row>
    <row r="127" spans="1:8" ht="27" customHeight="1" x14ac:dyDescent="0.4">
      <c r="A127" s="372"/>
      <c r="B127" s="382"/>
      <c r="C127" s="380"/>
      <c r="D127" s="379"/>
      <c r="E127" s="77">
        <v>4</v>
      </c>
      <c r="F127" s="151"/>
      <c r="G127" s="118" t="str">
        <f>IF(ISBLANK(F127),"-",(F127/$D$105*$D$102*$B$124)*$D$113/$D$124)</f>
        <v>-</v>
      </c>
      <c r="H127" s="165" t="str">
        <f t="shared" si="1"/>
        <v>-</v>
      </c>
    </row>
    <row r="128" spans="1:8" ht="26.25" customHeight="1" x14ac:dyDescent="0.4">
      <c r="A128" s="78"/>
      <c r="B128" s="78"/>
      <c r="C128" s="78"/>
      <c r="D128" s="78"/>
      <c r="E128" s="78"/>
      <c r="F128" s="79"/>
      <c r="G128" s="69" t="s">
        <v>51</v>
      </c>
      <c r="H128" s="153">
        <f>AVERAGE(H116:H127)</f>
        <v>1.0526334482867523</v>
      </c>
    </row>
    <row r="129" spans="1:9" ht="26.25" customHeight="1" x14ac:dyDescent="0.4">
      <c r="C129" s="78"/>
      <c r="D129" s="78"/>
      <c r="E129" s="78"/>
      <c r="F129" s="79"/>
      <c r="G129" s="67" t="s">
        <v>64</v>
      </c>
      <c r="H129" s="154">
        <f>STDEV(H116:H127)/H128</f>
        <v>5.5754563134752123E-3</v>
      </c>
    </row>
    <row r="130" spans="1:9" ht="27" customHeight="1" x14ac:dyDescent="0.4">
      <c r="A130" s="78"/>
      <c r="B130" s="78"/>
      <c r="C130" s="79"/>
      <c r="D130" s="80"/>
      <c r="E130" s="80"/>
      <c r="F130" s="79"/>
      <c r="G130" s="68" t="s">
        <v>65</v>
      </c>
      <c r="H130" s="155">
        <f>COUNT(H116:H127)</f>
        <v>8</v>
      </c>
    </row>
    <row r="131" spans="1:9" ht="18.75" x14ac:dyDescent="0.3">
      <c r="A131" s="78"/>
      <c r="B131" s="78"/>
      <c r="C131" s="79"/>
      <c r="D131" s="80"/>
      <c r="E131" s="80"/>
      <c r="F131" s="80"/>
      <c r="G131" s="80"/>
      <c r="H131" s="79"/>
    </row>
    <row r="132" spans="1:9" ht="26.25" customHeight="1" x14ac:dyDescent="0.4">
      <c r="A132" s="38" t="s">
        <v>91</v>
      </c>
      <c r="B132" s="157" t="s">
        <v>92</v>
      </c>
      <c r="C132" s="360" t="str">
        <f>B20</f>
        <v xml:space="preserve">AMOXICILLIN </v>
      </c>
      <c r="D132" s="360"/>
      <c r="E132" s="103" t="s">
        <v>93</v>
      </c>
      <c r="F132" s="103"/>
      <c r="G132" s="158">
        <f>H128</f>
        <v>1.0526334482867523</v>
      </c>
      <c r="H132" s="79"/>
    </row>
    <row r="133" spans="1:9" ht="19.5" customHeight="1" x14ac:dyDescent="0.3">
      <c r="A133" s="161"/>
      <c r="B133" s="90"/>
      <c r="C133" s="91"/>
      <c r="D133" s="91"/>
      <c r="E133" s="90"/>
      <c r="F133" s="90"/>
      <c r="G133" s="90"/>
      <c r="H133" s="90"/>
    </row>
    <row r="134" spans="1:9" ht="61.5" customHeight="1" x14ac:dyDescent="0.3">
      <c r="A134" s="85" t="s">
        <v>22</v>
      </c>
      <c r="B134" s="133" t="s">
        <v>111</v>
      </c>
      <c r="C134" s="133"/>
      <c r="D134" s="78"/>
      <c r="E134" s="87"/>
      <c r="F134" s="81"/>
      <c r="G134" s="107"/>
      <c r="H134" s="107"/>
      <c r="I134" s="81"/>
    </row>
    <row r="135" spans="1:9" ht="56.25" customHeight="1" x14ac:dyDescent="0.3">
      <c r="A135" s="85" t="s">
        <v>23</v>
      </c>
      <c r="B135" s="134"/>
      <c r="C135" s="134"/>
      <c r="D135" s="95"/>
      <c r="E135" s="88"/>
      <c r="F135" s="81"/>
      <c r="G135" s="108"/>
      <c r="H135" s="108"/>
      <c r="I135" s="103"/>
    </row>
    <row r="136" spans="1:9" ht="18.75" x14ac:dyDescent="0.3">
      <c r="A136" s="78"/>
      <c r="B136" s="79"/>
      <c r="C136" s="80"/>
      <c r="D136" s="80"/>
      <c r="E136" s="80"/>
      <c r="F136" s="80"/>
      <c r="G136" s="79"/>
      <c r="H136" s="79"/>
      <c r="I136" s="81"/>
    </row>
    <row r="137" spans="1:9" ht="18.75" x14ac:dyDescent="0.3">
      <c r="A137" s="78"/>
      <c r="B137" s="78"/>
      <c r="C137" s="79"/>
      <c r="D137" s="80"/>
      <c r="E137" s="80"/>
      <c r="F137" s="80"/>
      <c r="G137" s="80"/>
      <c r="H137" s="79"/>
      <c r="I137" s="81"/>
    </row>
    <row r="138" spans="1:9" ht="27" customHeight="1" x14ac:dyDescent="0.3">
      <c r="A138" s="78"/>
      <c r="B138" s="78"/>
      <c r="C138" s="79"/>
      <c r="D138" s="80"/>
      <c r="E138" s="80"/>
      <c r="F138" s="80"/>
      <c r="G138" s="80"/>
      <c r="H138" s="79"/>
      <c r="I138" s="81"/>
    </row>
    <row r="139" spans="1:9" ht="18.75" x14ac:dyDescent="0.3">
      <c r="A139" s="78"/>
      <c r="B139" s="78"/>
      <c r="C139" s="79"/>
      <c r="D139" s="80"/>
      <c r="E139" s="80"/>
      <c r="F139" s="80"/>
      <c r="G139" s="80"/>
      <c r="H139" s="79"/>
      <c r="I139" s="81"/>
    </row>
    <row r="140" spans="1:9" ht="27" customHeight="1" x14ac:dyDescent="0.3">
      <c r="A140" s="78"/>
      <c r="B140" s="78"/>
      <c r="C140" s="79"/>
      <c r="D140" s="80"/>
      <c r="E140" s="80"/>
      <c r="F140" s="80"/>
      <c r="G140" s="80"/>
      <c r="H140" s="79"/>
      <c r="I140" s="81"/>
    </row>
    <row r="141" spans="1:9" ht="27" customHeight="1" x14ac:dyDescent="0.3">
      <c r="A141" s="78"/>
      <c r="B141" s="78"/>
      <c r="C141" s="79"/>
      <c r="D141" s="80"/>
      <c r="E141" s="80"/>
      <c r="F141" s="80"/>
      <c r="G141" s="80"/>
      <c r="H141" s="79"/>
      <c r="I141" s="81"/>
    </row>
    <row r="142" spans="1:9" ht="18.75" x14ac:dyDescent="0.3">
      <c r="A142" s="78"/>
      <c r="B142" s="78"/>
      <c r="C142" s="79"/>
      <c r="D142" s="80"/>
      <c r="E142" s="80"/>
      <c r="F142" s="80"/>
      <c r="G142" s="80"/>
      <c r="H142" s="79"/>
      <c r="I142" s="81"/>
    </row>
    <row r="143" spans="1:9" ht="18.75" x14ac:dyDescent="0.3">
      <c r="A143" s="78"/>
      <c r="B143" s="78"/>
      <c r="C143" s="79"/>
      <c r="D143" s="80"/>
      <c r="E143" s="80"/>
      <c r="F143" s="80"/>
      <c r="G143" s="80"/>
      <c r="H143" s="79"/>
      <c r="I143" s="81"/>
    </row>
    <row r="144" spans="1:9" ht="18.75" x14ac:dyDescent="0.3">
      <c r="A144" s="78"/>
      <c r="B144" s="78"/>
      <c r="C144" s="79"/>
      <c r="D144" s="80"/>
      <c r="E144" s="80"/>
      <c r="F144" s="80"/>
      <c r="G144" s="80"/>
      <c r="H144" s="79"/>
      <c r="I144" s="81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28" zoomScale="55" zoomScaleNormal="75" workbookViewId="0">
      <selection activeCell="D89" sqref="D8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5" t="s">
        <v>6</v>
      </c>
      <c r="B1" s="385"/>
      <c r="C1" s="385"/>
      <c r="D1" s="385"/>
      <c r="E1" s="385"/>
      <c r="F1" s="385"/>
      <c r="G1" s="385"/>
      <c r="H1" s="385"/>
    </row>
    <row r="2" spans="1:8" x14ac:dyDescent="0.25">
      <c r="A2" s="385"/>
      <c r="B2" s="385"/>
      <c r="C2" s="385"/>
      <c r="D2" s="385"/>
      <c r="E2" s="385"/>
      <c r="F2" s="385"/>
      <c r="G2" s="385"/>
      <c r="H2" s="385"/>
    </row>
    <row r="3" spans="1:8" x14ac:dyDescent="0.25">
      <c r="A3" s="385"/>
      <c r="B3" s="385"/>
      <c r="C3" s="385"/>
      <c r="D3" s="385"/>
      <c r="E3" s="385"/>
      <c r="F3" s="385"/>
      <c r="G3" s="385"/>
      <c r="H3" s="385"/>
    </row>
    <row r="4" spans="1:8" x14ac:dyDescent="0.25">
      <c r="A4" s="385"/>
      <c r="B4" s="385"/>
      <c r="C4" s="385"/>
      <c r="D4" s="385"/>
      <c r="E4" s="385"/>
      <c r="F4" s="385"/>
      <c r="G4" s="385"/>
      <c r="H4" s="385"/>
    </row>
    <row r="5" spans="1:8" x14ac:dyDescent="0.25">
      <c r="A5" s="385"/>
      <c r="B5" s="385"/>
      <c r="C5" s="385"/>
      <c r="D5" s="385"/>
      <c r="E5" s="385"/>
      <c r="F5" s="385"/>
      <c r="G5" s="385"/>
      <c r="H5" s="385"/>
    </row>
    <row r="6" spans="1:8" x14ac:dyDescent="0.25">
      <c r="A6" s="385"/>
      <c r="B6" s="385"/>
      <c r="C6" s="385"/>
      <c r="D6" s="385"/>
      <c r="E6" s="385"/>
      <c r="F6" s="385"/>
      <c r="G6" s="385"/>
      <c r="H6" s="385"/>
    </row>
    <row r="7" spans="1:8" x14ac:dyDescent="0.25">
      <c r="A7" s="385"/>
      <c r="B7" s="385"/>
      <c r="C7" s="385"/>
      <c r="D7" s="385"/>
      <c r="E7" s="385"/>
      <c r="F7" s="385"/>
      <c r="G7" s="385"/>
      <c r="H7" s="385"/>
    </row>
    <row r="8" spans="1:8" x14ac:dyDescent="0.25">
      <c r="A8" s="386" t="s">
        <v>7</v>
      </c>
      <c r="B8" s="386"/>
      <c r="C8" s="386"/>
      <c r="D8" s="386"/>
      <c r="E8" s="386"/>
      <c r="F8" s="386"/>
      <c r="G8" s="386"/>
      <c r="H8" s="386"/>
    </row>
    <row r="9" spans="1:8" x14ac:dyDescent="0.25">
      <c r="A9" s="386"/>
      <c r="B9" s="386"/>
      <c r="C9" s="386"/>
      <c r="D9" s="386"/>
      <c r="E9" s="386"/>
      <c r="F9" s="386"/>
      <c r="G9" s="386"/>
      <c r="H9" s="386"/>
    </row>
    <row r="10" spans="1:8" x14ac:dyDescent="0.25">
      <c r="A10" s="386"/>
      <c r="B10" s="386"/>
      <c r="C10" s="386"/>
      <c r="D10" s="386"/>
      <c r="E10" s="386"/>
      <c r="F10" s="386"/>
      <c r="G10" s="386"/>
      <c r="H10" s="386"/>
    </row>
    <row r="11" spans="1:8" x14ac:dyDescent="0.25">
      <c r="A11" s="386"/>
      <c r="B11" s="386"/>
      <c r="C11" s="386"/>
      <c r="D11" s="386"/>
      <c r="E11" s="386"/>
      <c r="F11" s="386"/>
      <c r="G11" s="386"/>
      <c r="H11" s="386"/>
    </row>
    <row r="12" spans="1:8" x14ac:dyDescent="0.25">
      <c r="A12" s="386"/>
      <c r="B12" s="386"/>
      <c r="C12" s="386"/>
      <c r="D12" s="386"/>
      <c r="E12" s="386"/>
      <c r="F12" s="386"/>
      <c r="G12" s="386"/>
      <c r="H12" s="386"/>
    </row>
    <row r="13" spans="1:8" x14ac:dyDescent="0.25">
      <c r="A13" s="386"/>
      <c r="B13" s="386"/>
      <c r="C13" s="386"/>
      <c r="D13" s="386"/>
      <c r="E13" s="386"/>
      <c r="F13" s="386"/>
      <c r="G13" s="386"/>
      <c r="H13" s="386"/>
    </row>
    <row r="14" spans="1:8" ht="19.5" customHeight="1" x14ac:dyDescent="0.25">
      <c r="A14" s="386"/>
      <c r="B14" s="386"/>
      <c r="C14" s="386"/>
      <c r="D14" s="386"/>
      <c r="E14" s="386"/>
      <c r="F14" s="386"/>
      <c r="G14" s="386"/>
      <c r="H14" s="386"/>
    </row>
    <row r="15" spans="1:8" ht="19.5" customHeight="1" x14ac:dyDescent="0.25"/>
    <row r="16" spans="1:8" ht="19.5" customHeight="1" x14ac:dyDescent="0.3">
      <c r="A16" s="388" t="s">
        <v>8</v>
      </c>
      <c r="B16" s="389"/>
      <c r="C16" s="389"/>
      <c r="D16" s="389"/>
      <c r="E16" s="389"/>
      <c r="F16" s="389"/>
      <c r="G16" s="389"/>
      <c r="H16" s="390"/>
    </row>
    <row r="17" spans="1:12" ht="20.25" customHeight="1" x14ac:dyDescent="0.25">
      <c r="A17" s="387" t="s">
        <v>24</v>
      </c>
      <c r="B17" s="387"/>
      <c r="C17" s="387"/>
      <c r="D17" s="387"/>
      <c r="E17" s="387"/>
      <c r="F17" s="387"/>
      <c r="G17" s="387"/>
      <c r="H17" s="387"/>
    </row>
    <row r="18" spans="1:12" ht="26.25" customHeight="1" x14ac:dyDescent="0.4">
      <c r="A18" s="168" t="s">
        <v>11</v>
      </c>
      <c r="B18" s="383" t="s">
        <v>9</v>
      </c>
      <c r="C18" s="383"/>
    </row>
    <row r="19" spans="1:12" ht="26.25" customHeight="1" x14ac:dyDescent="0.4">
      <c r="A19" s="168" t="s">
        <v>13</v>
      </c>
      <c r="B19" s="270" t="s">
        <v>10</v>
      </c>
      <c r="C19" s="293">
        <v>23</v>
      </c>
    </row>
    <row r="20" spans="1:12" ht="26.25" customHeight="1" x14ac:dyDescent="0.4">
      <c r="A20" s="168" t="s">
        <v>15</v>
      </c>
      <c r="B20" s="270" t="s">
        <v>12</v>
      </c>
      <c r="C20" s="271"/>
    </row>
    <row r="21" spans="1:12" ht="26.25" customHeight="1" x14ac:dyDescent="0.4">
      <c r="A21" s="168" t="s">
        <v>16</v>
      </c>
      <c r="B21" s="361" t="s">
        <v>14</v>
      </c>
      <c r="C21" s="361"/>
      <c r="D21" s="361"/>
      <c r="E21" s="361"/>
      <c r="F21" s="361"/>
      <c r="G21" s="361"/>
      <c r="H21" s="361"/>
      <c r="I21" s="295"/>
    </row>
    <row r="22" spans="1:12" ht="26.25" customHeight="1" x14ac:dyDescent="0.4">
      <c r="A22" s="168" t="s">
        <v>17</v>
      </c>
      <c r="B22" s="272">
        <v>42489</v>
      </c>
      <c r="C22" s="271"/>
      <c r="D22" s="271"/>
      <c r="E22" s="271"/>
      <c r="F22" s="271"/>
      <c r="G22" s="271"/>
      <c r="H22" s="271"/>
      <c r="I22" s="271"/>
    </row>
    <row r="23" spans="1:12" ht="26.25" customHeight="1" x14ac:dyDescent="0.4">
      <c r="A23" s="168" t="s">
        <v>18</v>
      </c>
      <c r="B23" s="272">
        <v>42496</v>
      </c>
      <c r="C23" s="271"/>
      <c r="D23" s="271"/>
      <c r="E23" s="271"/>
      <c r="F23" s="271"/>
      <c r="G23" s="271"/>
      <c r="H23" s="271"/>
      <c r="I23" s="271"/>
    </row>
    <row r="24" spans="1:12" ht="18.75" x14ac:dyDescent="0.3">
      <c r="A24" s="168"/>
      <c r="B24" s="170"/>
    </row>
    <row r="25" spans="1:12" ht="18.75" x14ac:dyDescent="0.3">
      <c r="B25" s="170"/>
    </row>
    <row r="26" spans="1:12" ht="18.75" x14ac:dyDescent="0.3">
      <c r="A26" s="166" t="s">
        <v>25</v>
      </c>
      <c r="B26" s="360"/>
      <c r="C26" s="360"/>
      <c r="D26" s="360"/>
      <c r="E26" s="360"/>
      <c r="F26" s="360"/>
      <c r="G26" s="360"/>
      <c r="H26" s="360"/>
    </row>
    <row r="27" spans="1:12" ht="26.25" customHeight="1" x14ac:dyDescent="0.4">
      <c r="A27" s="171" t="s">
        <v>27</v>
      </c>
      <c r="B27" s="383" t="s">
        <v>119</v>
      </c>
      <c r="C27" s="383"/>
    </row>
    <row r="28" spans="1:12" ht="26.25" customHeight="1" x14ac:dyDescent="0.4">
      <c r="A28" s="173" t="s">
        <v>28</v>
      </c>
      <c r="B28" s="361" t="s">
        <v>120</v>
      </c>
      <c r="C28" s="361"/>
    </row>
    <row r="29" spans="1:12" ht="27" customHeight="1" x14ac:dyDescent="0.4">
      <c r="A29" s="173" t="s">
        <v>29</v>
      </c>
      <c r="B29" s="269">
        <v>96.96</v>
      </c>
    </row>
    <row r="30" spans="1:12" s="9" customFormat="1" ht="27" customHeight="1" x14ac:dyDescent="0.4">
      <c r="A30" s="173" t="s">
        <v>30</v>
      </c>
      <c r="B30" s="268">
        <v>0</v>
      </c>
      <c r="C30" s="362" t="s">
        <v>31</v>
      </c>
      <c r="D30" s="363"/>
      <c r="E30" s="363"/>
      <c r="F30" s="363"/>
      <c r="G30" s="363"/>
      <c r="H30" s="364"/>
      <c r="I30" s="175"/>
      <c r="J30" s="175"/>
      <c r="K30" s="175"/>
      <c r="L30" s="175"/>
    </row>
    <row r="31" spans="1:12" s="9" customFormat="1" ht="19.5" customHeight="1" x14ac:dyDescent="0.3">
      <c r="A31" s="173" t="s">
        <v>32</v>
      </c>
      <c r="B31" s="172">
        <f>B29-B30</f>
        <v>96.96</v>
      </c>
      <c r="C31" s="176"/>
      <c r="D31" s="176"/>
      <c r="E31" s="176"/>
      <c r="F31" s="176"/>
      <c r="G31" s="176"/>
      <c r="H31" s="177"/>
      <c r="I31" s="175"/>
      <c r="J31" s="175"/>
      <c r="K31" s="175"/>
      <c r="L31" s="175"/>
    </row>
    <row r="32" spans="1:12" s="9" customFormat="1" ht="27" customHeight="1" x14ac:dyDescent="0.4">
      <c r="A32" s="173" t="s">
        <v>33</v>
      </c>
      <c r="B32" s="289">
        <v>199.16</v>
      </c>
      <c r="C32" s="365" t="s">
        <v>34</v>
      </c>
      <c r="D32" s="366"/>
      <c r="E32" s="366"/>
      <c r="F32" s="366"/>
      <c r="G32" s="366"/>
      <c r="H32" s="367"/>
      <c r="I32" s="175"/>
      <c r="J32" s="175"/>
      <c r="K32" s="175"/>
      <c r="L32" s="175"/>
    </row>
    <row r="33" spans="1:14" s="9" customFormat="1" ht="27" customHeight="1" x14ac:dyDescent="0.4">
      <c r="A33" s="173" t="s">
        <v>35</v>
      </c>
      <c r="B33" s="289">
        <v>205.09</v>
      </c>
      <c r="C33" s="365" t="s">
        <v>36</v>
      </c>
      <c r="D33" s="366"/>
      <c r="E33" s="366"/>
      <c r="F33" s="366"/>
      <c r="G33" s="366"/>
      <c r="H33" s="367"/>
      <c r="I33" s="175"/>
      <c r="J33" s="175"/>
      <c r="K33" s="175"/>
      <c r="L33" s="179"/>
      <c r="M33" s="179"/>
      <c r="N33" s="180"/>
    </row>
    <row r="34" spans="1:14" s="9" customFormat="1" ht="17.25" customHeight="1" x14ac:dyDescent="0.3">
      <c r="A34" s="173"/>
      <c r="B34" s="178"/>
      <c r="C34" s="181"/>
      <c r="D34" s="181"/>
      <c r="E34" s="181"/>
      <c r="F34" s="181"/>
      <c r="G34" s="181"/>
      <c r="H34" s="181"/>
      <c r="I34" s="175"/>
      <c r="J34" s="175"/>
      <c r="K34" s="175"/>
      <c r="L34" s="179"/>
      <c r="M34" s="179"/>
      <c r="N34" s="180"/>
    </row>
    <row r="35" spans="1:14" s="9" customFormat="1" ht="18.75" x14ac:dyDescent="0.3">
      <c r="A35" s="173" t="s">
        <v>37</v>
      </c>
      <c r="B35" s="182">
        <f>B32/B33</f>
        <v>0.97108586474230818</v>
      </c>
      <c r="C35" s="167" t="s">
        <v>38</v>
      </c>
      <c r="D35" s="167"/>
      <c r="E35" s="167"/>
      <c r="F35" s="167"/>
      <c r="G35" s="167"/>
      <c r="H35" s="167"/>
      <c r="I35" s="175"/>
      <c r="J35" s="175"/>
      <c r="K35" s="175"/>
      <c r="L35" s="179"/>
      <c r="M35" s="179"/>
      <c r="N35" s="180"/>
    </row>
    <row r="36" spans="1:14" s="9" customFormat="1" ht="19.5" customHeight="1" x14ac:dyDescent="0.3">
      <c r="A36" s="173"/>
      <c r="B36" s="172"/>
      <c r="H36" s="167"/>
      <c r="I36" s="175"/>
      <c r="J36" s="175"/>
      <c r="K36" s="175"/>
      <c r="L36" s="179"/>
      <c r="M36" s="179"/>
      <c r="N36" s="180"/>
    </row>
    <row r="37" spans="1:14" s="9" customFormat="1" ht="27" customHeight="1" x14ac:dyDescent="0.4">
      <c r="A37" s="183" t="s">
        <v>39</v>
      </c>
      <c r="B37" s="273">
        <v>50</v>
      </c>
      <c r="C37" s="167"/>
      <c r="D37" s="368" t="s">
        <v>40</v>
      </c>
      <c r="E37" s="384"/>
      <c r="F37" s="229" t="s">
        <v>41</v>
      </c>
      <c r="G37" s="230"/>
      <c r="J37" s="175"/>
      <c r="K37" s="175"/>
      <c r="L37" s="179"/>
      <c r="M37" s="179"/>
      <c r="N37" s="180"/>
    </row>
    <row r="38" spans="1:14" s="9" customFormat="1" ht="26.25" customHeight="1" x14ac:dyDescent="0.4">
      <c r="A38" s="184" t="s">
        <v>42</v>
      </c>
      <c r="B38" s="274">
        <v>1</v>
      </c>
      <c r="C38" s="186" t="s">
        <v>43</v>
      </c>
      <c r="D38" s="187" t="s">
        <v>44</v>
      </c>
      <c r="E38" s="219" t="s">
        <v>45</v>
      </c>
      <c r="F38" s="187" t="s">
        <v>44</v>
      </c>
      <c r="G38" s="188" t="s">
        <v>45</v>
      </c>
      <c r="J38" s="175"/>
      <c r="K38" s="175"/>
      <c r="L38" s="179"/>
      <c r="M38" s="179"/>
      <c r="N38" s="180"/>
    </row>
    <row r="39" spans="1:14" s="9" customFormat="1" ht="26.25" customHeight="1" x14ac:dyDescent="0.4">
      <c r="A39" s="184" t="s">
        <v>46</v>
      </c>
      <c r="B39" s="274">
        <v>1</v>
      </c>
      <c r="C39" s="189">
        <v>1</v>
      </c>
      <c r="D39" s="275">
        <v>77965479</v>
      </c>
      <c r="E39" s="233">
        <f>IF(ISBLANK(D39),"-",$D$49/$D$46*D39)</f>
        <v>82970091.837359071</v>
      </c>
      <c r="F39" s="275">
        <v>93188042</v>
      </c>
      <c r="G39" s="225">
        <f>IF(ISBLANK(F39),"-",$D$49/$F$46*F39)</f>
        <v>81862244.232534677</v>
      </c>
      <c r="J39" s="175"/>
      <c r="K39" s="175"/>
      <c r="L39" s="179"/>
      <c r="M39" s="179"/>
      <c r="N39" s="180"/>
    </row>
    <row r="40" spans="1:14" s="9" customFormat="1" ht="26.25" customHeight="1" x14ac:dyDescent="0.4">
      <c r="A40" s="184" t="s">
        <v>47</v>
      </c>
      <c r="B40" s="274">
        <v>1</v>
      </c>
      <c r="C40" s="185">
        <v>2</v>
      </c>
      <c r="D40" s="276">
        <v>77915222</v>
      </c>
      <c r="E40" s="234">
        <f>IF(ISBLANK(D40),"-",$D$49/$D$46*D40)</f>
        <v>82916608.834894985</v>
      </c>
      <c r="F40" s="276">
        <v>93120973</v>
      </c>
      <c r="G40" s="226">
        <f>IF(ISBLANK(F40),"-",$D$49/$F$46*F40)</f>
        <v>81803326.599535897</v>
      </c>
      <c r="J40" s="175"/>
      <c r="K40" s="175"/>
      <c r="L40" s="179"/>
      <c r="M40" s="179"/>
      <c r="N40" s="180"/>
    </row>
    <row r="41" spans="1:14" ht="26.25" customHeight="1" x14ac:dyDescent="0.4">
      <c r="A41" s="184" t="s">
        <v>48</v>
      </c>
      <c r="B41" s="274">
        <v>1</v>
      </c>
      <c r="C41" s="185">
        <v>3</v>
      </c>
      <c r="D41" s="276">
        <v>78053337</v>
      </c>
      <c r="E41" s="234">
        <f>IF(ISBLANK(D41),"-",$D$49/$D$46*D41)</f>
        <v>83063589.452228427</v>
      </c>
      <c r="F41" s="276">
        <v>93024276</v>
      </c>
      <c r="G41" s="226">
        <f>IF(ISBLANK(F41),"-",$D$49/$F$46*F41)</f>
        <v>81718381.865633726</v>
      </c>
      <c r="L41" s="179"/>
      <c r="M41" s="179"/>
      <c r="N41" s="190"/>
    </row>
    <row r="42" spans="1:14" ht="26.25" customHeight="1" x14ac:dyDescent="0.4">
      <c r="A42" s="184" t="s">
        <v>49</v>
      </c>
      <c r="B42" s="274">
        <v>1</v>
      </c>
      <c r="C42" s="191">
        <v>4</v>
      </c>
      <c r="D42" s="277"/>
      <c r="E42" s="235" t="str">
        <f>IF(ISBLANK(D42),"-",$D$49/$D$46*D42)</f>
        <v>-</v>
      </c>
      <c r="F42" s="277"/>
      <c r="G42" s="227" t="str">
        <f>IF(ISBLANK(F42),"-",$D$49/$F$46*F42)</f>
        <v>-</v>
      </c>
      <c r="L42" s="179"/>
      <c r="M42" s="179"/>
      <c r="N42" s="190"/>
    </row>
    <row r="43" spans="1:14" ht="27" customHeight="1" x14ac:dyDescent="0.4">
      <c r="A43" s="184" t="s">
        <v>50</v>
      </c>
      <c r="B43" s="274">
        <v>1</v>
      </c>
      <c r="C43" s="192" t="s">
        <v>51</v>
      </c>
      <c r="D43" s="254">
        <f>AVERAGE(D39:D42)</f>
        <v>77978012.666666672</v>
      </c>
      <c r="E43" s="215">
        <f>AVERAGE(E39:E42)</f>
        <v>82983430.041494161</v>
      </c>
      <c r="F43" s="193">
        <f>AVERAGE(F39:F42)</f>
        <v>93111097</v>
      </c>
      <c r="G43" s="194">
        <f>AVERAGE(G39:G42)</f>
        <v>81794650.899234772</v>
      </c>
    </row>
    <row r="44" spans="1:14" ht="26.25" customHeight="1" x14ac:dyDescent="0.4">
      <c r="A44" s="184" t="s">
        <v>52</v>
      </c>
      <c r="B44" s="269">
        <v>1</v>
      </c>
      <c r="C44" s="255" t="s">
        <v>53</v>
      </c>
      <c r="D44" s="279">
        <v>9.98</v>
      </c>
      <c r="E44" s="190"/>
      <c r="F44" s="278">
        <v>12.09</v>
      </c>
      <c r="G44" s="231"/>
    </row>
    <row r="45" spans="1:14" ht="26.25" customHeight="1" x14ac:dyDescent="0.4">
      <c r="A45" s="184" t="s">
        <v>54</v>
      </c>
      <c r="B45" s="269">
        <v>1</v>
      </c>
      <c r="C45" s="256" t="s">
        <v>55</v>
      </c>
      <c r="D45" s="257">
        <f>D44*$B$35</f>
        <v>9.6914369301282353</v>
      </c>
      <c r="E45" s="196"/>
      <c r="F45" s="195">
        <f>F44*$B$35</f>
        <v>11.740428104734505</v>
      </c>
      <c r="G45" s="198"/>
    </row>
    <row r="46" spans="1:14" ht="19.5" customHeight="1" x14ac:dyDescent="0.3">
      <c r="A46" s="184" t="s">
        <v>56</v>
      </c>
      <c r="B46" s="253">
        <f>(B45/B44)*(B43/B42)*(B41/B40)*(B39/B38)*B37</f>
        <v>50</v>
      </c>
      <c r="C46" s="256" t="s">
        <v>57</v>
      </c>
      <c r="D46" s="258">
        <f>D45*$B$31/100</f>
        <v>9.3968172474523364</v>
      </c>
      <c r="E46" s="198"/>
      <c r="F46" s="197">
        <f>F45*$B$31/100</f>
        <v>11.383519090350577</v>
      </c>
      <c r="G46" s="198"/>
    </row>
    <row r="47" spans="1:14" ht="19.5" customHeight="1" x14ac:dyDescent="0.3">
      <c r="A47" s="370" t="s">
        <v>58</v>
      </c>
      <c r="B47" s="371"/>
      <c r="C47" s="256" t="s">
        <v>59</v>
      </c>
      <c r="D47" s="257">
        <f>D46/$B$46</f>
        <v>0.18793634494904674</v>
      </c>
      <c r="E47" s="198"/>
      <c r="F47" s="199">
        <f>F46/$B$46</f>
        <v>0.22767038180701152</v>
      </c>
      <c r="G47" s="198"/>
    </row>
    <row r="48" spans="1:14" ht="27" customHeight="1" x14ac:dyDescent="0.4">
      <c r="A48" s="372"/>
      <c r="B48" s="373"/>
      <c r="C48" s="256" t="s">
        <v>60</v>
      </c>
      <c r="D48" s="280">
        <v>0.2</v>
      </c>
      <c r="E48" s="231"/>
      <c r="F48" s="231"/>
      <c r="G48" s="231"/>
    </row>
    <row r="49" spans="1:12" ht="18.75" x14ac:dyDescent="0.3">
      <c r="C49" s="256" t="s">
        <v>61</v>
      </c>
      <c r="D49" s="258">
        <f>D48*$B$46</f>
        <v>10</v>
      </c>
      <c r="E49" s="198"/>
      <c r="F49" s="198"/>
      <c r="G49" s="198"/>
    </row>
    <row r="50" spans="1:12" ht="19.5" customHeight="1" x14ac:dyDescent="0.3">
      <c r="C50" s="259" t="s">
        <v>62</v>
      </c>
      <c r="D50" s="260">
        <f>D49/B35</f>
        <v>10.297750552319744</v>
      </c>
      <c r="E50" s="217"/>
      <c r="F50" s="217"/>
      <c r="G50" s="217"/>
    </row>
    <row r="51" spans="1:12" ht="18.75" x14ac:dyDescent="0.3">
      <c r="C51" s="261" t="s">
        <v>63</v>
      </c>
      <c r="D51" s="262">
        <f>AVERAGE(E39:E42,G39:G42)</f>
        <v>82389040.470364466</v>
      </c>
      <c r="E51" s="216"/>
      <c r="F51" s="216"/>
      <c r="G51" s="216"/>
    </row>
    <row r="52" spans="1:12" ht="18.75" x14ac:dyDescent="0.3">
      <c r="C52" s="200" t="s">
        <v>64</v>
      </c>
      <c r="D52" s="203">
        <f>STDEV(E39:E42,G39:G42)/D51</f>
        <v>7.9430387657007835E-3</v>
      </c>
      <c r="E52" s="196"/>
      <c r="F52" s="196"/>
      <c r="G52" s="196"/>
    </row>
    <row r="53" spans="1:12" ht="19.5" customHeight="1" x14ac:dyDescent="0.3">
      <c r="C53" s="201" t="s">
        <v>65</v>
      </c>
      <c r="D53" s="204">
        <f>COUNT(E39:E42,G39:G42)</f>
        <v>6</v>
      </c>
      <c r="E53" s="196"/>
      <c r="F53" s="196"/>
      <c r="G53" s="196"/>
    </row>
    <row r="55" spans="1:12" ht="18.75" x14ac:dyDescent="0.3">
      <c r="A55" s="166" t="s">
        <v>25</v>
      </c>
      <c r="B55" s="205" t="s">
        <v>66</v>
      </c>
    </row>
    <row r="56" spans="1:12" ht="18.75" x14ac:dyDescent="0.3">
      <c r="A56" s="167" t="s">
        <v>67</v>
      </c>
      <c r="B56" s="169" t="str">
        <f>B21</f>
        <v>Each 5 mL after reconstitution contains Amoxicillin Trihydrate USP equivalent to Amoxicillin 200 mg, Clavulanate USP  equivalent to Clavulanic Acid 28.5 mg.</v>
      </c>
    </row>
    <row r="57" spans="1:12" ht="26.25" customHeight="1" x14ac:dyDescent="0.4">
      <c r="A57" s="264" t="s">
        <v>68</v>
      </c>
      <c r="B57" s="281">
        <v>5</v>
      </c>
      <c r="C57" s="244" t="s">
        <v>69</v>
      </c>
      <c r="D57" s="282">
        <v>28.5</v>
      </c>
      <c r="E57" s="244" t="str">
        <f>B20</f>
        <v>Amoxicillin &amp; Clavulanate Potassium</v>
      </c>
    </row>
    <row r="58" spans="1:12" ht="18.75" x14ac:dyDescent="0.3">
      <c r="A58" s="169" t="s">
        <v>70</v>
      </c>
      <c r="B58" s="292">
        <f>'Relative density'!B19</f>
        <v>1.0720900536529492</v>
      </c>
    </row>
    <row r="59" spans="1:12" s="32" customFormat="1" ht="18.75" x14ac:dyDescent="0.3">
      <c r="A59" s="242" t="s">
        <v>71</v>
      </c>
      <c r="B59" s="243">
        <f>B57</f>
        <v>5</v>
      </c>
      <c r="C59" s="244" t="s">
        <v>72</v>
      </c>
      <c r="D59" s="265">
        <f>B58*B57</f>
        <v>5.3604502682647457</v>
      </c>
    </row>
    <row r="60" spans="1:12" ht="19.5" customHeight="1" x14ac:dyDescent="0.25"/>
    <row r="61" spans="1:12" s="9" customFormat="1" ht="27" customHeight="1" x14ac:dyDescent="0.4">
      <c r="A61" s="183" t="s">
        <v>73</v>
      </c>
      <c r="B61" s="273">
        <v>100</v>
      </c>
      <c r="C61" s="167"/>
      <c r="D61" s="207" t="s">
        <v>74</v>
      </c>
      <c r="E61" s="206" t="s">
        <v>75</v>
      </c>
      <c r="F61" s="206" t="s">
        <v>44</v>
      </c>
      <c r="G61" s="206" t="s">
        <v>76</v>
      </c>
      <c r="H61" s="186" t="s">
        <v>77</v>
      </c>
      <c r="L61" s="175"/>
    </row>
    <row r="62" spans="1:12" s="9" customFormat="1" ht="24" customHeight="1" x14ac:dyDescent="0.4">
      <c r="A62" s="184" t="s">
        <v>78</v>
      </c>
      <c r="B62" s="274">
        <v>1</v>
      </c>
      <c r="C62" s="374" t="s">
        <v>79</v>
      </c>
      <c r="D62" s="377">
        <v>4.5221799999999996</v>
      </c>
      <c r="E62" s="237">
        <v>1</v>
      </c>
      <c r="F62" s="283">
        <v>120670224</v>
      </c>
      <c r="G62" s="249">
        <f>IF(ISBLANK(F62),"-",(F62/$D$51*$D$48*$B$70)*$D$59/$D$62)</f>
        <v>34.722748594233011</v>
      </c>
      <c r="H62" s="246">
        <f t="shared" ref="H62:H73" si="0">IF(ISBLANK(F62),"-",G62/$D$57)</f>
        <v>1.2183420559380003</v>
      </c>
      <c r="L62" s="175"/>
    </row>
    <row r="63" spans="1:12" s="9" customFormat="1" ht="26.25" customHeight="1" x14ac:dyDescent="0.4">
      <c r="A63" s="184" t="s">
        <v>80</v>
      </c>
      <c r="B63" s="274">
        <v>1</v>
      </c>
      <c r="C63" s="375"/>
      <c r="D63" s="378"/>
      <c r="E63" s="238">
        <v>2</v>
      </c>
      <c r="F63" s="276">
        <v>121113079</v>
      </c>
      <c r="G63" s="250">
        <f>IF(ISBLANK(F63),"-",(F63/$D$51*$D$48*$B$70)*$D$59/$D$62)</f>
        <v>34.850179722799567</v>
      </c>
      <c r="H63" s="247">
        <f t="shared" si="0"/>
        <v>1.2228133236070022</v>
      </c>
      <c r="L63" s="175"/>
    </row>
    <row r="64" spans="1:12" s="9" customFormat="1" ht="24.75" customHeight="1" x14ac:dyDescent="0.4">
      <c r="A64" s="184" t="s">
        <v>81</v>
      </c>
      <c r="B64" s="274">
        <v>1</v>
      </c>
      <c r="C64" s="375"/>
      <c r="D64" s="378"/>
      <c r="E64" s="238">
        <v>3</v>
      </c>
      <c r="F64" s="276">
        <v>120668422</v>
      </c>
      <c r="G64" s="250">
        <f>IF(ISBLANK(F64),"-",(F64/$D$51*$D$48*$B$70)*$D$59/$D$62)</f>
        <v>34.722230070351209</v>
      </c>
      <c r="H64" s="247">
        <f t="shared" si="0"/>
        <v>1.2183238621175863</v>
      </c>
      <c r="L64" s="175"/>
    </row>
    <row r="65" spans="1:11" ht="27" customHeight="1" x14ac:dyDescent="0.4">
      <c r="A65" s="184" t="s">
        <v>82</v>
      </c>
      <c r="B65" s="274">
        <v>1</v>
      </c>
      <c r="C65" s="376"/>
      <c r="D65" s="379"/>
      <c r="E65" s="239">
        <v>4</v>
      </c>
      <c r="F65" s="284"/>
      <c r="G65" s="250" t="str">
        <f>IF(ISBLANK(F65),"-",(F65/$D$51*$D$48*$B$70)*$D$59/$D$62)</f>
        <v>-</v>
      </c>
      <c r="H65" s="247" t="str">
        <f t="shared" si="0"/>
        <v>-</v>
      </c>
    </row>
    <row r="66" spans="1:11" ht="24.75" customHeight="1" x14ac:dyDescent="0.4">
      <c r="A66" s="184" t="s">
        <v>83</v>
      </c>
      <c r="B66" s="274">
        <v>1</v>
      </c>
      <c r="C66" s="374" t="s">
        <v>84</v>
      </c>
      <c r="D66" s="377">
        <v>3.5</v>
      </c>
      <c r="E66" s="208">
        <v>1</v>
      </c>
      <c r="F66" s="276">
        <v>94305739</v>
      </c>
      <c r="G66" s="249">
        <f>IF(ISBLANK(F66),"-",(F66/$D$51*$D$48*$B$70)*$D$59/$D$66)</f>
        <v>35.061613676174204</v>
      </c>
      <c r="H66" s="246">
        <f t="shared" si="0"/>
        <v>1.2302320588131299</v>
      </c>
    </row>
    <row r="67" spans="1:11" ht="23.25" customHeight="1" x14ac:dyDescent="0.4">
      <c r="A67" s="184" t="s">
        <v>85</v>
      </c>
      <c r="B67" s="274">
        <v>1</v>
      </c>
      <c r="C67" s="375"/>
      <c r="D67" s="378"/>
      <c r="E67" s="209">
        <v>2</v>
      </c>
      <c r="F67" s="276">
        <v>93940117</v>
      </c>
      <c r="G67" s="250">
        <f>IF(ISBLANK(F67),"-",(F67/$D$51*$D$48*$B$70)*$D$59/$D$66)</f>
        <v>34.925680301901927</v>
      </c>
      <c r="H67" s="247">
        <f t="shared" si="0"/>
        <v>1.2254624667334009</v>
      </c>
    </row>
    <row r="68" spans="1:11" ht="24.75" customHeight="1" x14ac:dyDescent="0.4">
      <c r="A68" s="184" t="s">
        <v>86</v>
      </c>
      <c r="B68" s="274">
        <v>1</v>
      </c>
      <c r="C68" s="375"/>
      <c r="D68" s="378"/>
      <c r="E68" s="209">
        <v>3</v>
      </c>
      <c r="F68" s="276">
        <v>93500758</v>
      </c>
      <c r="G68" s="250">
        <f>IF(ISBLANK(F68),"-",(F68/$D$51*$D$48*$B$70)*$D$59/$D$66)</f>
        <v>34.762332496280585</v>
      </c>
      <c r="H68" s="247">
        <f t="shared" si="0"/>
        <v>1.2197309647817749</v>
      </c>
    </row>
    <row r="69" spans="1:11" ht="27" customHeight="1" x14ac:dyDescent="0.4">
      <c r="A69" s="184" t="s">
        <v>87</v>
      </c>
      <c r="B69" s="274">
        <v>1</v>
      </c>
      <c r="C69" s="376"/>
      <c r="D69" s="379"/>
      <c r="E69" s="210">
        <v>4</v>
      </c>
      <c r="F69" s="284"/>
      <c r="G69" s="251" t="str">
        <f>IF(ISBLANK(F69),"-",(F69/$D$51*$D$48*$B$70)*$D$59/$D$66)</f>
        <v>-</v>
      </c>
      <c r="H69" s="248" t="str">
        <f t="shared" si="0"/>
        <v>-</v>
      </c>
    </row>
    <row r="70" spans="1:11" ht="23.25" customHeight="1" x14ac:dyDescent="0.4">
      <c r="A70" s="184" t="s">
        <v>88</v>
      </c>
      <c r="B70" s="252">
        <f>(B69/B68)*(B67/B66)*(B65/B64)*(B63/B62)*B61</f>
        <v>100</v>
      </c>
      <c r="C70" s="374" t="s">
        <v>89</v>
      </c>
      <c r="D70" s="377">
        <v>3.657</v>
      </c>
      <c r="E70" s="208">
        <v>1</v>
      </c>
      <c r="F70" s="283">
        <v>98395870</v>
      </c>
      <c r="G70" s="249">
        <f>IF(ISBLANK(F70),"-",(F70/$D$51*$D$48*$B$70)*$D$59/$D$70)</f>
        <v>35.01174297462255</v>
      </c>
      <c r="H70" s="247">
        <f t="shared" si="0"/>
        <v>1.228482209635879</v>
      </c>
    </row>
    <row r="71" spans="1:11" ht="22.5" customHeight="1" x14ac:dyDescent="0.4">
      <c r="A71" s="263" t="s">
        <v>90</v>
      </c>
      <c r="B71" s="285">
        <f>(D48*B70)/D57*D59</f>
        <v>3.7617194865015757</v>
      </c>
      <c r="C71" s="375"/>
      <c r="D71" s="378"/>
      <c r="E71" s="209">
        <v>2</v>
      </c>
      <c r="F71" s="276">
        <v>98433012</v>
      </c>
      <c r="G71" s="250">
        <f>IF(ISBLANK(F71),"-",(F71/$D$51*$D$48*$B$70)*$D$59/$D$70)</f>
        <v>35.024959039052519</v>
      </c>
      <c r="H71" s="247">
        <f t="shared" si="0"/>
        <v>1.2289459311948252</v>
      </c>
    </row>
    <row r="72" spans="1:11" ht="23.25" customHeight="1" x14ac:dyDescent="0.4">
      <c r="A72" s="370" t="s">
        <v>58</v>
      </c>
      <c r="B72" s="381"/>
      <c r="C72" s="375"/>
      <c r="D72" s="378"/>
      <c r="E72" s="209">
        <v>3</v>
      </c>
      <c r="F72" s="276">
        <v>98254992</v>
      </c>
      <c r="G72" s="250">
        <f>IF(ISBLANK(F72),"-",(F72/$D$51*$D$48*$B$70)*$D$59/$D$70)</f>
        <v>34.961615013695138</v>
      </c>
      <c r="H72" s="247">
        <f t="shared" si="0"/>
        <v>1.2267233338138646</v>
      </c>
    </row>
    <row r="73" spans="1:11" ht="23.25" customHeight="1" x14ac:dyDescent="0.4">
      <c r="A73" s="372"/>
      <c r="B73" s="382"/>
      <c r="C73" s="380"/>
      <c r="D73" s="379"/>
      <c r="E73" s="210">
        <v>4</v>
      </c>
      <c r="F73" s="284"/>
      <c r="G73" s="251" t="str">
        <f>IF(ISBLANK(F73),"-",(F73/$D$51*$D$48*$B$70)*$D$59/$D$70)</f>
        <v>-</v>
      </c>
      <c r="H73" s="248" t="str">
        <f t="shared" si="0"/>
        <v>-</v>
      </c>
    </row>
    <row r="74" spans="1:11" ht="26.25" customHeight="1" x14ac:dyDescent="0.4">
      <c r="A74" s="211"/>
      <c r="B74" s="211"/>
      <c r="C74" s="211"/>
      <c r="D74" s="211"/>
      <c r="E74" s="211"/>
      <c r="F74" s="212"/>
      <c r="G74" s="202" t="s">
        <v>51</v>
      </c>
      <c r="H74" s="286">
        <f>AVERAGE(H62:H73)</f>
        <v>1.2243395785150517</v>
      </c>
    </row>
    <row r="75" spans="1:11" ht="26.25" customHeight="1" x14ac:dyDescent="0.4">
      <c r="C75" s="211"/>
      <c r="D75" s="211"/>
      <c r="E75" s="211"/>
      <c r="F75" s="212"/>
      <c r="G75" s="200" t="s">
        <v>64</v>
      </c>
      <c r="H75" s="287">
        <f>STDEV(H62:H73)/H74</f>
        <v>3.8284968258875409E-3</v>
      </c>
    </row>
    <row r="76" spans="1:11" ht="27" customHeight="1" x14ac:dyDescent="0.4">
      <c r="A76" s="211"/>
      <c r="B76" s="211"/>
      <c r="C76" s="212"/>
      <c r="D76" s="213"/>
      <c r="E76" s="213"/>
      <c r="F76" s="212"/>
      <c r="G76" s="201" t="s">
        <v>65</v>
      </c>
      <c r="H76" s="288">
        <f>COUNT(H62:H73)</f>
        <v>9</v>
      </c>
    </row>
    <row r="77" spans="1:11" ht="18.75" x14ac:dyDescent="0.3">
      <c r="A77" s="211"/>
      <c r="B77" s="211"/>
      <c r="C77" s="212"/>
      <c r="D77" s="213"/>
      <c r="E77" s="213"/>
      <c r="F77" s="213"/>
      <c r="G77" s="213"/>
      <c r="H77" s="212"/>
      <c r="I77" s="214"/>
      <c r="J77" s="218"/>
      <c r="K77" s="232"/>
    </row>
    <row r="78" spans="1:11" ht="26.25" customHeight="1" x14ac:dyDescent="0.4">
      <c r="A78" s="171" t="s">
        <v>91</v>
      </c>
      <c r="B78" s="290" t="s">
        <v>92</v>
      </c>
      <c r="C78" s="360" t="str">
        <f>B20</f>
        <v>Amoxicillin &amp; Clavulanate Potassium</v>
      </c>
      <c r="D78" s="360"/>
      <c r="E78" s="236" t="s">
        <v>93</v>
      </c>
      <c r="F78" s="236"/>
      <c r="G78" s="291">
        <f>H74</f>
        <v>1.2243395785150517</v>
      </c>
      <c r="H78" s="212"/>
      <c r="I78" s="214"/>
      <c r="J78" s="218"/>
      <c r="K78" s="232"/>
    </row>
    <row r="79" spans="1:11" ht="19.5" customHeight="1" x14ac:dyDescent="0.3">
      <c r="A79" s="222"/>
      <c r="B79" s="223"/>
      <c r="C79" s="224"/>
      <c r="D79" s="224"/>
      <c r="E79" s="223"/>
      <c r="F79" s="223"/>
      <c r="G79" s="223"/>
      <c r="H79" s="223"/>
    </row>
    <row r="80" spans="1:11" ht="18.75" x14ac:dyDescent="0.3">
      <c r="A80" s="166" t="s">
        <v>25</v>
      </c>
      <c r="B80" s="360" t="s">
        <v>94</v>
      </c>
      <c r="C80" s="360"/>
      <c r="D80" s="360"/>
      <c r="E80" s="360"/>
      <c r="F80" s="360"/>
      <c r="G80" s="360"/>
      <c r="H80" s="360"/>
    </row>
    <row r="81" spans="1:8" ht="26.25" customHeight="1" x14ac:dyDescent="0.4">
      <c r="A81" s="171" t="s">
        <v>27</v>
      </c>
      <c r="B81" s="383" t="s">
        <v>121</v>
      </c>
      <c r="C81" s="383"/>
    </row>
    <row r="82" spans="1:8" ht="26.25" customHeight="1" x14ac:dyDescent="0.4">
      <c r="A82" s="173" t="s">
        <v>28</v>
      </c>
      <c r="B82" s="361" t="s">
        <v>120</v>
      </c>
      <c r="C82" s="361"/>
    </row>
    <row r="83" spans="1:8" ht="27" customHeight="1" x14ac:dyDescent="0.4">
      <c r="A83" s="173" t="s">
        <v>29</v>
      </c>
      <c r="B83" s="269">
        <f>B29</f>
        <v>96.96</v>
      </c>
    </row>
    <row r="84" spans="1:8" ht="27" customHeight="1" x14ac:dyDescent="0.4">
      <c r="A84" s="173" t="s">
        <v>30</v>
      </c>
      <c r="B84" s="268">
        <v>0</v>
      </c>
      <c r="C84" s="362" t="s">
        <v>31</v>
      </c>
      <c r="D84" s="363"/>
      <c r="E84" s="363"/>
      <c r="F84" s="363"/>
      <c r="G84" s="363"/>
      <c r="H84" s="364"/>
    </row>
    <row r="85" spans="1:8" ht="19.5" customHeight="1" x14ac:dyDescent="0.3">
      <c r="A85" s="173" t="s">
        <v>32</v>
      </c>
      <c r="B85" s="172">
        <f>B83-B84</f>
        <v>96.96</v>
      </c>
      <c r="C85" s="176"/>
      <c r="D85" s="176"/>
      <c r="E85" s="176"/>
      <c r="F85" s="176"/>
      <c r="G85" s="176"/>
      <c r="H85" s="177"/>
    </row>
    <row r="86" spans="1:8" ht="27" customHeight="1" x14ac:dyDescent="0.4">
      <c r="A86" s="173" t="s">
        <v>33</v>
      </c>
      <c r="B86" s="289">
        <v>199.16</v>
      </c>
      <c r="C86" s="365" t="s">
        <v>34</v>
      </c>
      <c r="D86" s="366"/>
      <c r="E86" s="366"/>
      <c r="F86" s="366"/>
      <c r="G86" s="366"/>
      <c r="H86" s="367"/>
    </row>
    <row r="87" spans="1:8" ht="27" customHeight="1" x14ac:dyDescent="0.4">
      <c r="A87" s="173" t="s">
        <v>35</v>
      </c>
      <c r="B87" s="289">
        <v>205.09</v>
      </c>
      <c r="C87" s="365" t="s">
        <v>36</v>
      </c>
      <c r="D87" s="366"/>
      <c r="E87" s="366"/>
      <c r="F87" s="366"/>
      <c r="G87" s="366"/>
      <c r="H87" s="367"/>
    </row>
    <row r="88" spans="1:8" ht="18.75" x14ac:dyDescent="0.3">
      <c r="A88" s="173"/>
      <c r="B88" s="178"/>
      <c r="C88" s="181"/>
      <c r="D88" s="181"/>
      <c r="E88" s="181"/>
      <c r="F88" s="181"/>
      <c r="G88" s="181"/>
      <c r="H88" s="181"/>
    </row>
    <row r="89" spans="1:8" ht="18.75" x14ac:dyDescent="0.3">
      <c r="A89" s="173" t="s">
        <v>37</v>
      </c>
      <c r="B89" s="182">
        <f>B86/B87</f>
        <v>0.97108586474230818</v>
      </c>
      <c r="C89" s="167" t="s">
        <v>38</v>
      </c>
    </row>
    <row r="90" spans="1:8" ht="19.5" customHeight="1" x14ac:dyDescent="0.3">
      <c r="A90" s="173"/>
      <c r="B90" s="172"/>
      <c r="C90" s="174"/>
      <c r="D90" s="174"/>
      <c r="E90" s="174"/>
      <c r="F90" s="174"/>
      <c r="G90" s="174"/>
    </row>
    <row r="91" spans="1:8" ht="27" customHeight="1" x14ac:dyDescent="0.4">
      <c r="A91" s="183" t="s">
        <v>39</v>
      </c>
      <c r="B91" s="273">
        <v>50</v>
      </c>
      <c r="D91" s="368" t="s">
        <v>40</v>
      </c>
      <c r="E91" s="369"/>
      <c r="F91" s="229" t="s">
        <v>41</v>
      </c>
      <c r="G91" s="230"/>
      <c r="H91" s="174"/>
    </row>
    <row r="92" spans="1:8" ht="26.25" customHeight="1" x14ac:dyDescent="0.4">
      <c r="A92" s="184" t="s">
        <v>42</v>
      </c>
      <c r="B92" s="274">
        <v>1</v>
      </c>
      <c r="C92" s="186" t="s">
        <v>43</v>
      </c>
      <c r="D92" s="187" t="s">
        <v>44</v>
      </c>
      <c r="E92" s="188" t="s">
        <v>45</v>
      </c>
      <c r="F92" s="187" t="s">
        <v>44</v>
      </c>
      <c r="G92" s="188" t="s">
        <v>45</v>
      </c>
      <c r="H92" s="174"/>
    </row>
    <row r="93" spans="1:8" ht="26.25" customHeight="1" x14ac:dyDescent="0.4">
      <c r="A93" s="184" t="s">
        <v>46</v>
      </c>
      <c r="B93" s="274">
        <v>1</v>
      </c>
      <c r="C93" s="189">
        <v>1</v>
      </c>
      <c r="D93" s="275">
        <v>77965479</v>
      </c>
      <c r="E93" s="225">
        <f>IF(ISBLANK(D93),"-",$D$103/$D$100*D93)</f>
        <v>82970091.837359071</v>
      </c>
      <c r="F93" s="275">
        <v>93188042</v>
      </c>
      <c r="G93" s="225">
        <f>IF(ISBLANK(F93),"-",$D$103/$F$100*F93)</f>
        <v>81862244.232534677</v>
      </c>
      <c r="H93" s="174"/>
    </row>
    <row r="94" spans="1:8" ht="26.25" customHeight="1" x14ac:dyDescent="0.4">
      <c r="A94" s="184" t="s">
        <v>47</v>
      </c>
      <c r="B94" s="274">
        <v>1</v>
      </c>
      <c r="C94" s="185">
        <v>2</v>
      </c>
      <c r="D94" s="276">
        <v>77915222</v>
      </c>
      <c r="E94" s="226">
        <f>IF(ISBLANK(D94),"-",$D$103/$D$100*D94)</f>
        <v>82916608.834894985</v>
      </c>
      <c r="F94" s="276">
        <v>93120973</v>
      </c>
      <c r="G94" s="226">
        <f>IF(ISBLANK(F94),"-",$D$103/$F$100*F94)</f>
        <v>81803326.599535897</v>
      </c>
      <c r="H94" s="174"/>
    </row>
    <row r="95" spans="1:8" ht="26.25" customHeight="1" x14ac:dyDescent="0.4">
      <c r="A95" s="184" t="s">
        <v>48</v>
      </c>
      <c r="B95" s="274">
        <v>1</v>
      </c>
      <c r="C95" s="185">
        <v>3</v>
      </c>
      <c r="D95" s="276">
        <v>78053337</v>
      </c>
      <c r="E95" s="226">
        <f>IF(ISBLANK(D95),"-",$D$103/$D$100*D95)</f>
        <v>83063589.452228427</v>
      </c>
      <c r="F95" s="276">
        <v>93024276</v>
      </c>
      <c r="G95" s="226">
        <f>IF(ISBLANK(F95),"-",$D$103/$F$100*F95)</f>
        <v>81718381.865633726</v>
      </c>
    </row>
    <row r="96" spans="1:8" ht="26.25" customHeight="1" x14ac:dyDescent="0.4">
      <c r="A96" s="184" t="s">
        <v>49</v>
      </c>
      <c r="B96" s="274">
        <v>1</v>
      </c>
      <c r="C96" s="191">
        <v>4</v>
      </c>
      <c r="D96" s="277"/>
      <c r="E96" s="227" t="str">
        <f>IF(ISBLANK(D96),"-",$D$103/$D$100*D96)</f>
        <v>-</v>
      </c>
      <c r="F96" s="277"/>
      <c r="G96" s="227" t="str">
        <f>IF(ISBLANK(F96),"-",$D$103/$F$100*F96)</f>
        <v>-</v>
      </c>
    </row>
    <row r="97" spans="1:7" ht="27" customHeight="1" x14ac:dyDescent="0.4">
      <c r="A97" s="184" t="s">
        <v>50</v>
      </c>
      <c r="B97" s="274">
        <v>1</v>
      </c>
      <c r="C97" s="192" t="s">
        <v>51</v>
      </c>
      <c r="D97" s="193">
        <f>AVERAGE(D93:D96)</f>
        <v>77978012.666666672</v>
      </c>
      <c r="E97" s="194">
        <f>AVERAGE(E93:E96)</f>
        <v>82983430.041494161</v>
      </c>
      <c r="F97" s="193">
        <f>AVERAGE(F93:F96)</f>
        <v>93111097</v>
      </c>
      <c r="G97" s="194">
        <f>AVERAGE(G93:G96)</f>
        <v>81794650.899234772</v>
      </c>
    </row>
    <row r="98" spans="1:7" ht="26.25" customHeight="1" x14ac:dyDescent="0.4">
      <c r="A98" s="184" t="s">
        <v>52</v>
      </c>
      <c r="B98" s="269">
        <v>1</v>
      </c>
      <c r="C98" s="255" t="s">
        <v>53</v>
      </c>
      <c r="D98" s="279">
        <v>9.98</v>
      </c>
      <c r="E98" s="190"/>
      <c r="F98" s="278">
        <v>12.09</v>
      </c>
      <c r="G98" s="231"/>
    </row>
    <row r="99" spans="1:7" ht="26.25" customHeight="1" x14ac:dyDescent="0.4">
      <c r="A99" s="184" t="s">
        <v>54</v>
      </c>
      <c r="B99" s="269">
        <v>1</v>
      </c>
      <c r="C99" s="256" t="s">
        <v>55</v>
      </c>
      <c r="D99" s="257">
        <f>D98*$B$89</f>
        <v>9.6914369301282353</v>
      </c>
      <c r="E99" s="196"/>
      <c r="F99" s="195">
        <f>F98*$B$89</f>
        <v>11.740428104734505</v>
      </c>
      <c r="G99" s="198"/>
    </row>
    <row r="100" spans="1:7" ht="19.5" customHeight="1" x14ac:dyDescent="0.3">
      <c r="A100" s="184" t="s">
        <v>56</v>
      </c>
      <c r="B100" s="253">
        <f>(B99/B98)*(B97/B96)*(B95/B94)*(B93/B92)*B91</f>
        <v>50</v>
      </c>
      <c r="C100" s="256" t="s">
        <v>57</v>
      </c>
      <c r="D100" s="258">
        <f>D99*$B$85/100</f>
        <v>9.3968172474523364</v>
      </c>
      <c r="E100" s="198"/>
      <c r="F100" s="197">
        <f>F99*$B$85/100</f>
        <v>11.383519090350577</v>
      </c>
      <c r="G100" s="198"/>
    </row>
    <row r="101" spans="1:7" ht="19.5" customHeight="1" x14ac:dyDescent="0.3">
      <c r="A101" s="370" t="s">
        <v>58</v>
      </c>
      <c r="B101" s="371"/>
      <c r="C101" s="256" t="s">
        <v>59</v>
      </c>
      <c r="D101" s="257">
        <f>D100/$B$100</f>
        <v>0.18793634494904674</v>
      </c>
      <c r="E101" s="198"/>
      <c r="F101" s="199">
        <f>F100/$B$100</f>
        <v>0.22767038180701152</v>
      </c>
      <c r="G101" s="198"/>
    </row>
    <row r="102" spans="1:7" ht="27" customHeight="1" x14ac:dyDescent="0.4">
      <c r="A102" s="372"/>
      <c r="B102" s="373"/>
      <c r="C102" s="256" t="s">
        <v>60</v>
      </c>
      <c r="D102" s="280">
        <v>0.2</v>
      </c>
      <c r="E102" s="231"/>
      <c r="F102" s="231"/>
      <c r="G102" s="231"/>
    </row>
    <row r="103" spans="1:7" ht="18.75" x14ac:dyDescent="0.3">
      <c r="C103" s="256" t="s">
        <v>61</v>
      </c>
      <c r="D103" s="258">
        <f>D102*$B$100</f>
        <v>10</v>
      </c>
      <c r="E103" s="198"/>
      <c r="F103" s="198"/>
      <c r="G103" s="198"/>
    </row>
    <row r="104" spans="1:7" ht="19.5" customHeight="1" x14ac:dyDescent="0.3">
      <c r="C104" s="259" t="s">
        <v>62</v>
      </c>
      <c r="D104" s="260">
        <f>D103/B89</f>
        <v>10.297750552319744</v>
      </c>
      <c r="E104" s="217"/>
      <c r="F104" s="217"/>
      <c r="G104" s="217"/>
    </row>
    <row r="105" spans="1:7" ht="18.75" x14ac:dyDescent="0.3">
      <c r="C105" s="261" t="s">
        <v>63</v>
      </c>
      <c r="D105" s="262">
        <f>AVERAGE(E93:E96,G93:G96)</f>
        <v>82389040.470364466</v>
      </c>
      <c r="E105" s="216"/>
      <c r="F105" s="216"/>
      <c r="G105" s="216"/>
    </row>
    <row r="106" spans="1:7" ht="18.75" x14ac:dyDescent="0.3">
      <c r="C106" s="200" t="s">
        <v>64</v>
      </c>
      <c r="D106" s="203">
        <f>STDEV(E93:E96,G93:G96)/D105</f>
        <v>7.9430387657007835E-3</v>
      </c>
      <c r="E106" s="196"/>
      <c r="F106" s="196"/>
      <c r="G106" s="196"/>
    </row>
    <row r="107" spans="1:7" ht="19.5" customHeight="1" x14ac:dyDescent="0.3">
      <c r="C107" s="201" t="s">
        <v>65</v>
      </c>
      <c r="D107" s="204">
        <f>COUNT(E93:E96,G93:G96)</f>
        <v>6</v>
      </c>
      <c r="E107" s="196"/>
      <c r="F107" s="196"/>
      <c r="G107" s="196"/>
    </row>
    <row r="109" spans="1:7" ht="18.75" x14ac:dyDescent="0.3">
      <c r="A109" s="166" t="s">
        <v>25</v>
      </c>
      <c r="B109" s="205" t="s">
        <v>66</v>
      </c>
    </row>
    <row r="110" spans="1:7" ht="18.75" x14ac:dyDescent="0.3">
      <c r="A110" s="167" t="s">
        <v>67</v>
      </c>
      <c r="B110" s="169" t="str">
        <f>B21</f>
        <v>Each 5 mL after reconstitution contains Amoxicillin Trihydrate USP equivalent to Amoxicillin 200 mg, Clavulanate USP  equivalent to Clavulanic Acid 28.5 mg.</v>
      </c>
    </row>
    <row r="111" spans="1:7" ht="26.25" customHeight="1" x14ac:dyDescent="0.4">
      <c r="A111" s="264" t="s">
        <v>68</v>
      </c>
      <c r="B111" s="281">
        <v>5</v>
      </c>
      <c r="C111" s="244" t="s">
        <v>69</v>
      </c>
      <c r="D111" s="282">
        <v>28.5</v>
      </c>
      <c r="E111" s="244" t="str">
        <f>B20</f>
        <v>Amoxicillin &amp; Clavulanate Potassium</v>
      </c>
    </row>
    <row r="112" spans="1:7" ht="18.75" x14ac:dyDescent="0.3">
      <c r="A112" s="169" t="s">
        <v>70</v>
      </c>
      <c r="B112" s="292">
        <f>B58</f>
        <v>1.0720900536529492</v>
      </c>
    </row>
    <row r="113" spans="1:8" ht="18.75" x14ac:dyDescent="0.3">
      <c r="A113" s="242" t="s">
        <v>71</v>
      </c>
      <c r="B113" s="243">
        <f>B111</f>
        <v>5</v>
      </c>
      <c r="C113" s="244" t="s">
        <v>72</v>
      </c>
      <c r="D113" s="265">
        <f>B112*B111</f>
        <v>5.3604502682647457</v>
      </c>
      <c r="E113" s="245"/>
      <c r="F113" s="245"/>
      <c r="G113" s="245"/>
      <c r="H113" s="245"/>
    </row>
    <row r="114" spans="1:8" ht="19.5" customHeight="1" x14ac:dyDescent="0.25"/>
    <row r="115" spans="1:8" ht="27" customHeight="1" x14ac:dyDescent="0.4">
      <c r="A115" s="183" t="s">
        <v>73</v>
      </c>
      <c r="B115" s="273">
        <v>100</v>
      </c>
      <c r="D115" s="207" t="s">
        <v>74</v>
      </c>
      <c r="E115" s="206" t="s">
        <v>75</v>
      </c>
      <c r="F115" s="206" t="s">
        <v>44</v>
      </c>
      <c r="G115" s="206" t="s">
        <v>76</v>
      </c>
      <c r="H115" s="186" t="s">
        <v>77</v>
      </c>
    </row>
    <row r="116" spans="1:8" ht="26.25" customHeight="1" x14ac:dyDescent="0.4">
      <c r="A116" s="184" t="s">
        <v>78</v>
      </c>
      <c r="B116" s="274">
        <v>1</v>
      </c>
      <c r="C116" s="374" t="s">
        <v>79</v>
      </c>
      <c r="D116" s="377">
        <v>3.6401150000000002</v>
      </c>
      <c r="E116" s="237">
        <v>1</v>
      </c>
      <c r="F116" s="283">
        <v>80072832</v>
      </c>
      <c r="G116" s="249">
        <f>IF(ISBLANK(F116),"-",(F116/$D$105*$D$102*$B$124)*$D$113/$D$116)</f>
        <v>28.624104349015354</v>
      </c>
      <c r="H116" s="296">
        <f t="shared" ref="H116:H127" si="1">IF(ISBLANK(F116),"-",G116/$D$111)</f>
        <v>1.0043545385619423</v>
      </c>
    </row>
    <row r="117" spans="1:8" ht="26.25" customHeight="1" x14ac:dyDescent="0.4">
      <c r="A117" s="184" t="s">
        <v>80</v>
      </c>
      <c r="B117" s="274">
        <v>1</v>
      </c>
      <c r="C117" s="375"/>
      <c r="D117" s="378"/>
      <c r="E117" s="238">
        <v>2</v>
      </c>
      <c r="F117" s="276">
        <v>79621840</v>
      </c>
      <c r="G117" s="250">
        <f>IF(ISBLANK(F117),"-",(F117/$D$105*$D$102*$B$124)*$D$113/$D$116)</f>
        <v>28.462885596710315</v>
      </c>
      <c r="H117" s="297">
        <f t="shared" si="1"/>
        <v>0.99869774023544966</v>
      </c>
    </row>
    <row r="118" spans="1:8" ht="26.25" customHeight="1" x14ac:dyDescent="0.4">
      <c r="A118" s="184" t="s">
        <v>81</v>
      </c>
      <c r="B118" s="274">
        <v>1</v>
      </c>
      <c r="C118" s="375"/>
      <c r="D118" s="378"/>
      <c r="E118" s="238">
        <v>3</v>
      </c>
      <c r="F118" s="276">
        <v>80066004</v>
      </c>
      <c r="G118" s="250">
        <f>IF(ISBLANK(F118),"-",(F118/$D$105*$D$102*$B$124)*$D$113/$D$116)</f>
        <v>28.621663503854595</v>
      </c>
      <c r="H118" s="297">
        <f t="shared" si="1"/>
        <v>1.004268894872091</v>
      </c>
    </row>
    <row r="119" spans="1:8" ht="27" customHeight="1" x14ac:dyDescent="0.4">
      <c r="A119" s="184" t="s">
        <v>82</v>
      </c>
      <c r="B119" s="274">
        <v>1</v>
      </c>
      <c r="C119" s="376"/>
      <c r="D119" s="379"/>
      <c r="E119" s="239">
        <v>4</v>
      </c>
      <c r="F119" s="284"/>
      <c r="G119" s="251" t="str">
        <f>IF(ISBLANK(F119),"-",(F119/$D$105*$D$102*$B$124)*$D$113/$D$116)</f>
        <v>-</v>
      </c>
      <c r="H119" s="298" t="str">
        <f t="shared" si="1"/>
        <v>-</v>
      </c>
    </row>
    <row r="120" spans="1:8" ht="26.25" customHeight="1" x14ac:dyDescent="0.4">
      <c r="A120" s="184" t="s">
        <v>83</v>
      </c>
      <c r="B120" s="274">
        <v>1</v>
      </c>
      <c r="C120" s="374" t="s">
        <v>84</v>
      </c>
      <c r="D120" s="377">
        <v>3.61084</v>
      </c>
      <c r="E120" s="208">
        <v>1</v>
      </c>
      <c r="F120" s="276">
        <v>80703240</v>
      </c>
      <c r="G120" s="249">
        <f>IF(ISBLANK(F120),"-",(F120/$D$105*$D$102*$B$124)*$D$113/$D$120)</f>
        <v>29.08335790320525</v>
      </c>
      <c r="H120" s="296">
        <f t="shared" si="1"/>
        <v>1.0204686983580791</v>
      </c>
    </row>
    <row r="121" spans="1:8" ht="26.25" customHeight="1" x14ac:dyDescent="0.4">
      <c r="A121" s="184" t="s">
        <v>85</v>
      </c>
      <c r="B121" s="274">
        <v>1</v>
      </c>
      <c r="C121" s="375"/>
      <c r="D121" s="378"/>
      <c r="E121" s="209">
        <v>2</v>
      </c>
      <c r="F121" s="276">
        <v>80689012</v>
      </c>
      <c r="G121" s="250">
        <f>IF(ISBLANK(F121),"-",(F121/$D$105*$D$102*$B$124)*$D$113/$D$120)</f>
        <v>29.078230500436209</v>
      </c>
      <c r="H121" s="297">
        <f t="shared" si="1"/>
        <v>1.0202887894889898</v>
      </c>
    </row>
    <row r="122" spans="1:8" ht="26.25" customHeight="1" x14ac:dyDescent="0.4">
      <c r="A122" s="184" t="s">
        <v>86</v>
      </c>
      <c r="B122" s="274">
        <v>1</v>
      </c>
      <c r="C122" s="375"/>
      <c r="D122" s="378"/>
      <c r="E122" s="209">
        <v>3</v>
      </c>
      <c r="F122" s="276">
        <v>80629849</v>
      </c>
      <c r="G122" s="250">
        <f>IF(ISBLANK(F122),"-",(F122/$D$105*$D$102*$B$124)*$D$113/$D$120)</f>
        <v>29.056909687249185</v>
      </c>
      <c r="H122" s="297">
        <f t="shared" si="1"/>
        <v>1.0195406907806732</v>
      </c>
    </row>
    <row r="123" spans="1:8" ht="27" customHeight="1" x14ac:dyDescent="0.4">
      <c r="A123" s="184" t="s">
        <v>87</v>
      </c>
      <c r="B123" s="274">
        <v>1</v>
      </c>
      <c r="C123" s="376"/>
      <c r="D123" s="379"/>
      <c r="E123" s="210">
        <v>4</v>
      </c>
      <c r="F123" s="284"/>
      <c r="G123" s="251" t="str">
        <f>IF(ISBLANK(F123),"-",(F123/$D$105*$D$102*$B$124)*$D$113/$D$120)</f>
        <v>-</v>
      </c>
      <c r="H123" s="298" t="str">
        <f t="shared" si="1"/>
        <v>-</v>
      </c>
    </row>
    <row r="124" spans="1:8" ht="26.25" customHeight="1" x14ac:dyDescent="0.4">
      <c r="A124" s="184" t="s">
        <v>88</v>
      </c>
      <c r="B124" s="252">
        <f>(B123/B122)*(B121/B120)*(B119/B118)*(B117/B116)*B115</f>
        <v>100</v>
      </c>
      <c r="C124" s="374" t="s">
        <v>89</v>
      </c>
      <c r="D124" s="377">
        <v>3.9857300000000002</v>
      </c>
      <c r="E124" s="208">
        <v>1</v>
      </c>
      <c r="F124" s="283">
        <v>87888449</v>
      </c>
      <c r="G124" s="249">
        <f>IF(ISBLANK(F124),"-",(F124/$D$105*$D$102*$B$124)*$D$113/$D$124)</f>
        <v>28.693646709647332</v>
      </c>
      <c r="H124" s="296">
        <f t="shared" si="1"/>
        <v>1.0067946213911345</v>
      </c>
    </row>
    <row r="125" spans="1:8" ht="27" customHeight="1" x14ac:dyDescent="0.4">
      <c r="A125" s="263" t="s">
        <v>90</v>
      </c>
      <c r="B125" s="285">
        <f>(D102*B124)/D111*D113</f>
        <v>3.7617194865015757</v>
      </c>
      <c r="C125" s="375"/>
      <c r="D125" s="378"/>
      <c r="E125" s="209">
        <v>2</v>
      </c>
      <c r="F125" s="276">
        <v>87948889</v>
      </c>
      <c r="G125" s="250">
        <f>IF(ISBLANK(F125),"-",(F125/$D$105*$D$102*$B$124)*$D$113/$D$124)</f>
        <v>28.713379041106855</v>
      </c>
      <c r="H125" s="297">
        <f t="shared" si="1"/>
        <v>1.0074869838984861</v>
      </c>
    </row>
    <row r="126" spans="1:8" ht="26.25" customHeight="1" x14ac:dyDescent="0.4">
      <c r="A126" s="370" t="s">
        <v>58</v>
      </c>
      <c r="B126" s="381"/>
      <c r="C126" s="375"/>
      <c r="D126" s="378"/>
      <c r="E126" s="209">
        <v>3</v>
      </c>
      <c r="F126" s="276">
        <v>87949981</v>
      </c>
      <c r="G126" s="250">
        <f>IF(ISBLANK(F126),"-",(F126/$D$105*$D$102*$B$124)*$D$113/$D$124)</f>
        <v>28.71373555510344</v>
      </c>
      <c r="H126" s="297">
        <f t="shared" si="1"/>
        <v>1.0074994931615242</v>
      </c>
    </row>
    <row r="127" spans="1:8" ht="27" customHeight="1" x14ac:dyDescent="0.4">
      <c r="A127" s="372"/>
      <c r="B127" s="382"/>
      <c r="C127" s="380"/>
      <c r="D127" s="379"/>
      <c r="E127" s="210">
        <v>4</v>
      </c>
      <c r="F127" s="284"/>
      <c r="G127" s="251" t="str">
        <f>IF(ISBLANK(F127),"-",(F127/$D$105*$D$102*$B$124)*$D$113/$D$124)</f>
        <v>-</v>
      </c>
      <c r="H127" s="298" t="str">
        <f t="shared" si="1"/>
        <v>-</v>
      </c>
    </row>
    <row r="128" spans="1:8" ht="26.25" customHeight="1" x14ac:dyDescent="0.4">
      <c r="A128" s="211"/>
      <c r="B128" s="211"/>
      <c r="C128" s="211"/>
      <c r="D128" s="211"/>
      <c r="E128" s="211"/>
      <c r="F128" s="212"/>
      <c r="G128" s="202" t="s">
        <v>51</v>
      </c>
      <c r="H128" s="286">
        <f>AVERAGE(H116:H127)</f>
        <v>1.0099333834164854</v>
      </c>
    </row>
    <row r="129" spans="1:9" ht="26.25" customHeight="1" x14ac:dyDescent="0.4">
      <c r="C129" s="211"/>
      <c r="D129" s="211"/>
      <c r="E129" s="211"/>
      <c r="F129" s="212"/>
      <c r="G129" s="200" t="s">
        <v>64</v>
      </c>
      <c r="H129" s="287">
        <f>STDEV(H116:H127)/H128</f>
        <v>7.9962879483770465E-3</v>
      </c>
    </row>
    <row r="130" spans="1:9" ht="27" customHeight="1" x14ac:dyDescent="0.4">
      <c r="A130" s="211"/>
      <c r="B130" s="211"/>
      <c r="C130" s="212"/>
      <c r="D130" s="213"/>
      <c r="E130" s="213"/>
      <c r="F130" s="212"/>
      <c r="G130" s="201" t="s">
        <v>65</v>
      </c>
      <c r="H130" s="288">
        <f>COUNT(H116:H127)</f>
        <v>9</v>
      </c>
    </row>
    <row r="131" spans="1:9" ht="18.75" x14ac:dyDescent="0.3">
      <c r="A131" s="211"/>
      <c r="B131" s="211"/>
      <c r="C131" s="212"/>
      <c r="D131" s="213"/>
      <c r="E131" s="213"/>
      <c r="F131" s="213"/>
      <c r="G131" s="213"/>
      <c r="H131" s="212"/>
    </row>
    <row r="132" spans="1:9" ht="26.25" customHeight="1" x14ac:dyDescent="0.4">
      <c r="A132" s="171" t="s">
        <v>91</v>
      </c>
      <c r="B132" s="290" t="s">
        <v>92</v>
      </c>
      <c r="C132" s="360" t="str">
        <f>B20</f>
        <v>Amoxicillin &amp; Clavulanate Potassium</v>
      </c>
      <c r="D132" s="360"/>
      <c r="E132" s="236" t="s">
        <v>93</v>
      </c>
      <c r="F132" s="236"/>
      <c r="G132" s="291">
        <f>H128</f>
        <v>1.0099333834164854</v>
      </c>
      <c r="H132" s="212"/>
    </row>
    <row r="133" spans="1:9" ht="19.5" customHeight="1" x14ac:dyDescent="0.3">
      <c r="A133" s="294"/>
      <c r="B133" s="223"/>
      <c r="C133" s="224"/>
      <c r="D133" s="224"/>
      <c r="E133" s="223"/>
      <c r="F133" s="223"/>
      <c r="G133" s="223"/>
      <c r="H133" s="223"/>
    </row>
    <row r="134" spans="1:9" ht="83.1" customHeight="1" x14ac:dyDescent="0.3">
      <c r="A134" s="218" t="s">
        <v>22</v>
      </c>
      <c r="B134" s="266" t="s">
        <v>111</v>
      </c>
      <c r="C134" s="266"/>
      <c r="D134" s="211"/>
      <c r="E134" s="220"/>
      <c r="F134" s="214"/>
      <c r="G134" s="240"/>
      <c r="H134" s="240"/>
      <c r="I134" s="214"/>
    </row>
    <row r="135" spans="1:9" ht="83.1" customHeight="1" x14ac:dyDescent="0.3">
      <c r="A135" s="218" t="s">
        <v>23</v>
      </c>
      <c r="B135" s="267"/>
      <c r="C135" s="267"/>
      <c r="D135" s="228"/>
      <c r="E135" s="221"/>
      <c r="F135" s="214"/>
      <c r="G135" s="241"/>
      <c r="H135" s="241"/>
      <c r="I135" s="236"/>
    </row>
    <row r="136" spans="1:9" ht="18.75" x14ac:dyDescent="0.3">
      <c r="A136" s="211"/>
      <c r="B136" s="212"/>
      <c r="C136" s="213"/>
      <c r="D136" s="213"/>
      <c r="E136" s="213"/>
      <c r="F136" s="213"/>
      <c r="G136" s="212"/>
      <c r="H136" s="212"/>
      <c r="I136" s="214"/>
    </row>
    <row r="137" spans="1:9" ht="18.75" x14ac:dyDescent="0.3">
      <c r="A137" s="211"/>
      <c r="B137" s="211"/>
      <c r="C137" s="212"/>
      <c r="D137" s="213"/>
      <c r="E137" s="213"/>
      <c r="F137" s="213"/>
      <c r="G137" s="213"/>
      <c r="H137" s="212"/>
      <c r="I137" s="214"/>
    </row>
    <row r="138" spans="1:9" ht="27" customHeight="1" x14ac:dyDescent="0.3">
      <c r="A138" s="211"/>
      <c r="B138" s="211"/>
      <c r="C138" s="212"/>
      <c r="D138" s="213"/>
      <c r="E138" s="213"/>
      <c r="F138" s="213"/>
      <c r="G138" s="213"/>
      <c r="H138" s="212"/>
      <c r="I138" s="214"/>
    </row>
    <row r="139" spans="1:9" ht="18.75" x14ac:dyDescent="0.3">
      <c r="A139" s="211"/>
      <c r="B139" s="211"/>
      <c r="C139" s="212"/>
      <c r="D139" s="213"/>
      <c r="E139" s="213"/>
      <c r="F139" s="213"/>
      <c r="G139" s="213"/>
      <c r="H139" s="212"/>
      <c r="I139" s="214"/>
    </row>
    <row r="140" spans="1:9" ht="27" customHeight="1" x14ac:dyDescent="0.3">
      <c r="A140" s="211"/>
      <c r="B140" s="211"/>
      <c r="C140" s="212"/>
      <c r="D140" s="213"/>
      <c r="E140" s="213"/>
      <c r="F140" s="213"/>
      <c r="G140" s="213"/>
      <c r="H140" s="212"/>
      <c r="I140" s="214"/>
    </row>
    <row r="141" spans="1:9" ht="27" customHeight="1" x14ac:dyDescent="0.3">
      <c r="A141" s="211"/>
      <c r="B141" s="211"/>
      <c r="C141" s="212"/>
      <c r="D141" s="213"/>
      <c r="E141" s="213"/>
      <c r="F141" s="213"/>
      <c r="G141" s="213"/>
      <c r="H141" s="212"/>
      <c r="I141" s="214"/>
    </row>
    <row r="142" spans="1:9" ht="18.75" x14ac:dyDescent="0.3">
      <c r="A142" s="211"/>
      <c r="B142" s="211"/>
      <c r="C142" s="212"/>
      <c r="D142" s="213"/>
      <c r="E142" s="213"/>
      <c r="F142" s="213"/>
      <c r="G142" s="213"/>
      <c r="H142" s="212"/>
      <c r="I142" s="214"/>
    </row>
    <row r="143" spans="1:9" ht="18.75" x14ac:dyDescent="0.3">
      <c r="A143" s="211"/>
      <c r="B143" s="211"/>
      <c r="C143" s="212"/>
      <c r="D143" s="213"/>
      <c r="E143" s="213"/>
      <c r="F143" s="213"/>
      <c r="G143" s="213"/>
      <c r="H143" s="212"/>
      <c r="I143" s="214"/>
    </row>
    <row r="144" spans="1:9" ht="18.75" x14ac:dyDescent="0.3">
      <c r="A144" s="211"/>
      <c r="B144" s="211"/>
      <c r="C144" s="212"/>
      <c r="D144" s="213"/>
      <c r="E144" s="213"/>
      <c r="F144" s="213"/>
      <c r="G144" s="213"/>
      <c r="H144" s="212"/>
      <c r="I144" s="214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2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S24"/>
  <sheetViews>
    <sheetView topLeftCell="A16" workbookViewId="0">
      <selection activeCell="R11" sqref="R11"/>
    </sheetView>
  </sheetViews>
  <sheetFormatPr defaultRowHeight="12.75" x14ac:dyDescent="0.2"/>
  <sheetData>
    <row r="3" spans="7:19" x14ac:dyDescent="0.2">
      <c r="M3">
        <v>1000</v>
      </c>
      <c r="N3">
        <v>10000</v>
      </c>
    </row>
    <row r="4" spans="7:19" x14ac:dyDescent="0.2">
      <c r="N4">
        <v>3450</v>
      </c>
    </row>
    <row r="6" spans="7:19" x14ac:dyDescent="0.2">
      <c r="M6">
        <f>N4*M3/N3</f>
        <v>345</v>
      </c>
      <c r="O6">
        <v>50</v>
      </c>
    </row>
    <row r="7" spans="7:19" x14ac:dyDescent="0.2">
      <c r="G7">
        <f>16/100</f>
        <v>0.16</v>
      </c>
      <c r="H7">
        <f>16/20*4/100</f>
        <v>3.2000000000000001E-2</v>
      </c>
      <c r="O7">
        <v>50</v>
      </c>
    </row>
    <row r="8" spans="7:19" x14ac:dyDescent="0.2">
      <c r="O8">
        <v>50</v>
      </c>
    </row>
    <row r="10" spans="7:19" x14ac:dyDescent="0.2">
      <c r="N10">
        <f>7490+2000+10+500</f>
        <v>10000</v>
      </c>
      <c r="R10">
        <v>0.16</v>
      </c>
      <c r="S10">
        <v>20</v>
      </c>
    </row>
    <row r="11" spans="7:19" x14ac:dyDescent="0.2">
      <c r="R11">
        <f>P13*S10/R10</f>
        <v>22.222222222222225</v>
      </c>
    </row>
    <row r="13" spans="7:19" x14ac:dyDescent="0.2">
      <c r="G13">
        <f>40/100*4/50</f>
        <v>3.2000000000000001E-2</v>
      </c>
      <c r="H13">
        <f>200/100*4/50</f>
        <v>0.16</v>
      </c>
      <c r="J13">
        <f>800/200*4/100</f>
        <v>0.16</v>
      </c>
      <c r="P13">
        <f>800/900*5/25</f>
        <v>0.17777777777777778</v>
      </c>
    </row>
    <row r="16" spans="7:19" x14ac:dyDescent="0.2">
      <c r="L16">
        <f>1598+400+10</f>
        <v>2008</v>
      </c>
    </row>
    <row r="17" spans="7:13" x14ac:dyDescent="0.2">
      <c r="M17">
        <v>198</v>
      </c>
    </row>
    <row r="18" spans="7:13" x14ac:dyDescent="0.2">
      <c r="G18">
        <f>1498*5</f>
        <v>7490</v>
      </c>
      <c r="H18">
        <f>400*5</f>
        <v>2000</v>
      </c>
    </row>
    <row r="19" spans="7:13" x14ac:dyDescent="0.2">
      <c r="G19">
        <v>2000</v>
      </c>
    </row>
    <row r="20" spans="7:13" x14ac:dyDescent="0.2">
      <c r="L20">
        <f>1400+298</f>
        <v>1698</v>
      </c>
    </row>
    <row r="21" spans="7:13" x14ac:dyDescent="0.2">
      <c r="G21">
        <f>G18+G19</f>
        <v>9490</v>
      </c>
    </row>
    <row r="24" spans="7:13" x14ac:dyDescent="0.2">
      <c r="M24">
        <f>198*5</f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Amoxicillin 1</vt:lpstr>
      <vt:lpstr>Clavulanic acid</vt:lpstr>
      <vt:lpstr>Sheet1</vt:lpstr>
      <vt:lpstr>'Amoxicillin 1'!Print_Area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2016-08-10T06:24:38Z</cp:lastPrinted>
  <dcterms:created xsi:type="dcterms:W3CDTF">2005-07-05T10:19:27Z</dcterms:created>
  <dcterms:modified xsi:type="dcterms:W3CDTF">2016-08-10T06:27:43Z</dcterms:modified>
</cp:coreProperties>
</file>