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" sheetId="2" r:id="rId2"/>
    <sheet name="rupatadine assay" sheetId="4" r:id="rId3"/>
    <sheet name="RUPATADINE" sheetId="3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57" i="4"/>
  <c r="B21" i="1"/>
  <c r="C120" i="4"/>
  <c r="B116" i="4"/>
  <c r="D100" i="4"/>
  <c r="B98" i="4"/>
  <c r="D101" i="4" s="1"/>
  <c r="F95" i="4"/>
  <c r="D95" i="4"/>
  <c r="G94" i="4"/>
  <c r="E94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4" i="4"/>
  <c r="F42" i="4"/>
  <c r="D42" i="4"/>
  <c r="G41" i="4"/>
  <c r="E41" i="4"/>
  <c r="B34" i="4"/>
  <c r="D44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D109" i="3"/>
  <c r="D110" i="3" s="1"/>
  <c r="D111" i="3" s="1"/>
  <c r="B107" i="3"/>
  <c r="F104" i="3"/>
  <c r="D104" i="3"/>
  <c r="G103" i="3"/>
  <c r="E103" i="3"/>
  <c r="G102" i="3"/>
  <c r="E102" i="3"/>
  <c r="G101" i="3"/>
  <c r="E101" i="3"/>
  <c r="G100" i="3"/>
  <c r="E100" i="3"/>
  <c r="D112" i="3" s="1"/>
  <c r="D113" i="3" s="1"/>
  <c r="B96" i="3"/>
  <c r="F106" i="3" s="1"/>
  <c r="B90" i="3"/>
  <c r="B89" i="3"/>
  <c r="B91" i="3" s="1"/>
  <c r="C74" i="3"/>
  <c r="E68" i="3"/>
  <c r="G67" i="3"/>
  <c r="E67" i="3"/>
  <c r="B67" i="3"/>
  <c r="E66" i="3"/>
  <c r="G66" i="3" s="1"/>
  <c r="G65" i="3"/>
  <c r="E65" i="3"/>
  <c r="E64" i="3"/>
  <c r="G64" i="3" s="1"/>
  <c r="E63" i="3"/>
  <c r="G62" i="3"/>
  <c r="E62" i="3"/>
  <c r="G61" i="3"/>
  <c r="E61" i="3"/>
  <c r="E60" i="3"/>
  <c r="G60" i="3" s="1"/>
  <c r="E59" i="3"/>
  <c r="C56" i="3"/>
  <c r="B55" i="3"/>
  <c r="B45" i="3"/>
  <c r="D48" i="3" s="1"/>
  <c r="E40" i="3" s="1"/>
  <c r="D44" i="3"/>
  <c r="F42" i="3"/>
  <c r="D42" i="3"/>
  <c r="G41" i="3"/>
  <c r="E41" i="3"/>
  <c r="G40" i="3"/>
  <c r="G38" i="3"/>
  <c r="E38" i="3"/>
  <c r="B34" i="3"/>
  <c r="F44" i="3" s="1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8" i="3" l="1"/>
  <c r="G72" i="3" s="1"/>
  <c r="G63" i="3"/>
  <c r="G59" i="3"/>
  <c r="E39" i="3"/>
  <c r="G39" i="3"/>
  <c r="G42" i="3" s="1"/>
  <c r="D49" i="3"/>
  <c r="F107" i="3"/>
  <c r="F108" i="3" s="1"/>
  <c r="G104" i="3"/>
  <c r="F124" i="3"/>
  <c r="F45" i="3"/>
  <c r="F46" i="3" s="1"/>
  <c r="D45" i="3"/>
  <c r="D46" i="3" s="1"/>
  <c r="E70" i="3"/>
  <c r="F66" i="3" s="1"/>
  <c r="D52" i="3"/>
  <c r="E72" i="3"/>
  <c r="I92" i="4"/>
  <c r="B69" i="4"/>
  <c r="I39" i="4"/>
  <c r="D45" i="4"/>
  <c r="E39" i="4" s="1"/>
  <c r="D49" i="4"/>
  <c r="F45" i="4"/>
  <c r="G38" i="4" s="1"/>
  <c r="F98" i="4"/>
  <c r="F99" i="4" s="1"/>
  <c r="D102" i="4"/>
  <c r="D97" i="4"/>
  <c r="D98" i="4" s="1"/>
  <c r="D99" i="4" s="1"/>
  <c r="G129" i="3"/>
  <c r="F125" i="3"/>
  <c r="D33" i="2"/>
  <c r="D30" i="2"/>
  <c r="B49" i="2"/>
  <c r="D50" i="3"/>
  <c r="D51" i="3" s="1"/>
  <c r="D106" i="3"/>
  <c r="D107" i="3" s="1"/>
  <c r="D108" i="3" s="1"/>
  <c r="D114" i="3"/>
  <c r="F126" i="3"/>
  <c r="D29" i="2"/>
  <c r="D41" i="2"/>
  <c r="D26" i="2"/>
  <c r="D34" i="2"/>
  <c r="D42" i="2"/>
  <c r="D50" i="2"/>
  <c r="E42" i="3"/>
  <c r="D27" i="2"/>
  <c r="D35" i="2"/>
  <c r="D43" i="2"/>
  <c r="C49" i="2"/>
  <c r="B57" i="3"/>
  <c r="E104" i="3"/>
  <c r="D25" i="2"/>
  <c r="D37" i="2"/>
  <c r="C50" i="2"/>
  <c r="D38" i="2"/>
  <c r="D31" i="2"/>
  <c r="D39" i="2"/>
  <c r="D24" i="2"/>
  <c r="D28" i="2"/>
  <c r="D32" i="2"/>
  <c r="D36" i="2"/>
  <c r="D40" i="2"/>
  <c r="C81" i="3" l="1"/>
  <c r="G70" i="3"/>
  <c r="G71" i="3" s="1"/>
  <c r="F68" i="3"/>
  <c r="F67" i="3"/>
  <c r="F62" i="3"/>
  <c r="F65" i="3"/>
  <c r="F64" i="3"/>
  <c r="F63" i="3"/>
  <c r="E71" i="3"/>
  <c r="F61" i="3"/>
  <c r="F60" i="3"/>
  <c r="F59" i="3"/>
  <c r="C79" i="3"/>
  <c r="G91" i="4"/>
  <c r="G39" i="4"/>
  <c r="G40" i="4"/>
  <c r="F46" i="4"/>
  <c r="E40" i="4"/>
  <c r="D46" i="4"/>
  <c r="E38" i="4"/>
  <c r="G42" i="4"/>
  <c r="E92" i="4"/>
  <c r="G92" i="4"/>
  <c r="G93" i="4"/>
  <c r="E91" i="4"/>
  <c r="E93" i="4"/>
  <c r="E95" i="4" s="1"/>
  <c r="C82" i="3" l="1"/>
  <c r="C83" i="3" s="1"/>
  <c r="G74" i="3"/>
  <c r="F70" i="3"/>
  <c r="F71" i="3" s="1"/>
  <c r="F72" i="3"/>
  <c r="G95" i="4"/>
  <c r="D52" i="4"/>
  <c r="D50" i="4"/>
  <c r="G66" i="4" s="1"/>
  <c r="H66" i="4" s="1"/>
  <c r="E42" i="4"/>
  <c r="D103" i="4"/>
  <c r="E113" i="4" s="1"/>
  <c r="F113" i="4" s="1"/>
  <c r="D105" i="4"/>
  <c r="G68" i="4"/>
  <c r="H68" i="4" s="1"/>
  <c r="E111" i="4" l="1"/>
  <c r="F111" i="4" s="1"/>
  <c r="E108" i="4"/>
  <c r="F108" i="4" s="1"/>
  <c r="E110" i="4"/>
  <c r="F110" i="4" s="1"/>
  <c r="D104" i="4"/>
  <c r="E109" i="4"/>
  <c r="F109" i="4" s="1"/>
  <c r="E112" i="4"/>
  <c r="F112" i="4" s="1"/>
  <c r="G62" i="4"/>
  <c r="H62" i="4" s="1"/>
  <c r="G69" i="4"/>
  <c r="H69" i="4" s="1"/>
  <c r="G65" i="4"/>
  <c r="H65" i="4" s="1"/>
  <c r="D51" i="4"/>
  <c r="G60" i="4"/>
  <c r="H60" i="4" s="1"/>
  <c r="G61" i="4"/>
  <c r="H61" i="4" s="1"/>
  <c r="G64" i="4"/>
  <c r="H64" i="4" s="1"/>
  <c r="G70" i="4"/>
  <c r="H70" i="4" s="1"/>
  <c r="E117" i="4" l="1"/>
  <c r="E115" i="4"/>
  <c r="E116" i="4" s="1"/>
  <c r="G72" i="4"/>
  <c r="G73" i="4" s="1"/>
  <c r="G74" i="4"/>
  <c r="H74" i="4"/>
  <c r="H72" i="4"/>
  <c r="F117" i="4"/>
  <c r="F115" i="4"/>
  <c r="G76" i="4" l="1"/>
  <c r="H73" i="4"/>
  <c r="G120" i="4"/>
  <c r="F116" i="4"/>
</calcChain>
</file>

<file path=xl/sharedStrings.xml><?xml version="1.0" encoding="utf-8"?>
<sst xmlns="http://schemas.openxmlformats.org/spreadsheetml/2006/main" count="393" uniqueCount="150">
  <si>
    <t>HPLC System Suitability Report</t>
  </si>
  <si>
    <t>Analysis Data</t>
  </si>
  <si>
    <t>Assay</t>
  </si>
  <si>
    <t>Sample(s)</t>
  </si>
  <si>
    <t>Reference Substance:</t>
  </si>
  <si>
    <t>ZEALARGY 10mg TABLETS</t>
  </si>
  <si>
    <t>% age Purity:</t>
  </si>
  <si>
    <t>NDQD201604886</t>
  </si>
  <si>
    <t>Weight (mg):</t>
  </si>
  <si>
    <t>Rupatadine</t>
  </si>
  <si>
    <t>Standard Conc (mg/mL):</t>
  </si>
  <si>
    <t>Each tablet contains Rupatadine fumarate 10 mg</t>
  </si>
  <si>
    <t>2016-04-28 10:11:49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</si>
  <si>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</si>
  <si>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</si>
  <si>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</si>
  <si>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</si>
  <si>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</si>
  <si>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</si>
  <si>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</si>
  <si>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</si>
  <si>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</si>
  <si>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</si>
  <si>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</si>
  <si>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</si>
  <si>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</si>
  <si>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</si>
  <si>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</si>
  <si>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</si>
  <si>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</si>
  <si>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</si>
  <si>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</si>
  <si>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</si>
  <si>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</si>
  <si>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</si>
  <si>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</si>
  <si>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</si>
  <si>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</si>
  <si>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</si>
  <si>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</si>
  <si>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</si>
  <si>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</si>
  <si>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</si>
  <si>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</si>
  <si>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</si>
  <si>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</si>
  <si>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</si>
  <si>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</si>
  <si>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</si>
  <si>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</si>
  <si>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</si>
  <si>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</si>
  <si>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</si>
  <si>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</si>
  <si>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</si>
  <si>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</si>
  <si>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</si>
  <si>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</si>
  <si>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</si>
  <si>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</si>
  <si>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</si>
  <si>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</si>
  <si>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</si>
  <si>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</si>
  <si>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</si>
  <si>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</si>
  <si>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</si>
  <si>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</si>
  <si>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</si>
  <si>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</si>
  <si>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</si>
  <si>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</si>
  <si>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</si>
  <si>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</si>
  <si>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</si>
  <si>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</si>
  <si>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</si>
  <si>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</si>
  <si>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</si>
  <si>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</si>
  <si>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</si>
  <si>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</si>
  <si>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</si>
  <si>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</si>
  <si>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</si>
  <si>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</si>
  <si>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</si>
  <si>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</si>
  <si>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</si>
  <si>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</si>
  <si>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</si>
  <si>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</si>
  <si>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</si>
  <si>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</si>
  <si>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</si>
  <si>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</si>
  <si>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</si>
  <si>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</si>
  <si>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</si>
  <si>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</si>
  <si>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</si>
  <si>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</si>
  <si>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</si>
  <si>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</si>
  <si>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</si>
  <si>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</si>
  <si>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</si>
  <si>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</si>
  <si>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</si>
  <si>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</si>
  <si>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</si>
  <si>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</si>
  <si>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</si>
  <si>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</si>
  <si>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</si>
  <si>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</si>
  <si>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</si>
  <si>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</si>
  <si>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</si>
  <si>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</si>
  <si>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</si>
  <si>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</si>
  <si>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</si>
  <si>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</si>
  <si>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</si>
  <si>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</si>
  <si>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</si>
  <si>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</si>
  <si>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</si>
  <si>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</si>
  <si>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</si>
  <si>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</si>
  <si>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</si>
  <si>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</si>
  <si>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</si>
  <si>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</si>
  <si>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</si>
  <si>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</si>
  <si>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</si>
  <si>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</si>
  <si>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</si>
  <si>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</si>
  <si>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</si>
  <si>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</si>
  <si>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Rupatadine fumarate</t>
  </si>
  <si>
    <t>ZEALARGY 10 MG</t>
  </si>
  <si>
    <t>Rupatadine 10MG</t>
  </si>
  <si>
    <t>Rupatadine Fumarate</t>
  </si>
  <si>
    <t>R 11 1</t>
  </si>
  <si>
    <t>UNIFORMITY OF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</si>
</sst>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9" fillId="2" borderId="0" xfId="1" applyFont="1" applyFill="1" applyAlignment="1">
      <alignment horizontal="center" vertical="center"/>
    </xf>
    <xf numFmtId="0" fontId="2" fillId="2" borderId="0" xfId="1" applyFont="1" applyFill="1"/>
    <xf numFmtId="0" fontId="20" fillId="2" borderId="0" xfId="1" applyFont="1" applyFill="1" applyAlignment="1">
      <alignment horizontal="center" vertical="center"/>
    </xf>
    <xf numFmtId="0" fontId="11" fillId="2" borderId="0" xfId="1" applyFont="1" applyFill="1"/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23" fillId="2" borderId="0" xfId="1" applyFill="1"/>
    <xf numFmtId="0" fontId="12" fillId="2" borderId="0" xfId="1" applyFont="1" applyFill="1"/>
    <xf numFmtId="0" fontId="14" fillId="3" borderId="0" xfId="1" applyFont="1" applyFill="1" applyAlignment="1" applyProtection="1">
      <alignment horizontal="left" wrapText="1"/>
      <protection locked="0"/>
    </xf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5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0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166" fontId="11" fillId="6" borderId="49" xfId="1" applyNumberFormat="1" applyFont="1" applyFill="1" applyBorder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4" fillId="3" borderId="32" xfId="1" applyNumberFormat="1" applyFont="1" applyFill="1" applyBorder="1" applyAlignment="1" applyProtection="1">
      <alignment horizontal="center"/>
      <protection locked="0"/>
    </xf>
    <xf numFmtId="166" fontId="11" fillId="2" borderId="27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4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2" fontId="14" fillId="7" borderId="49" xfId="1" applyNumberFormat="1" applyFont="1" applyFill="1" applyBorder="1" applyAlignment="1">
      <alignment horizontal="center"/>
    </xf>
    <xf numFmtId="10" fontId="14" fillId="7" borderId="49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7" xfId="1" applyFont="1" applyFill="1" applyBorder="1" applyAlignment="1">
      <alignment horizontal="right"/>
    </xf>
    <xf numFmtId="0" fontId="14" fillId="7" borderId="17" xfId="1" applyFont="1" applyFill="1" applyBorder="1" applyAlignment="1">
      <alignment horizontal="center"/>
    </xf>
    <xf numFmtId="0" fontId="17" fillId="2" borderId="0" xfId="1" applyFont="1" applyFill="1" applyAlignment="1">
      <alignment horizontal="righ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3">
    <cellStyle name="Normal" xfId="0" builtinId="0"/>
    <cellStyle name="Normal 2" xfId="2"/>
    <cellStyle name="Normal 3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144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99.63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12.36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B20/100*5/20</f>
        <v>3.0899999999999993E-2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100867737</v>
      </c>
      <c r="C24" s="18">
        <v>8619.7999999999993</v>
      </c>
      <c r="D24" s="19">
        <v>1.2</v>
      </c>
      <c r="E24" s="20">
        <v>7.5</v>
      </c>
    </row>
    <row r="25" spans="1:6" ht="16.5" customHeight="1" x14ac:dyDescent="0.3">
      <c r="A25" s="17">
        <v>2</v>
      </c>
      <c r="B25" s="18">
        <v>100414746</v>
      </c>
      <c r="C25" s="18">
        <v>8599</v>
      </c>
      <c r="D25" s="19">
        <v>1.1000000000000001</v>
      </c>
      <c r="E25" s="19">
        <v>7.5</v>
      </c>
    </row>
    <row r="26" spans="1:6" ht="16.5" customHeight="1" x14ac:dyDescent="0.3">
      <c r="A26" s="17">
        <v>3</v>
      </c>
      <c r="B26" s="18">
        <v>100501092</v>
      </c>
      <c r="C26" s="18">
        <v>8558</v>
      </c>
      <c r="D26" s="19">
        <v>1.1000000000000001</v>
      </c>
      <c r="E26" s="19">
        <v>7.5</v>
      </c>
    </row>
    <row r="27" spans="1:6" ht="16.5" customHeight="1" x14ac:dyDescent="0.3">
      <c r="A27" s="17">
        <v>4</v>
      </c>
      <c r="B27" s="18">
        <v>100845272</v>
      </c>
      <c r="C27" s="18">
        <v>8586.2999999999993</v>
      </c>
      <c r="D27" s="19">
        <v>1.1000000000000001</v>
      </c>
      <c r="E27" s="19">
        <v>7.5</v>
      </c>
    </row>
    <row r="28" spans="1:6" ht="16.5" customHeight="1" x14ac:dyDescent="0.3">
      <c r="A28" s="17">
        <v>5</v>
      </c>
      <c r="B28" s="18">
        <v>100332271</v>
      </c>
      <c r="C28" s="18">
        <v>8563.1</v>
      </c>
      <c r="D28" s="19">
        <v>1.2</v>
      </c>
      <c r="E28" s="19">
        <v>7.5</v>
      </c>
    </row>
    <row r="29" spans="1:6" ht="16.5" customHeight="1" x14ac:dyDescent="0.3">
      <c r="A29" s="17">
        <v>6</v>
      </c>
      <c r="B29" s="21">
        <v>99837163</v>
      </c>
      <c r="C29" s="21">
        <v>8551.5</v>
      </c>
      <c r="D29" s="22">
        <v>1.2</v>
      </c>
      <c r="E29" s="22">
        <v>7.5</v>
      </c>
    </row>
    <row r="30" spans="1:6" ht="16.5" customHeight="1" x14ac:dyDescent="0.3">
      <c r="A30" s="23" t="s">
        <v>18</v>
      </c>
      <c r="B30" s="24">
        <f>AVERAGE(B24:B29)</f>
        <v>100466380.16666667</v>
      </c>
      <c r="C30" s="25">
        <f>AVERAGE(C24:C29)</f>
        <v>8579.6166666666668</v>
      </c>
      <c r="D30" s="26">
        <f>AVERAGE(D24:D29)</f>
        <v>1.1500000000000001</v>
      </c>
      <c r="E30" s="26">
        <f>AVERAGE(E24:E29)</f>
        <v>7.5</v>
      </c>
    </row>
    <row r="31" spans="1:6" ht="16.5" customHeight="1" x14ac:dyDescent="0.3">
      <c r="A31" s="27" t="s">
        <v>19</v>
      </c>
      <c r="B31" s="28">
        <f>(STDEV(B24:B29)/B30)</f>
        <v>3.7834515189103845E-3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149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99.63</v>
      </c>
      <c r="C40" s="10"/>
      <c r="D40" s="10"/>
      <c r="E40" s="10"/>
    </row>
    <row r="41" spans="1:6" ht="16.5" customHeight="1" x14ac:dyDescent="0.3">
      <c r="A41" s="7" t="s">
        <v>8</v>
      </c>
      <c r="B41" s="12">
        <v>12.56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0.12560000000000002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98795033</v>
      </c>
      <c r="C45" s="18">
        <v>10187.73</v>
      </c>
      <c r="D45" s="19">
        <v>1.05</v>
      </c>
      <c r="E45" s="20">
        <v>7.57</v>
      </c>
    </row>
    <row r="46" spans="1:6" ht="16.5" customHeight="1" x14ac:dyDescent="0.3">
      <c r="A46" s="17">
        <v>2</v>
      </c>
      <c r="B46" s="18">
        <v>98467940</v>
      </c>
      <c r="C46" s="18">
        <v>10177.030000000001</v>
      </c>
      <c r="D46" s="19">
        <v>1.08</v>
      </c>
      <c r="E46" s="19">
        <v>7.57</v>
      </c>
    </row>
    <row r="47" spans="1:6" ht="16.5" customHeight="1" x14ac:dyDescent="0.3">
      <c r="A47" s="17">
        <v>3</v>
      </c>
      <c r="B47" s="18">
        <v>98287712</v>
      </c>
      <c r="C47" s="18">
        <v>10257.790000000001</v>
      </c>
      <c r="D47" s="19">
        <v>1.05</v>
      </c>
      <c r="E47" s="19">
        <v>7.58</v>
      </c>
    </row>
    <row r="48" spans="1:6" ht="16.5" customHeight="1" x14ac:dyDescent="0.3">
      <c r="A48" s="17">
        <v>4</v>
      </c>
      <c r="B48" s="18">
        <v>98787016</v>
      </c>
      <c r="C48" s="18">
        <v>11164.83</v>
      </c>
      <c r="D48" s="19">
        <v>1.06</v>
      </c>
      <c r="E48" s="19">
        <v>7.86</v>
      </c>
    </row>
    <row r="49" spans="1:7" ht="16.5" customHeight="1" x14ac:dyDescent="0.3">
      <c r="A49" s="17">
        <v>5</v>
      </c>
      <c r="B49" s="18">
        <v>98439265</v>
      </c>
      <c r="C49" s="18">
        <v>10280.42</v>
      </c>
      <c r="D49" s="19">
        <v>1.06</v>
      </c>
      <c r="E49" s="19">
        <v>7.58</v>
      </c>
    </row>
    <row r="50" spans="1:7" ht="16.5" customHeight="1" x14ac:dyDescent="0.3">
      <c r="A50" s="17">
        <v>6</v>
      </c>
      <c r="B50" s="21">
        <v>98480852</v>
      </c>
      <c r="C50" s="21">
        <v>10285.31</v>
      </c>
      <c r="D50" s="22">
        <v>1.08</v>
      </c>
      <c r="E50" s="22">
        <v>7.57</v>
      </c>
    </row>
    <row r="51" spans="1:7" ht="16.5" customHeight="1" x14ac:dyDescent="0.3">
      <c r="A51" s="23" t="s">
        <v>18</v>
      </c>
      <c r="B51" s="24">
        <f>AVERAGE(B45:B50)</f>
        <v>98542969.666666672</v>
      </c>
      <c r="C51" s="25">
        <f>AVERAGE(C45:C50)</f>
        <v>10392.184999999999</v>
      </c>
      <c r="D51" s="26">
        <f>AVERAGE(D45:D50)</f>
        <v>1.0633333333333335</v>
      </c>
      <c r="E51" s="26">
        <f>AVERAGE(E45:E50)</f>
        <v>7.6216666666666661</v>
      </c>
    </row>
    <row r="52" spans="1:7" ht="16.5" customHeight="1" x14ac:dyDescent="0.3">
      <c r="A52" s="27" t="s">
        <v>19</v>
      </c>
      <c r="B52" s="28">
        <f>(STDEV(B45:B50)/B51)</f>
        <v>2.072219937016089E-3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25</v>
      </c>
      <c r="C59" s="28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30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31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32</v>
      </c>
      <c r="B14" s="290"/>
      <c r="C14" s="60" t="s">
        <v>5</v>
      </c>
    </row>
    <row r="15" spans="1:7" ht="16.5" customHeight="1" x14ac:dyDescent="0.3">
      <c r="A15" s="290" t="s">
        <v>33</v>
      </c>
      <c r="B15" s="290"/>
      <c r="C15" s="60" t="s">
        <v>7</v>
      </c>
    </row>
    <row r="16" spans="1:7" ht="16.5" customHeight="1" x14ac:dyDescent="0.3">
      <c r="A16" s="290" t="s">
        <v>34</v>
      </c>
      <c r="B16" s="290"/>
      <c r="C16" s="60" t="s">
        <v>9</v>
      </c>
    </row>
    <row r="17" spans="1:5" ht="16.5" customHeight="1" x14ac:dyDescent="0.3">
      <c r="A17" s="290" t="s">
        <v>35</v>
      </c>
      <c r="B17" s="290"/>
      <c r="C17" s="60" t="s">
        <v>11</v>
      </c>
    </row>
    <row r="18" spans="1:5" ht="16.5" customHeight="1" x14ac:dyDescent="0.3">
      <c r="A18" s="290" t="s">
        <v>36</v>
      </c>
      <c r="B18" s="290"/>
      <c r="C18" s="97" t="s">
        <v>12</v>
      </c>
    </row>
    <row r="19" spans="1:5" ht="16.5" customHeight="1" x14ac:dyDescent="0.3">
      <c r="A19" s="290" t="s">
        <v>37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38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102.85</v>
      </c>
      <c r="D24" s="87">
        <f t="shared" ref="D24:D43" si="0">(C24-$C$46)/$C$46</f>
        <v>2.0575233313322012E-2</v>
      </c>
      <c r="E24" s="53"/>
    </row>
    <row r="25" spans="1:5" ht="15.75" customHeight="1" x14ac:dyDescent="0.3">
      <c r="C25" s="95">
        <v>101.3</v>
      </c>
      <c r="D25" s="88">
        <f t="shared" si="0"/>
        <v>5.194663438400803E-3</v>
      </c>
      <c r="E25" s="53"/>
    </row>
    <row r="26" spans="1:5" ht="15.75" customHeight="1" x14ac:dyDescent="0.3">
      <c r="C26" s="95">
        <v>101.55</v>
      </c>
      <c r="D26" s="88">
        <f t="shared" si="0"/>
        <v>7.6754005150010025E-3</v>
      </c>
      <c r="E26" s="53"/>
    </row>
    <row r="27" spans="1:5" ht="15.75" customHeight="1" x14ac:dyDescent="0.3">
      <c r="C27" s="95">
        <v>101.18</v>
      </c>
      <c r="D27" s="88">
        <f t="shared" si="0"/>
        <v>4.0039096416328033E-3</v>
      </c>
      <c r="E27" s="53"/>
    </row>
    <row r="28" spans="1:5" ht="15.75" customHeight="1" x14ac:dyDescent="0.3">
      <c r="C28" s="95">
        <v>99.91</v>
      </c>
      <c r="D28" s="88">
        <f t="shared" si="0"/>
        <v>-8.5982347074963113E-3</v>
      </c>
      <c r="E28" s="53"/>
    </row>
    <row r="29" spans="1:5" ht="15.75" customHeight="1" x14ac:dyDescent="0.3">
      <c r="C29" s="95">
        <v>98.66</v>
      </c>
      <c r="D29" s="88">
        <f t="shared" si="0"/>
        <v>-2.1001920090497308E-2</v>
      </c>
      <c r="E29" s="53"/>
    </row>
    <row r="30" spans="1:5" ht="15.75" customHeight="1" x14ac:dyDescent="0.3">
      <c r="C30" s="95">
        <v>101.12</v>
      </c>
      <c r="D30" s="88">
        <f t="shared" si="0"/>
        <v>3.4085327432487327E-3</v>
      </c>
      <c r="E30" s="53"/>
    </row>
    <row r="31" spans="1:5" ht="15.75" customHeight="1" x14ac:dyDescent="0.3">
      <c r="C31" s="95">
        <v>99.21</v>
      </c>
      <c r="D31" s="88">
        <f t="shared" si="0"/>
        <v>-1.5544298521976899E-2</v>
      </c>
      <c r="E31" s="53"/>
    </row>
    <row r="32" spans="1:5" ht="15.75" customHeight="1" x14ac:dyDescent="0.3">
      <c r="C32" s="95">
        <v>100.24</v>
      </c>
      <c r="D32" s="88">
        <f t="shared" si="0"/>
        <v>-5.3236617663840651E-3</v>
      </c>
      <c r="E32" s="53"/>
    </row>
    <row r="33" spans="1:7" ht="15.75" customHeight="1" x14ac:dyDescent="0.3">
      <c r="C33" s="95">
        <v>101.02</v>
      </c>
      <c r="D33" s="88">
        <f t="shared" si="0"/>
        <v>2.4162379126085685E-3</v>
      </c>
      <c r="E33" s="53"/>
    </row>
    <row r="34" spans="1:7" ht="15.75" customHeight="1" x14ac:dyDescent="0.3">
      <c r="C34" s="95">
        <v>102.14</v>
      </c>
      <c r="D34" s="88">
        <f t="shared" si="0"/>
        <v>1.3529940015777507E-2</v>
      </c>
      <c r="E34" s="53"/>
    </row>
    <row r="35" spans="1:7" ht="15.75" customHeight="1" x14ac:dyDescent="0.3">
      <c r="C35" s="95">
        <v>100.33</v>
      </c>
      <c r="D35" s="88">
        <f t="shared" si="0"/>
        <v>-4.4305964188079599E-3</v>
      </c>
      <c r="E35" s="53"/>
    </row>
    <row r="36" spans="1:7" ht="15.75" customHeight="1" x14ac:dyDescent="0.3">
      <c r="C36" s="95">
        <v>100.96</v>
      </c>
      <c r="D36" s="88">
        <f t="shared" si="0"/>
        <v>1.8208610142244979E-3</v>
      </c>
      <c r="E36" s="53"/>
    </row>
    <row r="37" spans="1:7" ht="15.75" customHeight="1" x14ac:dyDescent="0.3">
      <c r="C37" s="95">
        <v>103.63</v>
      </c>
      <c r="D37" s="88">
        <f t="shared" si="0"/>
        <v>2.8315132992314647E-2</v>
      </c>
      <c r="E37" s="53"/>
    </row>
    <row r="38" spans="1:7" ht="15.75" customHeight="1" x14ac:dyDescent="0.3">
      <c r="C38" s="95">
        <v>100.87</v>
      </c>
      <c r="D38" s="88">
        <f t="shared" si="0"/>
        <v>9.2779566664853328E-4</v>
      </c>
      <c r="E38" s="53"/>
    </row>
    <row r="39" spans="1:7" ht="15.75" customHeight="1" x14ac:dyDescent="0.3">
      <c r="C39" s="95">
        <v>102.45</v>
      </c>
      <c r="D39" s="88">
        <f t="shared" si="0"/>
        <v>1.6606053990761777E-2</v>
      </c>
      <c r="E39" s="53"/>
    </row>
    <row r="40" spans="1:7" ht="15.75" customHeight="1" x14ac:dyDescent="0.3">
      <c r="C40" s="95">
        <v>99.87</v>
      </c>
      <c r="D40" s="88">
        <f t="shared" si="0"/>
        <v>-8.9951526397522644E-3</v>
      </c>
      <c r="E40" s="53"/>
    </row>
    <row r="41" spans="1:7" ht="15.75" customHeight="1" x14ac:dyDescent="0.3">
      <c r="C41" s="95">
        <v>99.45</v>
      </c>
      <c r="D41" s="88">
        <f t="shared" si="0"/>
        <v>-1.3162790928440617E-2</v>
      </c>
      <c r="E41" s="53"/>
    </row>
    <row r="42" spans="1:7" ht="15.75" customHeight="1" x14ac:dyDescent="0.3">
      <c r="C42" s="95">
        <v>98.04</v>
      </c>
      <c r="D42" s="88">
        <f t="shared" si="0"/>
        <v>-2.7154148040465707E-2</v>
      </c>
      <c r="E42" s="53"/>
    </row>
    <row r="43" spans="1:7" ht="16.5" customHeight="1" x14ac:dyDescent="0.3">
      <c r="C43" s="96">
        <v>100.75</v>
      </c>
      <c r="D43" s="89">
        <f t="shared" si="0"/>
        <v>-2.6295813011960762E-4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2015.53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100.7765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3">
        <f>C46</f>
        <v>100.7765</v>
      </c>
      <c r="C49" s="93">
        <f>-IF(C46&lt;=80,10%,IF(C46&lt;250,7.5%,5%))</f>
        <v>-7.4999999999999997E-2</v>
      </c>
      <c r="D49" s="81">
        <f>IF(C46&lt;=80,C46*0.9,IF(C46&lt;250,C46*0.925,C46*0.95))</f>
        <v>93.218262500000009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108.33473749999999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9" zoomScale="50" zoomScaleNormal="40" zoomScalePageLayoutView="50" workbookViewId="0">
      <selection activeCell="B36" sqref="B36:B38"/>
    </sheetView>
  </sheetViews>
  <sheetFormatPr defaultColWidth="9.140625" defaultRowHeight="13.5" x14ac:dyDescent="0.25"/>
  <cols>
    <col min="1" max="1" width="55.42578125" style="317" customWidth="1"/>
    <col min="2" max="2" width="33.7109375" style="317" customWidth="1"/>
    <col min="3" max="3" width="42.28515625" style="317" customWidth="1"/>
    <col min="4" max="4" width="30.5703125" style="317" customWidth="1"/>
    <col min="5" max="5" width="39.85546875" style="317" customWidth="1"/>
    <col min="6" max="6" width="30.7109375" style="317" customWidth="1"/>
    <col min="7" max="7" width="39.85546875" style="317" customWidth="1"/>
    <col min="8" max="8" width="30" style="317" customWidth="1"/>
    <col min="9" max="9" width="30.28515625" style="317" hidden="1" customWidth="1"/>
    <col min="10" max="10" width="30.42578125" style="317" customWidth="1"/>
    <col min="11" max="11" width="21.28515625" style="317" customWidth="1"/>
    <col min="12" max="12" width="9.140625" style="317"/>
    <col min="13" max="16384" width="9.140625" style="324"/>
  </cols>
  <sheetData>
    <row r="1" spans="1:9" ht="18.75" customHeight="1" x14ac:dyDescent="0.25">
      <c r="A1" s="316" t="s">
        <v>44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25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25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25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25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25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25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25">
      <c r="A8" s="318" t="s">
        <v>45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thickBot="1" x14ac:dyDescent="0.35">
      <c r="A15" s="319"/>
    </row>
    <row r="16" spans="1:9" ht="19.5" customHeight="1" thickBot="1" x14ac:dyDescent="0.35">
      <c r="A16" s="320" t="s">
        <v>30</v>
      </c>
      <c r="B16" s="321"/>
      <c r="C16" s="321"/>
      <c r="D16" s="321"/>
      <c r="E16" s="321"/>
      <c r="F16" s="321"/>
      <c r="G16" s="321"/>
      <c r="H16" s="322"/>
    </row>
    <row r="17" spans="1:14" ht="20.25" customHeight="1" x14ac:dyDescent="0.25">
      <c r="A17" s="323" t="s">
        <v>46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325" t="s">
        <v>32</v>
      </c>
      <c r="B18" s="326" t="s">
        <v>145</v>
      </c>
      <c r="C18" s="326"/>
      <c r="D18" s="327"/>
      <c r="E18" s="328"/>
      <c r="F18" s="329"/>
      <c r="G18" s="329"/>
      <c r="H18" s="329"/>
    </row>
    <row r="19" spans="1:14" ht="26.25" customHeight="1" x14ac:dyDescent="0.4">
      <c r="A19" s="325" t="s">
        <v>33</v>
      </c>
      <c r="B19" s="330" t="s">
        <v>7</v>
      </c>
      <c r="C19" s="329">
        <v>29</v>
      </c>
      <c r="D19" s="329"/>
      <c r="E19" s="329"/>
      <c r="F19" s="329"/>
      <c r="G19" s="329"/>
      <c r="H19" s="329"/>
    </row>
    <row r="20" spans="1:14" ht="26.25" customHeight="1" x14ac:dyDescent="0.4">
      <c r="A20" s="325" t="s">
        <v>34</v>
      </c>
      <c r="B20" s="331" t="s">
        <v>9</v>
      </c>
      <c r="C20" s="331"/>
      <c r="D20" s="329"/>
      <c r="E20" s="329"/>
      <c r="F20" s="329"/>
      <c r="G20" s="329"/>
      <c r="H20" s="329"/>
    </row>
    <row r="21" spans="1:14" ht="26.25" customHeight="1" x14ac:dyDescent="0.4">
      <c r="A21" s="325" t="s">
        <v>35</v>
      </c>
      <c r="B21" s="331" t="s">
        <v>146</v>
      </c>
      <c r="C21" s="331"/>
      <c r="D21" s="331"/>
      <c r="E21" s="331"/>
      <c r="F21" s="331"/>
      <c r="G21" s="331"/>
      <c r="H21" s="331"/>
      <c r="I21" s="332"/>
    </row>
    <row r="22" spans="1:14" ht="26.25" customHeight="1" x14ac:dyDescent="0.4">
      <c r="A22" s="325" t="s">
        <v>36</v>
      </c>
      <c r="B22" s="333">
        <v>42552</v>
      </c>
      <c r="C22" s="329"/>
      <c r="D22" s="329"/>
      <c r="E22" s="329"/>
      <c r="F22" s="329"/>
      <c r="G22" s="329"/>
      <c r="H22" s="329"/>
    </row>
    <row r="23" spans="1:14" ht="26.25" customHeight="1" x14ac:dyDescent="0.4">
      <c r="A23" s="325" t="s">
        <v>37</v>
      </c>
      <c r="B23" s="333">
        <v>42556</v>
      </c>
      <c r="C23" s="329"/>
      <c r="D23" s="329"/>
      <c r="E23" s="329"/>
      <c r="F23" s="329"/>
      <c r="G23" s="329"/>
      <c r="H23" s="329"/>
    </row>
    <row r="24" spans="1:14" ht="18.75" x14ac:dyDescent="0.3">
      <c r="A24" s="325"/>
      <c r="B24" s="334"/>
    </row>
    <row r="25" spans="1:14" ht="18.75" x14ac:dyDescent="0.3">
      <c r="A25" s="335" t="s">
        <v>1</v>
      </c>
      <c r="B25" s="334"/>
    </row>
    <row r="26" spans="1:14" ht="26.25" customHeight="1" x14ac:dyDescent="0.4">
      <c r="A26" s="336" t="s">
        <v>4</v>
      </c>
      <c r="B26" s="326" t="s">
        <v>147</v>
      </c>
      <c r="C26" s="326"/>
    </row>
    <row r="27" spans="1:14" ht="26.25" customHeight="1" x14ac:dyDescent="0.4">
      <c r="A27" s="337" t="s">
        <v>47</v>
      </c>
      <c r="B27" s="338" t="s">
        <v>148</v>
      </c>
      <c r="C27" s="338"/>
    </row>
    <row r="28" spans="1:14" ht="27" customHeight="1" thickBot="1" x14ac:dyDescent="0.45">
      <c r="A28" s="337" t="s">
        <v>6</v>
      </c>
      <c r="B28" s="339">
        <v>99.63</v>
      </c>
    </row>
    <row r="29" spans="1:14" s="344" customFormat="1" ht="27" customHeight="1" thickBot="1" x14ac:dyDescent="0.45">
      <c r="A29" s="337" t="s">
        <v>48</v>
      </c>
      <c r="B29" s="340">
        <v>0</v>
      </c>
      <c r="C29" s="341" t="s">
        <v>105</v>
      </c>
      <c r="D29" s="342"/>
      <c r="E29" s="342"/>
      <c r="F29" s="342"/>
      <c r="G29" s="343"/>
      <c r="I29" s="345"/>
      <c r="J29" s="345"/>
      <c r="K29" s="345"/>
      <c r="L29" s="345"/>
    </row>
    <row r="30" spans="1:14" s="344" customFormat="1" ht="19.5" customHeight="1" thickBot="1" x14ac:dyDescent="0.35">
      <c r="A30" s="337" t="s">
        <v>50</v>
      </c>
      <c r="B30" s="346">
        <f>B28-B29</f>
        <v>99.63</v>
      </c>
      <c r="C30" s="347"/>
      <c r="D30" s="347"/>
      <c r="E30" s="347"/>
      <c r="F30" s="347"/>
      <c r="G30" s="348"/>
      <c r="I30" s="345"/>
      <c r="J30" s="345"/>
      <c r="K30" s="345"/>
      <c r="L30" s="345"/>
    </row>
    <row r="31" spans="1:14" s="344" customFormat="1" ht="27" customHeight="1" thickBot="1" x14ac:dyDescent="0.45">
      <c r="A31" s="337" t="s">
        <v>51</v>
      </c>
      <c r="B31" s="349">
        <v>415.95699999999999</v>
      </c>
      <c r="C31" s="350" t="s">
        <v>52</v>
      </c>
      <c r="D31" s="351"/>
      <c r="E31" s="351"/>
      <c r="F31" s="351"/>
      <c r="G31" s="351"/>
      <c r="H31" s="352"/>
      <c r="I31" s="345"/>
      <c r="J31" s="345"/>
      <c r="K31" s="345"/>
      <c r="L31" s="345"/>
    </row>
    <row r="32" spans="1:14" s="344" customFormat="1" ht="27" customHeight="1" thickBot="1" x14ac:dyDescent="0.45">
      <c r="A32" s="337" t="s">
        <v>53</v>
      </c>
      <c r="B32" s="349">
        <v>532.029</v>
      </c>
      <c r="C32" s="350" t="s">
        <v>54</v>
      </c>
      <c r="D32" s="351"/>
      <c r="E32" s="351"/>
      <c r="F32" s="351"/>
      <c r="G32" s="351"/>
      <c r="H32" s="352"/>
      <c r="I32" s="345"/>
      <c r="J32" s="345"/>
      <c r="K32" s="345"/>
      <c r="L32" s="353"/>
      <c r="M32" s="353"/>
      <c r="N32" s="354"/>
    </row>
    <row r="33" spans="1:14" s="344" customFormat="1" ht="17.25" customHeight="1" x14ac:dyDescent="0.3">
      <c r="A33" s="337"/>
      <c r="B33" s="355"/>
      <c r="C33" s="356"/>
      <c r="D33" s="356"/>
      <c r="E33" s="356"/>
      <c r="F33" s="356"/>
      <c r="G33" s="356"/>
      <c r="H33" s="356"/>
      <c r="I33" s="345"/>
      <c r="J33" s="345"/>
      <c r="K33" s="345"/>
      <c r="L33" s="353"/>
      <c r="M33" s="353"/>
      <c r="N33" s="354"/>
    </row>
    <row r="34" spans="1:14" s="344" customFormat="1" ht="18.75" x14ac:dyDescent="0.3">
      <c r="A34" s="337" t="s">
        <v>55</v>
      </c>
      <c r="B34" s="357">
        <f>B31/B32</f>
        <v>0.78183144151916528</v>
      </c>
      <c r="C34" s="319" t="s">
        <v>56</v>
      </c>
      <c r="D34" s="319"/>
      <c r="E34" s="319"/>
      <c r="F34" s="319"/>
      <c r="G34" s="319"/>
      <c r="I34" s="345"/>
      <c r="J34" s="345"/>
      <c r="K34" s="345"/>
      <c r="L34" s="353"/>
      <c r="M34" s="353"/>
      <c r="N34" s="354"/>
    </row>
    <row r="35" spans="1:14" s="344" customFormat="1" ht="19.5" customHeight="1" thickBot="1" x14ac:dyDescent="0.35">
      <c r="A35" s="337"/>
      <c r="B35" s="346"/>
      <c r="G35" s="319"/>
      <c r="I35" s="345"/>
      <c r="J35" s="345"/>
      <c r="K35" s="345"/>
      <c r="L35" s="353"/>
      <c r="M35" s="353"/>
      <c r="N35" s="354"/>
    </row>
    <row r="36" spans="1:14" s="344" customFormat="1" ht="27" customHeight="1" thickBot="1" x14ac:dyDescent="0.45">
      <c r="A36" s="358" t="s">
        <v>123</v>
      </c>
      <c r="B36" s="359">
        <v>100</v>
      </c>
      <c r="C36" s="319"/>
      <c r="D36" s="360" t="s">
        <v>58</v>
      </c>
      <c r="E36" s="361"/>
      <c r="F36" s="360" t="s">
        <v>59</v>
      </c>
      <c r="G36" s="362"/>
      <c r="J36" s="345"/>
      <c r="K36" s="345"/>
      <c r="L36" s="353"/>
      <c r="M36" s="353"/>
      <c r="N36" s="354"/>
    </row>
    <row r="37" spans="1:14" s="344" customFormat="1" ht="27" customHeight="1" thickBot="1" x14ac:dyDescent="0.45">
      <c r="A37" s="363" t="s">
        <v>60</v>
      </c>
      <c r="B37" s="364">
        <v>5</v>
      </c>
      <c r="C37" s="365" t="s">
        <v>61</v>
      </c>
      <c r="D37" s="366" t="s">
        <v>62</v>
      </c>
      <c r="E37" s="367" t="s">
        <v>63</v>
      </c>
      <c r="F37" s="366" t="s">
        <v>62</v>
      </c>
      <c r="G37" s="368" t="s">
        <v>63</v>
      </c>
      <c r="I37" s="369" t="s">
        <v>124</v>
      </c>
      <c r="J37" s="345"/>
      <c r="K37" s="345"/>
      <c r="L37" s="353"/>
      <c r="M37" s="353"/>
      <c r="N37" s="354"/>
    </row>
    <row r="38" spans="1:14" s="344" customFormat="1" ht="26.25" customHeight="1" x14ac:dyDescent="0.4">
      <c r="A38" s="363" t="s">
        <v>64</v>
      </c>
      <c r="B38" s="364">
        <v>20</v>
      </c>
      <c r="C38" s="370">
        <v>1</v>
      </c>
      <c r="D38" s="371">
        <v>100414978</v>
      </c>
      <c r="E38" s="372">
        <f>IF(ISBLANK(D38),"-",$D$48/$D$45*D38)</f>
        <v>133501681.04057716</v>
      </c>
      <c r="F38" s="371">
        <v>111222587</v>
      </c>
      <c r="G38" s="373">
        <f>IF(ISBLANK(F38),"-",$D$48/$F$45*F38)</f>
        <v>133895829.05623354</v>
      </c>
      <c r="I38" s="374"/>
      <c r="J38" s="345"/>
      <c r="K38" s="345"/>
      <c r="L38" s="353"/>
      <c r="M38" s="353"/>
      <c r="N38" s="354"/>
    </row>
    <row r="39" spans="1:14" s="344" customFormat="1" ht="26.25" customHeight="1" x14ac:dyDescent="0.4">
      <c r="A39" s="363" t="s">
        <v>65</v>
      </c>
      <c r="B39" s="364">
        <v>1</v>
      </c>
      <c r="C39" s="375">
        <v>2</v>
      </c>
      <c r="D39" s="376">
        <v>99966981</v>
      </c>
      <c r="E39" s="377">
        <f>IF(ISBLANK(D39),"-",$D$48/$D$45*D39)</f>
        <v>132906069.17278254</v>
      </c>
      <c r="F39" s="376">
        <v>111093545</v>
      </c>
      <c r="G39" s="378">
        <f>IF(ISBLANK(F39),"-",$D$48/$F$45*F39)</f>
        <v>133740481.24389508</v>
      </c>
      <c r="I39" s="379">
        <f>ABS((F43/D43*D42)-F42)/D42</f>
        <v>1.7561876424012251E-3</v>
      </c>
      <c r="J39" s="345"/>
      <c r="K39" s="345"/>
      <c r="L39" s="353"/>
      <c r="M39" s="353"/>
      <c r="N39" s="354"/>
    </row>
    <row r="40" spans="1:14" ht="26.25" customHeight="1" x14ac:dyDescent="0.4">
      <c r="A40" s="363" t="s">
        <v>66</v>
      </c>
      <c r="B40" s="364">
        <v>1</v>
      </c>
      <c r="C40" s="375">
        <v>3</v>
      </c>
      <c r="D40" s="376">
        <v>100741144</v>
      </c>
      <c r="E40" s="377">
        <f>IF(ISBLANK(D40),"-",$D$48/$D$45*D40)</f>
        <v>133935318.63295189</v>
      </c>
      <c r="F40" s="376">
        <v>109706039</v>
      </c>
      <c r="G40" s="378">
        <f>IF(ISBLANK(F40),"-",$D$48/$F$45*F40)</f>
        <v>132070125.68751426</v>
      </c>
      <c r="I40" s="379"/>
      <c r="L40" s="353"/>
      <c r="M40" s="353"/>
      <c r="N40" s="319"/>
    </row>
    <row r="41" spans="1:14" ht="27" customHeight="1" thickBot="1" x14ac:dyDescent="0.45">
      <c r="A41" s="363" t="s">
        <v>67</v>
      </c>
      <c r="B41" s="364">
        <v>1</v>
      </c>
      <c r="C41" s="380">
        <v>4</v>
      </c>
      <c r="D41" s="381"/>
      <c r="E41" s="382" t="str">
        <f>IF(ISBLANK(D41),"-",$D$48/$D$45*D41)</f>
        <v>-</v>
      </c>
      <c r="F41" s="381"/>
      <c r="G41" s="383" t="str">
        <f>IF(ISBLANK(F41),"-",$D$48/$F$45*F41)</f>
        <v>-</v>
      </c>
      <c r="I41" s="384"/>
      <c r="L41" s="353"/>
      <c r="M41" s="353"/>
      <c r="N41" s="319"/>
    </row>
    <row r="42" spans="1:14" ht="27" customHeight="1" thickBot="1" x14ac:dyDescent="0.45">
      <c r="A42" s="363" t="s">
        <v>68</v>
      </c>
      <c r="B42" s="364">
        <v>1</v>
      </c>
      <c r="C42" s="385" t="s">
        <v>69</v>
      </c>
      <c r="D42" s="386">
        <f>AVERAGE(D38:D41)</f>
        <v>100374367.66666667</v>
      </c>
      <c r="E42" s="387">
        <f>AVERAGE(E38:E41)</f>
        <v>133447689.61543719</v>
      </c>
      <c r="F42" s="386">
        <f>AVERAGE(F38:F41)</f>
        <v>110674057</v>
      </c>
      <c r="G42" s="388">
        <f>AVERAGE(G38:G41)</f>
        <v>133235478.66254763</v>
      </c>
      <c r="H42" s="389"/>
    </row>
    <row r="43" spans="1:14" ht="26.25" customHeight="1" x14ac:dyDescent="0.4">
      <c r="A43" s="363" t="s">
        <v>70</v>
      </c>
      <c r="B43" s="364">
        <v>1</v>
      </c>
      <c r="C43" s="390" t="s">
        <v>125</v>
      </c>
      <c r="D43" s="391">
        <v>12.36</v>
      </c>
      <c r="E43" s="319"/>
      <c r="F43" s="391">
        <v>13.65</v>
      </c>
      <c r="H43" s="389"/>
    </row>
    <row r="44" spans="1:14" ht="26.25" customHeight="1" x14ac:dyDescent="0.4">
      <c r="A44" s="363" t="s">
        <v>72</v>
      </c>
      <c r="B44" s="364">
        <v>1</v>
      </c>
      <c r="C44" s="392" t="s">
        <v>126</v>
      </c>
      <c r="D44" s="393">
        <f>D43*$B$34</f>
        <v>9.6634366171768828</v>
      </c>
      <c r="E44" s="394"/>
      <c r="F44" s="393">
        <f>F43*$B$34</f>
        <v>10.671999176736607</v>
      </c>
      <c r="H44" s="389"/>
    </row>
    <row r="45" spans="1:14" ht="19.5" customHeight="1" thickBot="1" x14ac:dyDescent="0.35">
      <c r="A45" s="363" t="s">
        <v>74</v>
      </c>
      <c r="B45" s="375">
        <f>(B44/B43)*(B42/B41)*(B40/B39)*(B38/B37)*B36</f>
        <v>400</v>
      </c>
      <c r="C45" s="392" t="s">
        <v>75</v>
      </c>
      <c r="D45" s="395">
        <f>D44*$B$30/100</f>
        <v>9.6276819016933288</v>
      </c>
      <c r="E45" s="396"/>
      <c r="F45" s="395">
        <f>F44*$B$30/100</f>
        <v>10.63251277978268</v>
      </c>
      <c r="H45" s="389"/>
    </row>
    <row r="46" spans="1:14" ht="19.5" customHeight="1" thickBot="1" x14ac:dyDescent="0.35">
      <c r="A46" s="397" t="s">
        <v>76</v>
      </c>
      <c r="B46" s="398"/>
      <c r="C46" s="392" t="s">
        <v>77</v>
      </c>
      <c r="D46" s="399">
        <f>D45/$B$45</f>
        <v>2.4069204754233322E-2</v>
      </c>
      <c r="E46" s="400"/>
      <c r="F46" s="401">
        <f>F45/$B$45</f>
        <v>2.6581281949456699E-2</v>
      </c>
      <c r="H46" s="389"/>
    </row>
    <row r="47" spans="1:14" ht="27" customHeight="1" thickBot="1" x14ac:dyDescent="0.45">
      <c r="A47" s="402"/>
      <c r="B47" s="403"/>
      <c r="C47" s="404" t="s">
        <v>127</v>
      </c>
      <c r="D47" s="405">
        <v>3.2000000000000001E-2</v>
      </c>
      <c r="E47" s="406"/>
      <c r="F47" s="400"/>
      <c r="H47" s="389"/>
    </row>
    <row r="48" spans="1:14" ht="18.75" x14ac:dyDescent="0.3">
      <c r="C48" s="407" t="s">
        <v>79</v>
      </c>
      <c r="D48" s="395">
        <f>D47*$B$45</f>
        <v>12.8</v>
      </c>
      <c r="F48" s="408"/>
      <c r="H48" s="389"/>
    </row>
    <row r="49" spans="1:12" ht="19.5" customHeight="1" thickBot="1" x14ac:dyDescent="0.35">
      <c r="C49" s="409" t="s">
        <v>80</v>
      </c>
      <c r="D49" s="410">
        <f>D48/B34</f>
        <v>16.371815355914194</v>
      </c>
      <c r="F49" s="408"/>
      <c r="H49" s="389"/>
    </row>
    <row r="50" spans="1:12" ht="18.75" x14ac:dyDescent="0.3">
      <c r="C50" s="358" t="s">
        <v>81</v>
      </c>
      <c r="D50" s="411">
        <f>AVERAGE(E38:E41,G38:G41)</f>
        <v>133341584.13899241</v>
      </c>
      <c r="F50" s="412"/>
      <c r="H50" s="389"/>
    </row>
    <row r="51" spans="1:12" ht="18.75" x14ac:dyDescent="0.3">
      <c r="C51" s="363" t="s">
        <v>82</v>
      </c>
      <c r="D51" s="413">
        <f>STDEV(E38:E41,G38:G41)/D50</f>
        <v>5.4605046247223482E-3</v>
      </c>
      <c r="F51" s="412"/>
      <c r="H51" s="389"/>
    </row>
    <row r="52" spans="1:12" ht="19.5" customHeight="1" thickBot="1" x14ac:dyDescent="0.35">
      <c r="C52" s="414" t="s">
        <v>20</v>
      </c>
      <c r="D52" s="415">
        <f>COUNT(E38:E41,G38:G41)</f>
        <v>6</v>
      </c>
      <c r="F52" s="412"/>
    </row>
    <row r="54" spans="1:12" ht="18.75" x14ac:dyDescent="0.3">
      <c r="A54" s="416" t="s">
        <v>1</v>
      </c>
      <c r="B54" s="417" t="s">
        <v>83</v>
      </c>
    </row>
    <row r="55" spans="1:12" ht="18.75" x14ac:dyDescent="0.3">
      <c r="A55" s="319" t="s">
        <v>84</v>
      </c>
      <c r="B55" s="418" t="str">
        <f>B21</f>
        <v>Rupatadine 10MG</v>
      </c>
    </row>
    <row r="56" spans="1:12" ht="26.25" customHeight="1" x14ac:dyDescent="0.4">
      <c r="A56" s="418" t="s">
        <v>85</v>
      </c>
      <c r="B56" s="419">
        <v>10</v>
      </c>
      <c r="C56" s="319" t="str">
        <f>B20</f>
        <v>Rupatadine</v>
      </c>
      <c r="H56" s="394"/>
    </row>
    <row r="57" spans="1:12" ht="18.75" x14ac:dyDescent="0.3">
      <c r="A57" s="418" t="s">
        <v>86</v>
      </c>
      <c r="B57" s="420">
        <f>Uniformity!C46</f>
        <v>100.7765</v>
      </c>
      <c r="H57" s="394"/>
    </row>
    <row r="58" spans="1:12" ht="19.5" customHeight="1" thickBot="1" x14ac:dyDescent="0.35">
      <c r="H58" s="394"/>
    </row>
    <row r="59" spans="1:12" s="344" customFormat="1" ht="27" customHeight="1" thickBot="1" x14ac:dyDescent="0.45">
      <c r="A59" s="358" t="s">
        <v>128</v>
      </c>
      <c r="B59" s="359">
        <v>100</v>
      </c>
      <c r="C59" s="319"/>
      <c r="D59" s="421" t="s">
        <v>129</v>
      </c>
      <c r="E59" s="422" t="s">
        <v>61</v>
      </c>
      <c r="F59" s="422" t="s">
        <v>62</v>
      </c>
      <c r="G59" s="422" t="s">
        <v>130</v>
      </c>
      <c r="H59" s="365" t="s">
        <v>131</v>
      </c>
      <c r="L59" s="345"/>
    </row>
    <row r="60" spans="1:12" s="344" customFormat="1" ht="26.25" customHeight="1" x14ac:dyDescent="0.4">
      <c r="A60" s="363" t="s">
        <v>132</v>
      </c>
      <c r="B60" s="364">
        <v>5</v>
      </c>
      <c r="C60" s="423" t="s">
        <v>133</v>
      </c>
      <c r="D60" s="424">
        <v>500.06</v>
      </c>
      <c r="E60" s="425">
        <v>1</v>
      </c>
      <c r="F60" s="426">
        <v>102036040</v>
      </c>
      <c r="G60" s="427">
        <f>IF(ISBLANK(F60),"-",(F60/$D$50*$D$47*$B$68)*($B$57/$D$60))</f>
        <v>9.8697263962421484</v>
      </c>
      <c r="H60" s="428">
        <f t="shared" ref="H60:H71" si="0">IF(ISBLANK(F60),"-",G60/$B$56)</f>
        <v>0.98697263962421489</v>
      </c>
      <c r="L60" s="345"/>
    </row>
    <row r="61" spans="1:12" s="344" customFormat="1" ht="26.25" customHeight="1" x14ac:dyDescent="0.4">
      <c r="A61" s="363" t="s">
        <v>113</v>
      </c>
      <c r="B61" s="364">
        <v>100</v>
      </c>
      <c r="C61" s="429"/>
      <c r="D61" s="430"/>
      <c r="E61" s="431">
        <v>2</v>
      </c>
      <c r="F61" s="376">
        <v>101951087</v>
      </c>
      <c r="G61" s="432">
        <f>IF(ISBLANK(F61),"-",(F61/$D$50*$D$47*$B$68)*($B$57/$D$60))</f>
        <v>9.8615090755137089</v>
      </c>
      <c r="H61" s="433">
        <f t="shared" si="0"/>
        <v>0.98615090755137091</v>
      </c>
      <c r="L61" s="345"/>
    </row>
    <row r="62" spans="1:12" s="344" customFormat="1" ht="26.25" customHeight="1" x14ac:dyDescent="0.4">
      <c r="A62" s="363" t="s">
        <v>114</v>
      </c>
      <c r="B62" s="364">
        <v>1</v>
      </c>
      <c r="C62" s="429"/>
      <c r="D62" s="430"/>
      <c r="E62" s="431">
        <v>3</v>
      </c>
      <c r="F62" s="434">
        <v>102278556</v>
      </c>
      <c r="G62" s="432">
        <f>IF(ISBLANK(F62),"-",(F62/$D$50*$D$47*$B$68)*($B$57/$D$60))</f>
        <v>9.8931844466203387</v>
      </c>
      <c r="H62" s="433">
        <f t="shared" si="0"/>
        <v>0.98931844466203389</v>
      </c>
      <c r="L62" s="345"/>
    </row>
    <row r="63" spans="1:12" ht="27" customHeight="1" thickBot="1" x14ac:dyDescent="0.45">
      <c r="A63" s="363" t="s">
        <v>115</v>
      </c>
      <c r="B63" s="364">
        <v>1</v>
      </c>
      <c r="C63" s="435"/>
      <c r="D63" s="436"/>
      <c r="E63" s="437">
        <v>4</v>
      </c>
      <c r="F63" s="438"/>
      <c r="G63" s="432" t="str">
        <f>IF(ISBLANK(F63),"-",(F63/$D$50*$D$47*$B$68)*($B$57/$D$60))</f>
        <v>-</v>
      </c>
      <c r="H63" s="433" t="str">
        <f t="shared" si="0"/>
        <v>-</v>
      </c>
    </row>
    <row r="64" spans="1:12" ht="26.25" customHeight="1" x14ac:dyDescent="0.4">
      <c r="A64" s="363" t="s">
        <v>116</v>
      </c>
      <c r="B64" s="364">
        <v>1</v>
      </c>
      <c r="C64" s="423" t="s">
        <v>134</v>
      </c>
      <c r="D64" s="424">
        <v>496.96</v>
      </c>
      <c r="E64" s="425">
        <v>1</v>
      </c>
      <c r="F64" s="426">
        <v>102835194</v>
      </c>
      <c r="G64" s="439">
        <f>IF(ISBLANK(F64),"-",(F64/$D$50*$D$47*$B$68)*($B$57/$D$64))</f>
        <v>10.009075664803314</v>
      </c>
      <c r="H64" s="440">
        <f t="shared" si="0"/>
        <v>1.0009075664803313</v>
      </c>
    </row>
    <row r="65" spans="1:8" ht="26.25" customHeight="1" x14ac:dyDescent="0.4">
      <c r="A65" s="363" t="s">
        <v>117</v>
      </c>
      <c r="B65" s="364">
        <v>1</v>
      </c>
      <c r="C65" s="429"/>
      <c r="D65" s="430"/>
      <c r="E65" s="431">
        <v>2</v>
      </c>
      <c r="F65" s="376">
        <v>101364638</v>
      </c>
      <c r="G65" s="441">
        <f>IF(ISBLANK(F65),"-",(F65/$D$50*$D$47*$B$68)*($B$57/$D$64))</f>
        <v>9.8659446441788905</v>
      </c>
      <c r="H65" s="442">
        <f t="shared" si="0"/>
        <v>0.98659446441788901</v>
      </c>
    </row>
    <row r="66" spans="1:8" ht="26.25" customHeight="1" x14ac:dyDescent="0.4">
      <c r="A66" s="363" t="s">
        <v>118</v>
      </c>
      <c r="B66" s="364">
        <v>1</v>
      </c>
      <c r="C66" s="429"/>
      <c r="D66" s="430"/>
      <c r="E66" s="431">
        <v>3</v>
      </c>
      <c r="F66" s="376">
        <v>101339433</v>
      </c>
      <c r="G66" s="441">
        <f>IF(ISBLANK(F66),"-",(F66/$D$50*$D$47*$B$68)*($B$57/$D$64))</f>
        <v>9.8634914105891198</v>
      </c>
      <c r="H66" s="442">
        <f t="shared" si="0"/>
        <v>0.98634914105891203</v>
      </c>
    </row>
    <row r="67" spans="1:8" ht="27" customHeight="1" thickBot="1" x14ac:dyDescent="0.45">
      <c r="A67" s="363" t="s">
        <v>119</v>
      </c>
      <c r="B67" s="364">
        <v>1</v>
      </c>
      <c r="C67" s="435"/>
      <c r="D67" s="436"/>
      <c r="E67" s="437">
        <v>4</v>
      </c>
      <c r="F67" s="438"/>
      <c r="G67" s="443" t="str">
        <f>IF(ISBLANK(F67),"-",(F67/$D$50*$D$47*$B$68)*($B$57/$D$64))</f>
        <v>-</v>
      </c>
      <c r="H67" s="444" t="str">
        <f t="shared" si="0"/>
        <v>-</v>
      </c>
    </row>
    <row r="68" spans="1:8" ht="26.25" customHeight="1" x14ac:dyDescent="0.4">
      <c r="A68" s="363" t="s">
        <v>120</v>
      </c>
      <c r="B68" s="445">
        <f>(B67/B66)*(B65/B64)*(B63/B62)*(B61/B60)*B59</f>
        <v>2000</v>
      </c>
      <c r="C68" s="423" t="s">
        <v>135</v>
      </c>
      <c r="D68" s="424">
        <v>502.19</v>
      </c>
      <c r="E68" s="425">
        <v>1</v>
      </c>
      <c r="F68" s="426">
        <v>102582538</v>
      </c>
      <c r="G68" s="439">
        <f>IF(ISBLANK(F68),"-",(F68/$D$50*$D$47*$B$68)*($B$57/$D$68))</f>
        <v>9.8805020822367453</v>
      </c>
      <c r="H68" s="433">
        <f t="shared" si="0"/>
        <v>0.98805020822367451</v>
      </c>
    </row>
    <row r="69" spans="1:8" ht="27" customHeight="1" thickBot="1" x14ac:dyDescent="0.45">
      <c r="A69" s="414" t="s">
        <v>136</v>
      </c>
      <c r="B69" s="446">
        <f>(D47*B68)/B56*B57</f>
        <v>644.96960000000001</v>
      </c>
      <c r="C69" s="429"/>
      <c r="D69" s="430"/>
      <c r="E69" s="431">
        <v>2</v>
      </c>
      <c r="F69" s="376">
        <v>101619574</v>
      </c>
      <c r="G69" s="441">
        <f>IF(ISBLANK(F69),"-",(F69/$D$50*$D$47*$B$68)*($B$57/$D$68))</f>
        <v>9.787751717578006</v>
      </c>
      <c r="H69" s="433">
        <f t="shared" si="0"/>
        <v>0.9787751717578006</v>
      </c>
    </row>
    <row r="70" spans="1:8" ht="26.25" customHeight="1" x14ac:dyDescent="0.4">
      <c r="A70" s="447" t="s">
        <v>76</v>
      </c>
      <c r="B70" s="448"/>
      <c r="C70" s="429"/>
      <c r="D70" s="430"/>
      <c r="E70" s="431">
        <v>3</v>
      </c>
      <c r="F70" s="376">
        <v>101649797</v>
      </c>
      <c r="G70" s="441">
        <f>IF(ISBLANK(F70),"-",(F70/$D$50*$D$47*$B$68)*($B$57/$D$68))</f>
        <v>9.7906627238784303</v>
      </c>
      <c r="H70" s="433">
        <f t="shared" si="0"/>
        <v>0.97906627238784305</v>
      </c>
    </row>
    <row r="71" spans="1:8" ht="27" customHeight="1" thickBot="1" x14ac:dyDescent="0.45">
      <c r="A71" s="449"/>
      <c r="B71" s="450"/>
      <c r="C71" s="451"/>
      <c r="D71" s="436"/>
      <c r="E71" s="437">
        <v>4</v>
      </c>
      <c r="F71" s="438"/>
      <c r="G71" s="443" t="str">
        <f>IF(ISBLANK(F71),"-",(F71/$D$50*$D$47*$B$68)*($B$57/$D$68))</f>
        <v>-</v>
      </c>
      <c r="H71" s="452" t="str">
        <f t="shared" si="0"/>
        <v>-</v>
      </c>
    </row>
    <row r="72" spans="1:8" ht="26.25" customHeight="1" x14ac:dyDescent="0.4">
      <c r="A72" s="394"/>
      <c r="B72" s="394"/>
      <c r="C72" s="394"/>
      <c r="D72" s="394"/>
      <c r="E72" s="394"/>
      <c r="F72" s="453" t="s">
        <v>69</v>
      </c>
      <c r="G72" s="454">
        <f>AVERAGE(G60:G71)</f>
        <v>9.8690942401822994</v>
      </c>
      <c r="H72" s="455">
        <f>AVERAGE(H60:H71)</f>
        <v>0.98690942401823001</v>
      </c>
    </row>
    <row r="73" spans="1:8" ht="26.25" customHeight="1" x14ac:dyDescent="0.4">
      <c r="C73" s="394"/>
      <c r="D73" s="394"/>
      <c r="E73" s="394"/>
      <c r="F73" s="456" t="s">
        <v>82</v>
      </c>
      <c r="G73" s="457">
        <f>STDEV(G60:G71)/G72</f>
        <v>6.5248069775601198E-3</v>
      </c>
      <c r="H73" s="457">
        <f>STDEV(H60:H71)/H72</f>
        <v>6.5248069775600921E-3</v>
      </c>
    </row>
    <row r="74" spans="1:8" ht="27" customHeight="1" thickBot="1" x14ac:dyDescent="0.45">
      <c r="A74" s="394"/>
      <c r="B74" s="394"/>
      <c r="C74" s="394"/>
      <c r="D74" s="394"/>
      <c r="E74" s="396"/>
      <c r="F74" s="458" t="s">
        <v>20</v>
      </c>
      <c r="G74" s="459">
        <f>COUNT(G60:G71)</f>
        <v>9</v>
      </c>
      <c r="H74" s="459">
        <f>COUNT(H60:H71)</f>
        <v>9</v>
      </c>
    </row>
    <row r="76" spans="1:8" ht="26.25" customHeight="1" x14ac:dyDescent="0.4">
      <c r="A76" s="336" t="s">
        <v>137</v>
      </c>
      <c r="B76" s="337" t="s">
        <v>95</v>
      </c>
      <c r="C76" s="460" t="str">
        <f>B20</f>
        <v>Rupatadine</v>
      </c>
      <c r="D76" s="460"/>
      <c r="E76" s="319" t="s">
        <v>96</v>
      </c>
      <c r="F76" s="319"/>
      <c r="G76" s="461">
        <f>H72</f>
        <v>0.98690942401823001</v>
      </c>
      <c r="H76" s="346"/>
    </row>
    <row r="77" spans="1:8" ht="18.75" x14ac:dyDescent="0.3">
      <c r="A77" s="335" t="s">
        <v>103</v>
      </c>
      <c r="B77" s="335" t="s">
        <v>104</v>
      </c>
    </row>
    <row r="78" spans="1:8" ht="18.75" x14ac:dyDescent="0.3">
      <c r="A78" s="335"/>
      <c r="B78" s="335"/>
    </row>
    <row r="79" spans="1:8" ht="26.25" customHeight="1" x14ac:dyDescent="0.4">
      <c r="A79" s="336" t="s">
        <v>4</v>
      </c>
      <c r="B79" s="462" t="str">
        <f>B26</f>
        <v>Rupatadine Fumarate</v>
      </c>
      <c r="C79" s="462"/>
    </row>
    <row r="80" spans="1:8" ht="26.25" customHeight="1" x14ac:dyDescent="0.4">
      <c r="A80" s="337" t="s">
        <v>47</v>
      </c>
      <c r="B80" s="462" t="str">
        <f>B27</f>
        <v>R 11 1</v>
      </c>
      <c r="C80" s="462"/>
    </row>
    <row r="81" spans="1:12" ht="27" customHeight="1" thickBot="1" x14ac:dyDescent="0.45">
      <c r="A81" s="337" t="s">
        <v>6</v>
      </c>
      <c r="B81" s="339">
        <f>B28</f>
        <v>99.63</v>
      </c>
    </row>
    <row r="82" spans="1:12" s="344" customFormat="1" ht="27" customHeight="1" thickBot="1" x14ac:dyDescent="0.45">
      <c r="A82" s="337" t="s">
        <v>48</v>
      </c>
      <c r="B82" s="340">
        <v>0</v>
      </c>
      <c r="C82" s="341" t="s">
        <v>105</v>
      </c>
      <c r="D82" s="342"/>
      <c r="E82" s="342"/>
      <c r="F82" s="342"/>
      <c r="G82" s="343"/>
      <c r="I82" s="345"/>
      <c r="J82" s="345"/>
      <c r="K82" s="345"/>
      <c r="L82" s="345"/>
    </row>
    <row r="83" spans="1:12" s="344" customFormat="1" ht="19.5" customHeight="1" thickBot="1" x14ac:dyDescent="0.35">
      <c r="A83" s="337" t="s">
        <v>50</v>
      </c>
      <c r="B83" s="346">
        <f>B81-B82</f>
        <v>99.63</v>
      </c>
      <c r="C83" s="347"/>
      <c r="D83" s="347"/>
      <c r="E83" s="347"/>
      <c r="F83" s="347"/>
      <c r="G83" s="348"/>
      <c r="I83" s="345"/>
      <c r="J83" s="345"/>
      <c r="K83" s="345"/>
      <c r="L83" s="345"/>
    </row>
    <row r="84" spans="1:12" s="344" customFormat="1" ht="27" customHeight="1" thickBot="1" x14ac:dyDescent="0.45">
      <c r="A84" s="337" t="s">
        <v>51</v>
      </c>
      <c r="B84" s="349">
        <v>415.95699999999999</v>
      </c>
      <c r="C84" s="350" t="s">
        <v>138</v>
      </c>
      <c r="D84" s="351"/>
      <c r="E84" s="351"/>
      <c r="F84" s="351"/>
      <c r="G84" s="351"/>
      <c r="H84" s="352"/>
      <c r="I84" s="345"/>
      <c r="J84" s="345"/>
      <c r="K84" s="345"/>
      <c r="L84" s="345"/>
    </row>
    <row r="85" spans="1:12" s="344" customFormat="1" ht="27" customHeight="1" thickBot="1" x14ac:dyDescent="0.45">
      <c r="A85" s="337" t="s">
        <v>53</v>
      </c>
      <c r="B85" s="349">
        <v>532.029</v>
      </c>
      <c r="C85" s="350" t="s">
        <v>139</v>
      </c>
      <c r="D85" s="351"/>
      <c r="E85" s="351"/>
      <c r="F85" s="351"/>
      <c r="G85" s="351"/>
      <c r="H85" s="352"/>
      <c r="I85" s="345"/>
      <c r="J85" s="345"/>
      <c r="K85" s="345"/>
      <c r="L85" s="345"/>
    </row>
    <row r="86" spans="1:12" s="344" customFormat="1" ht="18.75" x14ac:dyDescent="0.3">
      <c r="A86" s="337"/>
      <c r="B86" s="355"/>
      <c r="C86" s="356"/>
      <c r="D86" s="356"/>
      <c r="E86" s="356"/>
      <c r="F86" s="356"/>
      <c r="G86" s="356"/>
      <c r="H86" s="356"/>
      <c r="I86" s="345"/>
      <c r="J86" s="345"/>
      <c r="K86" s="345"/>
      <c r="L86" s="345"/>
    </row>
    <row r="87" spans="1:12" s="344" customFormat="1" ht="18.75" x14ac:dyDescent="0.3">
      <c r="A87" s="337" t="s">
        <v>55</v>
      </c>
      <c r="B87" s="357">
        <f>B84/B85</f>
        <v>0.78183144151916528</v>
      </c>
      <c r="C87" s="319" t="s">
        <v>56</v>
      </c>
      <c r="D87" s="319"/>
      <c r="E87" s="319"/>
      <c r="F87" s="319"/>
      <c r="G87" s="319"/>
      <c r="I87" s="345"/>
      <c r="J87" s="345"/>
      <c r="K87" s="345"/>
      <c r="L87" s="345"/>
    </row>
    <row r="88" spans="1:12" ht="19.5" customHeight="1" thickBot="1" x14ac:dyDescent="0.35">
      <c r="A88" s="335"/>
      <c r="B88" s="335"/>
    </row>
    <row r="89" spans="1:12" ht="27" customHeight="1" thickBot="1" x14ac:dyDescent="0.45">
      <c r="A89" s="358" t="s">
        <v>123</v>
      </c>
      <c r="B89" s="359">
        <v>50</v>
      </c>
      <c r="D89" s="463" t="s">
        <v>58</v>
      </c>
      <c r="E89" s="464"/>
      <c r="F89" s="360" t="s">
        <v>59</v>
      </c>
      <c r="G89" s="362"/>
    </row>
    <row r="90" spans="1:12" ht="27" customHeight="1" thickBot="1" x14ac:dyDescent="0.45">
      <c r="A90" s="363" t="s">
        <v>60</v>
      </c>
      <c r="B90" s="364">
        <v>1</v>
      </c>
      <c r="C90" s="465" t="s">
        <v>61</v>
      </c>
      <c r="D90" s="366" t="s">
        <v>62</v>
      </c>
      <c r="E90" s="367" t="s">
        <v>63</v>
      </c>
      <c r="F90" s="366" t="s">
        <v>62</v>
      </c>
      <c r="G90" s="466" t="s">
        <v>63</v>
      </c>
      <c r="I90" s="369" t="s">
        <v>124</v>
      </c>
    </row>
    <row r="91" spans="1:12" ht="26.25" customHeight="1" x14ac:dyDescent="0.4">
      <c r="A91" s="363" t="s">
        <v>64</v>
      </c>
      <c r="B91" s="364">
        <v>50</v>
      </c>
      <c r="C91" s="467">
        <v>1</v>
      </c>
      <c r="D91" s="371">
        <v>0.38800000000000001</v>
      </c>
      <c r="E91" s="372">
        <f>IF(ISBLANK(D91),"-",$D$101/$D$98*D91)</f>
        <v>0.44163711881437023</v>
      </c>
      <c r="F91" s="371">
        <v>0.35499999999999998</v>
      </c>
      <c r="G91" s="373">
        <f>IF(ISBLANK(F91),"-",$D$101/$F$98*F91)</f>
        <v>0.44033655589612258</v>
      </c>
      <c r="I91" s="374"/>
    </row>
    <row r="92" spans="1:12" ht="26.25" customHeight="1" x14ac:dyDescent="0.4">
      <c r="A92" s="363" t="s">
        <v>65</v>
      </c>
      <c r="B92" s="364">
        <v>1</v>
      </c>
      <c r="C92" s="394">
        <v>2</v>
      </c>
      <c r="D92" s="376">
        <v>0.38500000000000001</v>
      </c>
      <c r="E92" s="377">
        <f>IF(ISBLANK(D92),"-",$D$101/$D$98*D92)</f>
        <v>0.43822239882353747</v>
      </c>
      <c r="F92" s="376">
        <v>0.35599999999999998</v>
      </c>
      <c r="G92" s="378">
        <f>IF(ISBLANK(F92),"-",$D$101/$F$98*F92)</f>
        <v>0.44157694056061875</v>
      </c>
      <c r="I92" s="379">
        <f>ABS((F96/D96*D95)-F95)/D95</f>
        <v>2.8331964552766424E-3</v>
      </c>
    </row>
    <row r="93" spans="1:12" ht="26.25" customHeight="1" x14ac:dyDescent="0.4">
      <c r="A93" s="363" t="s">
        <v>66</v>
      </c>
      <c r="B93" s="364">
        <v>1</v>
      </c>
      <c r="C93" s="394">
        <v>3</v>
      </c>
      <c r="D93" s="376">
        <v>0.38400000000000001</v>
      </c>
      <c r="E93" s="377">
        <f>IF(ISBLANK(D93),"-",$D$101/$D$98*D93)</f>
        <v>0.43708415882659324</v>
      </c>
      <c r="F93" s="376">
        <v>0.35399999999999998</v>
      </c>
      <c r="G93" s="378">
        <f>IF(ISBLANK(F93),"-",$D$101/$F$98*F93)</f>
        <v>0.43909617123162648</v>
      </c>
      <c r="I93" s="379"/>
    </row>
    <row r="94" spans="1:12" ht="27" customHeight="1" thickBot="1" x14ac:dyDescent="0.45">
      <c r="A94" s="363" t="s">
        <v>67</v>
      </c>
      <c r="B94" s="364">
        <v>1</v>
      </c>
      <c r="C94" s="468">
        <v>4</v>
      </c>
      <c r="D94" s="381"/>
      <c r="E94" s="382" t="str">
        <f>IF(ISBLANK(D94),"-",$D$101/$D$98*D94)</f>
        <v>-</v>
      </c>
      <c r="F94" s="469"/>
      <c r="G94" s="383" t="str">
        <f>IF(ISBLANK(F94),"-",$D$101/$F$98*F94)</f>
        <v>-</v>
      </c>
      <c r="I94" s="384"/>
    </row>
    <row r="95" spans="1:12" ht="27" customHeight="1" thickBot="1" x14ac:dyDescent="0.45">
      <c r="A95" s="363" t="s">
        <v>68</v>
      </c>
      <c r="B95" s="364">
        <v>1</v>
      </c>
      <c r="C95" s="337" t="s">
        <v>69</v>
      </c>
      <c r="D95" s="470">
        <f>AVERAGE(D91:D94)</f>
        <v>0.38566666666666666</v>
      </c>
      <c r="E95" s="387">
        <f>AVERAGE(E91:E94)</f>
        <v>0.43898122548816704</v>
      </c>
      <c r="F95" s="471">
        <f>AVERAGE(F91:F94)</f>
        <v>0.35499999999999998</v>
      </c>
      <c r="G95" s="472">
        <f>AVERAGE(G91:G94)</f>
        <v>0.44033655589612258</v>
      </c>
    </row>
    <row r="96" spans="1:12" ht="26.25" customHeight="1" x14ac:dyDescent="0.4">
      <c r="A96" s="363" t="s">
        <v>70</v>
      </c>
      <c r="B96" s="339">
        <v>1</v>
      </c>
      <c r="C96" s="473" t="s">
        <v>71</v>
      </c>
      <c r="D96" s="474">
        <v>31.33</v>
      </c>
      <c r="E96" s="319"/>
      <c r="F96" s="391">
        <v>28.75</v>
      </c>
    </row>
    <row r="97" spans="1:10" ht="26.25" customHeight="1" x14ac:dyDescent="0.4">
      <c r="A97" s="363" t="s">
        <v>72</v>
      </c>
      <c r="B97" s="339">
        <v>1</v>
      </c>
      <c r="C97" s="475" t="s">
        <v>73</v>
      </c>
      <c r="D97" s="476">
        <f>D96*$B$87</f>
        <v>24.494779062795448</v>
      </c>
      <c r="E97" s="394"/>
      <c r="F97" s="393">
        <f>F96*$B$87</f>
        <v>22.477653943676003</v>
      </c>
    </row>
    <row r="98" spans="1:10" ht="19.5" customHeight="1" thickBot="1" x14ac:dyDescent="0.35">
      <c r="A98" s="363" t="s">
        <v>74</v>
      </c>
      <c r="B98" s="394">
        <f>(B97/B96)*(B95/B94)*(B93/B92)*(B91/B90)*B89</f>
        <v>2500</v>
      </c>
      <c r="C98" s="475" t="s">
        <v>140</v>
      </c>
      <c r="D98" s="477">
        <f>D97*$B$83/100</f>
        <v>24.404148380263106</v>
      </c>
      <c r="E98" s="396"/>
      <c r="F98" s="395">
        <f>F97*$B$83/100</f>
        <v>22.394486624084401</v>
      </c>
    </row>
    <row r="99" spans="1:10" ht="19.5" customHeight="1" thickBot="1" x14ac:dyDescent="0.35">
      <c r="A99" s="397" t="s">
        <v>76</v>
      </c>
      <c r="B99" s="478"/>
      <c r="C99" s="475" t="s">
        <v>141</v>
      </c>
      <c r="D99" s="479">
        <f>D98/$B$98</f>
        <v>9.7616593521052415E-3</v>
      </c>
      <c r="E99" s="396"/>
      <c r="F99" s="401">
        <f>F98/$B$98</f>
        <v>8.9577946496337598E-3</v>
      </c>
      <c r="H99" s="389"/>
    </row>
    <row r="100" spans="1:10" ht="19.5" customHeight="1" thickBot="1" x14ac:dyDescent="0.35">
      <c r="A100" s="402"/>
      <c r="B100" s="480"/>
      <c r="C100" s="475" t="s">
        <v>127</v>
      </c>
      <c r="D100" s="481">
        <f>$B$56/$B$116</f>
        <v>1.1111111111111112E-2</v>
      </c>
      <c r="F100" s="408"/>
      <c r="G100" s="482"/>
      <c r="H100" s="389"/>
    </row>
    <row r="101" spans="1:10" ht="18.75" x14ac:dyDescent="0.3">
      <c r="C101" s="475" t="s">
        <v>79</v>
      </c>
      <c r="D101" s="476">
        <f>D100*$B$98</f>
        <v>27.777777777777779</v>
      </c>
      <c r="F101" s="408"/>
      <c r="H101" s="389"/>
    </row>
    <row r="102" spans="1:10" ht="19.5" customHeight="1" thickBot="1" x14ac:dyDescent="0.35">
      <c r="C102" s="483" t="s">
        <v>80</v>
      </c>
      <c r="D102" s="484">
        <f>D101/B34</f>
        <v>35.529113185577678</v>
      </c>
      <c r="F102" s="412"/>
      <c r="H102" s="389"/>
      <c r="J102" s="485"/>
    </row>
    <row r="103" spans="1:10" ht="18.75" x14ac:dyDescent="0.3">
      <c r="C103" s="486" t="s">
        <v>142</v>
      </c>
      <c r="D103" s="487">
        <f>AVERAGE(E91:E94,G91:G94)</f>
        <v>0.43965889069214481</v>
      </c>
      <c r="F103" s="412"/>
      <c r="G103" s="482"/>
      <c r="H103" s="389"/>
      <c r="J103" s="488"/>
    </row>
    <row r="104" spans="1:10" ht="18.75" x14ac:dyDescent="0.3">
      <c r="C104" s="456" t="s">
        <v>82</v>
      </c>
      <c r="D104" s="489">
        <f>STDEV(E91:E94,G91:G94)/D103</f>
        <v>4.2014634790039519E-3</v>
      </c>
      <c r="F104" s="412"/>
      <c r="H104" s="389"/>
      <c r="J104" s="488"/>
    </row>
    <row r="105" spans="1:10" ht="19.5" customHeight="1" thickBot="1" x14ac:dyDescent="0.35">
      <c r="C105" s="458" t="s">
        <v>20</v>
      </c>
      <c r="D105" s="490">
        <f>COUNT(E91:E94,G91:G94)</f>
        <v>6</v>
      </c>
      <c r="F105" s="412"/>
      <c r="H105" s="389"/>
      <c r="J105" s="488"/>
    </row>
    <row r="106" spans="1:10" ht="19.5" customHeight="1" thickBot="1" x14ac:dyDescent="0.35">
      <c r="A106" s="416"/>
      <c r="B106" s="416"/>
      <c r="C106" s="416"/>
      <c r="D106" s="416"/>
      <c r="E106" s="416"/>
    </row>
    <row r="107" spans="1:10" ht="26.25" customHeight="1" x14ac:dyDescent="0.4">
      <c r="A107" s="358" t="s">
        <v>108</v>
      </c>
      <c r="B107" s="359">
        <v>900</v>
      </c>
      <c r="C107" s="463" t="s">
        <v>143</v>
      </c>
      <c r="D107" s="491" t="s">
        <v>62</v>
      </c>
      <c r="E107" s="492" t="s">
        <v>110</v>
      </c>
      <c r="F107" s="493" t="s">
        <v>111</v>
      </c>
    </row>
    <row r="108" spans="1:10" ht="26.25" customHeight="1" x14ac:dyDescent="0.4">
      <c r="A108" s="363" t="s">
        <v>112</v>
      </c>
      <c r="B108" s="364">
        <v>1</v>
      </c>
      <c r="C108" s="494">
        <v>1</v>
      </c>
      <c r="D108" s="495">
        <v>0.39600000000000002</v>
      </c>
      <c r="E108" s="496">
        <f t="shared" ref="E108:E113" si="1">IF(ISBLANK(D108),"-",D108/$D$103*$D$100*$B$116)</f>
        <v>9.0069826491302472</v>
      </c>
      <c r="F108" s="497">
        <f t="shared" ref="F108:F113" si="2">IF(ISBLANK(D108), "-", E108/$B$56)</f>
        <v>0.90069826491302474</v>
      </c>
    </row>
    <row r="109" spans="1:10" ht="26.25" customHeight="1" x14ac:dyDescent="0.4">
      <c r="A109" s="363" t="s">
        <v>113</v>
      </c>
      <c r="B109" s="364">
        <v>1</v>
      </c>
      <c r="C109" s="494">
        <v>2</v>
      </c>
      <c r="D109" s="495">
        <v>0.40500000000000003</v>
      </c>
      <c r="E109" s="498">
        <f t="shared" si="1"/>
        <v>9.2116868002468433</v>
      </c>
      <c r="F109" s="499">
        <f t="shared" si="2"/>
        <v>0.92116868002468433</v>
      </c>
    </row>
    <row r="110" spans="1:10" ht="26.25" customHeight="1" x14ac:dyDescent="0.4">
      <c r="A110" s="363" t="s">
        <v>114</v>
      </c>
      <c r="B110" s="364">
        <v>1</v>
      </c>
      <c r="C110" s="494">
        <v>3</v>
      </c>
      <c r="D110" s="495">
        <v>0.40400000000000003</v>
      </c>
      <c r="E110" s="498">
        <f t="shared" si="1"/>
        <v>9.1889418945672219</v>
      </c>
      <c r="F110" s="499">
        <f t="shared" si="2"/>
        <v>0.91889418945672219</v>
      </c>
    </row>
    <row r="111" spans="1:10" ht="26.25" customHeight="1" x14ac:dyDescent="0.4">
      <c r="A111" s="363" t="s">
        <v>115</v>
      </c>
      <c r="B111" s="364">
        <v>1</v>
      </c>
      <c r="C111" s="494">
        <v>4</v>
      </c>
      <c r="D111" s="495">
        <v>0.43099999999999999</v>
      </c>
      <c r="E111" s="498">
        <f t="shared" si="1"/>
        <v>9.803054347917012</v>
      </c>
      <c r="F111" s="499">
        <f t="shared" si="2"/>
        <v>0.98030543479170118</v>
      </c>
    </row>
    <row r="112" spans="1:10" ht="26.25" customHeight="1" x14ac:dyDescent="0.4">
      <c r="A112" s="363" t="s">
        <v>116</v>
      </c>
      <c r="B112" s="364">
        <v>1</v>
      </c>
      <c r="C112" s="494">
        <v>5</v>
      </c>
      <c r="D112" s="495">
        <v>0.42499999999999999</v>
      </c>
      <c r="E112" s="498">
        <f t="shared" si="1"/>
        <v>9.6665849138392801</v>
      </c>
      <c r="F112" s="499">
        <f t="shared" si="2"/>
        <v>0.96665849138392801</v>
      </c>
    </row>
    <row r="113" spans="1:10" ht="26.25" customHeight="1" x14ac:dyDescent="0.4">
      <c r="A113" s="363" t="s">
        <v>117</v>
      </c>
      <c r="B113" s="364">
        <v>1</v>
      </c>
      <c r="C113" s="500">
        <v>6</v>
      </c>
      <c r="D113" s="501">
        <v>0.40899999999999997</v>
      </c>
      <c r="E113" s="502">
        <f t="shared" si="1"/>
        <v>9.3026664229653289</v>
      </c>
      <c r="F113" s="503">
        <f t="shared" si="2"/>
        <v>0.93026664229653289</v>
      </c>
    </row>
    <row r="114" spans="1:10" ht="26.25" customHeight="1" x14ac:dyDescent="0.4">
      <c r="A114" s="363" t="s">
        <v>118</v>
      </c>
      <c r="B114" s="364">
        <v>1</v>
      </c>
      <c r="C114" s="494"/>
      <c r="D114" s="394"/>
      <c r="E114" s="319"/>
      <c r="F114" s="504"/>
    </row>
    <row r="115" spans="1:10" ht="26.25" customHeight="1" x14ac:dyDescent="0.4">
      <c r="A115" s="363" t="s">
        <v>119</v>
      </c>
      <c r="B115" s="364">
        <v>1</v>
      </c>
      <c r="C115" s="494"/>
      <c r="D115" s="505" t="s">
        <v>69</v>
      </c>
      <c r="E115" s="506">
        <f>AVERAGE(E108:E113)</f>
        <v>9.363319504777655</v>
      </c>
      <c r="F115" s="507">
        <f>AVERAGE(F108:F113)</f>
        <v>0.93633195047776552</v>
      </c>
    </row>
    <row r="116" spans="1:10" ht="27" customHeight="1" thickBot="1" x14ac:dyDescent="0.45">
      <c r="A116" s="363" t="s">
        <v>120</v>
      </c>
      <c r="B116" s="375">
        <f>(B115/B114)*(B113/B112)*(B111/B110)*(B109/B108)*B107</f>
        <v>900</v>
      </c>
      <c r="C116" s="508"/>
      <c r="D116" s="337" t="s">
        <v>82</v>
      </c>
      <c r="E116" s="509">
        <f>STDEV(E108:E113)/E115</f>
        <v>3.2722971042437279E-2</v>
      </c>
      <c r="F116" s="509">
        <f>STDEV(F108:F113)/F115</f>
        <v>3.2722971042437266E-2</v>
      </c>
      <c r="I116" s="319"/>
    </row>
    <row r="117" spans="1:10" ht="27" customHeight="1" thickBot="1" x14ac:dyDescent="0.45">
      <c r="A117" s="397" t="s">
        <v>76</v>
      </c>
      <c r="B117" s="398"/>
      <c r="C117" s="510"/>
      <c r="D117" s="511" t="s">
        <v>20</v>
      </c>
      <c r="E117" s="512">
        <f>COUNT(E108:E113)</f>
        <v>6</v>
      </c>
      <c r="F117" s="512">
        <f>COUNT(F108:F113)</f>
        <v>6</v>
      </c>
      <c r="I117" s="319"/>
      <c r="J117" s="488"/>
    </row>
    <row r="118" spans="1:10" ht="19.5" customHeight="1" thickBot="1" x14ac:dyDescent="0.35">
      <c r="A118" s="402"/>
      <c r="B118" s="403"/>
      <c r="C118" s="319"/>
      <c r="D118" s="319"/>
      <c r="E118" s="319"/>
      <c r="F118" s="394"/>
      <c r="G118" s="319"/>
      <c r="H118" s="319"/>
      <c r="I118" s="319"/>
    </row>
    <row r="119" spans="1:10" ht="18.75" x14ac:dyDescent="0.3">
      <c r="A119" s="513"/>
      <c r="B119" s="356"/>
      <c r="C119" s="319"/>
      <c r="D119" s="319"/>
      <c r="E119" s="319"/>
      <c r="F119" s="394"/>
      <c r="G119" s="319"/>
      <c r="H119" s="319"/>
      <c r="I119" s="319"/>
    </row>
    <row r="120" spans="1:10" ht="26.25" customHeight="1" x14ac:dyDescent="0.4">
      <c r="A120" s="336" t="s">
        <v>137</v>
      </c>
      <c r="B120" s="337" t="s">
        <v>121</v>
      </c>
      <c r="C120" s="460" t="str">
        <f>B20</f>
        <v>Rupatadine</v>
      </c>
      <c r="D120" s="460"/>
      <c r="E120" s="319" t="s">
        <v>122</v>
      </c>
      <c r="F120" s="319"/>
      <c r="G120" s="461">
        <f>F115</f>
        <v>0.93633195047776552</v>
      </c>
      <c r="H120" s="319"/>
      <c r="I120" s="319"/>
    </row>
    <row r="121" spans="1:10" ht="19.5" customHeight="1" thickBot="1" x14ac:dyDescent="0.35">
      <c r="A121" s="514"/>
      <c r="B121" s="514"/>
      <c r="C121" s="515"/>
      <c r="D121" s="515"/>
      <c r="E121" s="515"/>
      <c r="F121" s="515"/>
      <c r="G121" s="515"/>
      <c r="H121" s="515"/>
    </row>
    <row r="122" spans="1:10" ht="18.75" x14ac:dyDescent="0.3">
      <c r="B122" s="516" t="s">
        <v>25</v>
      </c>
      <c r="C122" s="516"/>
      <c r="E122" s="465" t="s">
        <v>26</v>
      </c>
      <c r="F122" s="517"/>
      <c r="G122" s="516" t="s">
        <v>27</v>
      </c>
      <c r="H122" s="516"/>
    </row>
    <row r="123" spans="1:10" ht="69.95" customHeight="1" x14ac:dyDescent="0.3">
      <c r="A123" s="336" t="s">
        <v>28</v>
      </c>
      <c r="B123" s="518"/>
      <c r="C123" s="518"/>
      <c r="E123" s="518"/>
      <c r="F123" s="319"/>
      <c r="G123" s="518"/>
      <c r="H123" s="518"/>
    </row>
    <row r="124" spans="1:10" ht="69.95" customHeight="1" x14ac:dyDescent="0.3">
      <c r="A124" s="336" t="s">
        <v>29</v>
      </c>
      <c r="B124" s="519"/>
      <c r="C124" s="519"/>
      <c r="E124" s="519"/>
      <c r="F124" s="319"/>
      <c r="G124" s="520"/>
      <c r="H124" s="520"/>
    </row>
    <row r="125" spans="1:10" ht="18.75" x14ac:dyDescent="0.3">
      <c r="A125" s="394"/>
      <c r="B125" s="394"/>
      <c r="C125" s="394"/>
      <c r="D125" s="394"/>
      <c r="E125" s="394"/>
      <c r="F125" s="396"/>
      <c r="G125" s="394"/>
      <c r="H125" s="394"/>
      <c r="I125" s="319"/>
    </row>
    <row r="126" spans="1:10" ht="18.75" x14ac:dyDescent="0.3">
      <c r="A126" s="394"/>
      <c r="B126" s="394"/>
      <c r="C126" s="394"/>
      <c r="D126" s="394"/>
      <c r="E126" s="394"/>
      <c r="F126" s="396"/>
      <c r="G126" s="394"/>
      <c r="H126" s="394"/>
      <c r="I126" s="319"/>
    </row>
    <row r="127" spans="1:10" ht="18.75" x14ac:dyDescent="0.3">
      <c r="A127" s="394"/>
      <c r="B127" s="394"/>
      <c r="C127" s="394"/>
      <c r="D127" s="394"/>
      <c r="E127" s="394"/>
      <c r="F127" s="396"/>
      <c r="G127" s="394"/>
      <c r="H127" s="394"/>
      <c r="I127" s="319"/>
    </row>
    <row r="128" spans="1:10" ht="18.75" x14ac:dyDescent="0.3">
      <c r="A128" s="394"/>
      <c r="B128" s="394"/>
      <c r="C128" s="394"/>
      <c r="D128" s="394"/>
      <c r="E128" s="394"/>
      <c r="F128" s="396"/>
      <c r="G128" s="394"/>
      <c r="H128" s="394"/>
      <c r="I128" s="319"/>
    </row>
    <row r="129" spans="1:9" ht="18.75" x14ac:dyDescent="0.3">
      <c r="A129" s="394"/>
      <c r="B129" s="394"/>
      <c r="C129" s="394"/>
      <c r="D129" s="394"/>
      <c r="E129" s="394"/>
      <c r="F129" s="396"/>
      <c r="G129" s="394"/>
      <c r="H129" s="394"/>
      <c r="I129" s="319"/>
    </row>
    <row r="130" spans="1:9" ht="18.75" x14ac:dyDescent="0.3">
      <c r="A130" s="394"/>
      <c r="B130" s="394"/>
      <c r="C130" s="394"/>
      <c r="D130" s="394"/>
      <c r="E130" s="394"/>
      <c r="F130" s="396"/>
      <c r="G130" s="394"/>
      <c r="H130" s="394"/>
      <c r="I130" s="319"/>
    </row>
    <row r="131" spans="1:9" ht="18.75" x14ac:dyDescent="0.3">
      <c r="A131" s="394"/>
      <c r="B131" s="394"/>
      <c r="C131" s="394"/>
      <c r="D131" s="394"/>
      <c r="E131" s="394"/>
      <c r="F131" s="396"/>
      <c r="G131" s="394"/>
      <c r="H131" s="394"/>
      <c r="I131" s="319"/>
    </row>
    <row r="132" spans="1:9" ht="18.75" x14ac:dyDescent="0.3">
      <c r="A132" s="394"/>
      <c r="B132" s="394"/>
      <c r="C132" s="394"/>
      <c r="D132" s="394"/>
      <c r="E132" s="394"/>
      <c r="F132" s="396"/>
      <c r="G132" s="394"/>
      <c r="H132" s="394"/>
      <c r="I132" s="319"/>
    </row>
    <row r="133" spans="1:9" ht="18.75" x14ac:dyDescent="0.3">
      <c r="A133" s="394"/>
      <c r="B133" s="394"/>
      <c r="C133" s="394"/>
      <c r="D133" s="394"/>
      <c r="E133" s="394"/>
      <c r="F133" s="396"/>
      <c r="G133" s="394"/>
      <c r="H133" s="394"/>
      <c r="I133" s="319"/>
    </row>
    <row r="250" spans="1:1" x14ac:dyDescent="0.25">
      <c r="A250" s="31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93" zoomScale="60" zoomScaleNormal="70" workbookViewId="0">
      <selection activeCell="D69" sqref="D6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305" t="s">
        <v>44</v>
      </c>
      <c r="B1" s="305"/>
      <c r="C1" s="305"/>
      <c r="D1" s="305"/>
      <c r="E1" s="305"/>
      <c r="F1" s="305"/>
      <c r="G1" s="305"/>
    </row>
    <row r="2" spans="1:7" x14ac:dyDescent="0.2">
      <c r="A2" s="305"/>
      <c r="B2" s="305"/>
      <c r="C2" s="305"/>
      <c r="D2" s="305"/>
      <c r="E2" s="305"/>
      <c r="F2" s="305"/>
      <c r="G2" s="305"/>
    </row>
    <row r="3" spans="1:7" x14ac:dyDescent="0.2">
      <c r="A3" s="305"/>
      <c r="B3" s="305"/>
      <c r="C3" s="305"/>
      <c r="D3" s="305"/>
      <c r="E3" s="305"/>
      <c r="F3" s="305"/>
      <c r="G3" s="305"/>
    </row>
    <row r="4" spans="1:7" x14ac:dyDescent="0.2">
      <c r="A4" s="305"/>
      <c r="B4" s="305"/>
      <c r="C4" s="305"/>
      <c r="D4" s="305"/>
      <c r="E4" s="305"/>
      <c r="F4" s="305"/>
      <c r="G4" s="305"/>
    </row>
    <row r="5" spans="1:7" x14ac:dyDescent="0.2">
      <c r="A5" s="305"/>
      <c r="B5" s="305"/>
      <c r="C5" s="305"/>
      <c r="D5" s="305"/>
      <c r="E5" s="305"/>
      <c r="F5" s="305"/>
      <c r="G5" s="305"/>
    </row>
    <row r="6" spans="1:7" x14ac:dyDescent="0.2">
      <c r="A6" s="305"/>
      <c r="B6" s="305"/>
      <c r="C6" s="305"/>
      <c r="D6" s="305"/>
      <c r="E6" s="305"/>
      <c r="F6" s="305"/>
      <c r="G6" s="305"/>
    </row>
    <row r="7" spans="1:7" x14ac:dyDescent="0.2">
      <c r="A7" s="305"/>
      <c r="B7" s="305"/>
      <c r="C7" s="305"/>
      <c r="D7" s="305"/>
      <c r="E7" s="305"/>
      <c r="F7" s="305"/>
      <c r="G7" s="305"/>
    </row>
    <row r="8" spans="1:7" x14ac:dyDescent="0.2">
      <c r="A8" s="306" t="s">
        <v>45</v>
      </c>
      <c r="B8" s="306"/>
      <c r="C8" s="306"/>
      <c r="D8" s="306"/>
      <c r="E8" s="306"/>
      <c r="F8" s="306"/>
      <c r="G8" s="306"/>
    </row>
    <row r="9" spans="1:7" x14ac:dyDescent="0.2">
      <c r="A9" s="306"/>
      <c r="B9" s="306"/>
      <c r="C9" s="306"/>
      <c r="D9" s="306"/>
      <c r="E9" s="306"/>
      <c r="F9" s="306"/>
      <c r="G9" s="306"/>
    </row>
    <row r="10" spans="1:7" x14ac:dyDescent="0.2">
      <c r="A10" s="306"/>
      <c r="B10" s="306"/>
      <c r="C10" s="306"/>
      <c r="D10" s="306"/>
      <c r="E10" s="306"/>
      <c r="F10" s="306"/>
      <c r="G10" s="306"/>
    </row>
    <row r="11" spans="1:7" x14ac:dyDescent="0.2">
      <c r="A11" s="306"/>
      <c r="B11" s="306"/>
      <c r="C11" s="306"/>
      <c r="D11" s="306"/>
      <c r="E11" s="306"/>
      <c r="F11" s="306"/>
      <c r="G11" s="306"/>
    </row>
    <row r="12" spans="1:7" x14ac:dyDescent="0.2">
      <c r="A12" s="306"/>
      <c r="B12" s="306"/>
      <c r="C12" s="306"/>
      <c r="D12" s="306"/>
      <c r="E12" s="306"/>
      <c r="F12" s="306"/>
      <c r="G12" s="306"/>
    </row>
    <row r="13" spans="1:7" x14ac:dyDescent="0.2">
      <c r="A13" s="306"/>
      <c r="B13" s="306"/>
      <c r="C13" s="306"/>
      <c r="D13" s="306"/>
      <c r="E13" s="306"/>
      <c r="F13" s="306"/>
      <c r="G13" s="306"/>
    </row>
    <row r="14" spans="1:7" x14ac:dyDescent="0.2">
      <c r="A14" s="306"/>
      <c r="B14" s="306"/>
      <c r="C14" s="306"/>
      <c r="D14" s="306"/>
      <c r="E14" s="306"/>
      <c r="F14" s="306"/>
      <c r="G14" s="306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291" t="s">
        <v>30</v>
      </c>
      <c r="B16" s="292"/>
      <c r="C16" s="292"/>
      <c r="D16" s="292"/>
      <c r="E16" s="292"/>
      <c r="F16" s="292"/>
      <c r="G16" s="292"/>
    </row>
    <row r="17" spans="1:7" ht="18.75" customHeight="1" x14ac:dyDescent="0.3">
      <c r="A17" s="99" t="s">
        <v>46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32</v>
      </c>
      <c r="B18" s="293" t="s">
        <v>5</v>
      </c>
      <c r="C18" s="293"/>
      <c r="D18" s="101"/>
      <c r="E18" s="101"/>
      <c r="F18" s="98"/>
      <c r="G18" s="98"/>
    </row>
    <row r="19" spans="1:7" ht="26.25" customHeight="1" x14ac:dyDescent="0.4">
      <c r="A19" s="100" t="s">
        <v>33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34</v>
      </c>
      <c r="B20" s="294" t="s">
        <v>9</v>
      </c>
      <c r="C20" s="294"/>
      <c r="D20" s="98"/>
      <c r="E20" s="98"/>
      <c r="F20" s="98"/>
      <c r="G20" s="98"/>
    </row>
    <row r="21" spans="1:7" ht="26.25" customHeight="1" x14ac:dyDescent="0.4">
      <c r="A21" s="100" t="s">
        <v>35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36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37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293" t="s">
        <v>147</v>
      </c>
      <c r="C26" s="293"/>
      <c r="D26" s="98"/>
      <c r="E26" s="98"/>
      <c r="F26" s="98"/>
      <c r="G26" s="98"/>
    </row>
    <row r="27" spans="1:7" ht="26.25" customHeight="1" x14ac:dyDescent="0.4">
      <c r="A27" s="109" t="s">
        <v>47</v>
      </c>
      <c r="B27" s="294" t="s">
        <v>148</v>
      </c>
      <c r="C27" s="294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99.63</v>
      </c>
      <c r="C28" s="98"/>
      <c r="D28" s="98"/>
      <c r="E28" s="98"/>
      <c r="F28" s="98"/>
      <c r="G28" s="98"/>
    </row>
    <row r="29" spans="1:7" ht="27" customHeight="1" x14ac:dyDescent="0.4">
      <c r="A29" s="109" t="s">
        <v>48</v>
      </c>
      <c r="B29" s="111">
        <v>0</v>
      </c>
      <c r="C29" s="295" t="s">
        <v>49</v>
      </c>
      <c r="D29" s="296"/>
      <c r="E29" s="296"/>
      <c r="F29" s="296"/>
      <c r="G29" s="297"/>
    </row>
    <row r="30" spans="1:7" ht="19.5" customHeight="1" x14ac:dyDescent="0.3">
      <c r="A30" s="109" t="s">
        <v>50</v>
      </c>
      <c r="B30" s="113">
        <f>B28-B29</f>
        <v>99.63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51</v>
      </c>
      <c r="B31" s="349">
        <v>415.95699999999999</v>
      </c>
      <c r="C31" s="295" t="s">
        <v>52</v>
      </c>
      <c r="D31" s="296"/>
      <c r="E31" s="296"/>
      <c r="F31" s="296"/>
      <c r="G31" s="297"/>
    </row>
    <row r="32" spans="1:7" ht="27" customHeight="1" x14ac:dyDescent="0.4">
      <c r="A32" s="109" t="s">
        <v>53</v>
      </c>
      <c r="B32" s="349">
        <v>532.029</v>
      </c>
      <c r="C32" s="295" t="s">
        <v>54</v>
      </c>
      <c r="D32" s="296"/>
      <c r="E32" s="296"/>
      <c r="F32" s="296"/>
      <c r="G32" s="297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55</v>
      </c>
      <c r="B34" s="118">
        <f>B31/B32</f>
        <v>0.78183144151916528</v>
      </c>
      <c r="C34" s="98" t="s">
        <v>56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57</v>
      </c>
      <c r="B36" s="359">
        <v>100</v>
      </c>
      <c r="C36" s="98"/>
      <c r="D36" s="298" t="s">
        <v>58</v>
      </c>
      <c r="E36" s="299"/>
      <c r="F36" s="298" t="s">
        <v>59</v>
      </c>
      <c r="G36" s="300"/>
    </row>
    <row r="37" spans="1:7" ht="26.25" customHeight="1" x14ac:dyDescent="0.4">
      <c r="A37" s="121" t="s">
        <v>60</v>
      </c>
      <c r="B37" s="364">
        <v>1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</row>
    <row r="38" spans="1:7" ht="26.25" customHeight="1" x14ac:dyDescent="0.4">
      <c r="A38" s="121" t="s">
        <v>64</v>
      </c>
      <c r="B38" s="364">
        <v>1</v>
      </c>
      <c r="C38" s="127">
        <v>1</v>
      </c>
      <c r="D38" s="128">
        <v>98436740</v>
      </c>
      <c r="E38" s="129">
        <f>IF(ISBLANK(D38),"-",$D$48/$D$45*D38)</f>
        <v>128787671.35200663</v>
      </c>
      <c r="F38" s="128">
        <v>105941395</v>
      </c>
      <c r="G38" s="130">
        <f>IF(ISBLANK(F38),"-",$D$48/$F$45*F38)</f>
        <v>133197725.04002924</v>
      </c>
    </row>
    <row r="39" spans="1:7" ht="26.25" customHeight="1" x14ac:dyDescent="0.4">
      <c r="A39" s="121" t="s">
        <v>65</v>
      </c>
      <c r="B39" s="122">
        <v>1</v>
      </c>
      <c r="C39" s="131">
        <v>2</v>
      </c>
      <c r="D39" s="132">
        <v>97531625</v>
      </c>
      <c r="E39" s="133">
        <f>IF(ISBLANK(D39),"-",$D$48/$D$45*D39)</f>
        <v>127603482.87567379</v>
      </c>
      <c r="F39" s="132">
        <v>103642928</v>
      </c>
      <c r="G39" s="134">
        <f>IF(ISBLANK(F39),"-",$D$48/$F$45*F39)</f>
        <v>130307914.35290754</v>
      </c>
    </row>
    <row r="40" spans="1:7" ht="26.25" customHeight="1" x14ac:dyDescent="0.4">
      <c r="A40" s="121" t="s">
        <v>66</v>
      </c>
      <c r="B40" s="122">
        <v>1</v>
      </c>
      <c r="C40" s="131">
        <v>3</v>
      </c>
      <c r="D40" s="132">
        <v>98460910</v>
      </c>
      <c r="E40" s="133">
        <f>IF(ISBLANK(D40),"-",$D$48/$D$45*D40)</f>
        <v>128819293.67124005</v>
      </c>
      <c r="F40" s="132">
        <v>103552577</v>
      </c>
      <c r="G40" s="134">
        <f>IF(ISBLANK(F40),"-",$D$48/$F$45*F40)</f>
        <v>130194318.0796558</v>
      </c>
    </row>
    <row r="41" spans="1:7" ht="26.25" customHeight="1" x14ac:dyDescent="0.4">
      <c r="A41" s="121" t="s">
        <v>67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68</v>
      </c>
      <c r="B42" s="122">
        <v>1</v>
      </c>
      <c r="C42" s="139" t="s">
        <v>69</v>
      </c>
      <c r="D42" s="140">
        <f>AVERAGE(D38:D41)</f>
        <v>98143091.666666672</v>
      </c>
      <c r="E42" s="141">
        <f>AVERAGE(E38:E41)</f>
        <v>128403482.63297349</v>
      </c>
      <c r="F42" s="140">
        <f>AVERAGE(F38:F41)</f>
        <v>104378966.66666667</v>
      </c>
      <c r="G42" s="142">
        <f>AVERAGE(G38:G41)</f>
        <v>131233319.15753086</v>
      </c>
    </row>
    <row r="43" spans="1:7" ht="26.25" customHeight="1" x14ac:dyDescent="0.4">
      <c r="A43" s="121" t="s">
        <v>70</v>
      </c>
      <c r="B43" s="122">
        <v>1</v>
      </c>
      <c r="C43" s="143" t="s">
        <v>71</v>
      </c>
      <c r="D43" s="144">
        <v>12.56</v>
      </c>
      <c r="E43" s="145"/>
      <c r="F43" s="144">
        <v>13.07</v>
      </c>
      <c r="G43" s="98"/>
    </row>
    <row r="44" spans="1:7" ht="26.25" customHeight="1" x14ac:dyDescent="0.4">
      <c r="A44" s="121" t="s">
        <v>72</v>
      </c>
      <c r="B44" s="122">
        <v>1</v>
      </c>
      <c r="C44" s="146" t="s">
        <v>73</v>
      </c>
      <c r="D44" s="147">
        <f>D43*$B$34</f>
        <v>9.8198029054807172</v>
      </c>
      <c r="E44" s="148"/>
      <c r="F44" s="147">
        <f>F43*$B$34</f>
        <v>10.21853694065549</v>
      </c>
      <c r="G44" s="98"/>
    </row>
    <row r="45" spans="1:7" ht="19.5" customHeight="1" x14ac:dyDescent="0.3">
      <c r="A45" s="121" t="s">
        <v>74</v>
      </c>
      <c r="B45" s="149">
        <f>(B44/B43)*(B42/B41)*(B40/B39)*(B38/B37)*B36</f>
        <v>100</v>
      </c>
      <c r="C45" s="146" t="s">
        <v>75</v>
      </c>
      <c r="D45" s="150">
        <f>D44*$B$30/100</f>
        <v>9.7834696347304391</v>
      </c>
      <c r="E45" s="151"/>
      <c r="F45" s="150">
        <f>F44*$B$30/100</f>
        <v>10.180728353975065</v>
      </c>
      <c r="G45" s="98"/>
    </row>
    <row r="46" spans="1:7" ht="19.5" customHeight="1" x14ac:dyDescent="0.3">
      <c r="A46" s="301" t="s">
        <v>76</v>
      </c>
      <c r="B46" s="302"/>
      <c r="C46" s="146" t="s">
        <v>77</v>
      </c>
      <c r="D46" s="147">
        <f>D45/$B$45</f>
        <v>9.7834696347304392E-2</v>
      </c>
      <c r="E46" s="151"/>
      <c r="F46" s="152">
        <f>F45/$B$45</f>
        <v>0.10180728353975065</v>
      </c>
      <c r="G46" s="98"/>
    </row>
    <row r="47" spans="1:7" ht="27" customHeight="1" x14ac:dyDescent="0.4">
      <c r="A47" s="303"/>
      <c r="B47" s="304"/>
      <c r="C47" s="153" t="s">
        <v>78</v>
      </c>
      <c r="D47" s="154">
        <v>0.128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79</v>
      </c>
      <c r="D48" s="150">
        <f>D47*$B$45</f>
        <v>12.8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80</v>
      </c>
      <c r="D49" s="158">
        <f>D48/B34</f>
        <v>16.371815355914194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81</v>
      </c>
      <c r="D50" s="159">
        <f>AVERAGE(E38:E41,G38:G41)</f>
        <v>129818400.89525217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82</v>
      </c>
      <c r="D51" s="161">
        <f>STDEV(E38:E41,G38:G41)/D50</f>
        <v>1.4923787421496221E-2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83</v>
      </c>
      <c r="C54" s="98"/>
      <c r="D54" s="98"/>
      <c r="E54" s="98"/>
      <c r="F54" s="98"/>
      <c r="G54" s="98"/>
    </row>
    <row r="55" spans="1:7" ht="18.75" customHeight="1" x14ac:dyDescent="0.3">
      <c r="A55" s="98" t="s">
        <v>84</v>
      </c>
      <c r="B55" s="165" t="str">
        <f>B21</f>
        <v>Each tablet contains Rupatadine fumarate 10 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85</v>
      </c>
      <c r="B56" s="167">
        <v>10</v>
      </c>
      <c r="C56" s="98" t="str">
        <f>B20</f>
        <v>Rupatadine</v>
      </c>
      <c r="D56" s="98"/>
      <c r="E56" s="98"/>
      <c r="F56" s="98"/>
      <c r="G56" s="98"/>
    </row>
    <row r="57" spans="1:7" ht="17.25" customHeight="1" x14ac:dyDescent="0.3">
      <c r="A57" s="168" t="s">
        <v>86</v>
      </c>
      <c r="B57" s="168">
        <f>Uniformity!C46</f>
        <v>100.7765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87</v>
      </c>
      <c r="B58" s="120">
        <v>100</v>
      </c>
      <c r="C58" s="170" t="s">
        <v>88</v>
      </c>
      <c r="D58" s="171" t="s">
        <v>89</v>
      </c>
      <c r="E58" s="172" t="s">
        <v>90</v>
      </c>
      <c r="F58" s="173" t="s">
        <v>91</v>
      </c>
      <c r="G58" s="174" t="s">
        <v>92</v>
      </c>
    </row>
    <row r="59" spans="1:7" ht="26.25" customHeight="1" x14ac:dyDescent="0.4">
      <c r="A59" s="121" t="s">
        <v>60</v>
      </c>
      <c r="B59" s="122">
        <v>1</v>
      </c>
      <c r="C59" s="175">
        <v>1</v>
      </c>
      <c r="D59" s="278">
        <v>100130292</v>
      </c>
      <c r="E59" s="176">
        <f t="shared" ref="E59:E68" si="0">IF(ISBLANK(D59),"-",D59/$D$50*$D$47*$B$67)</f>
        <v>9.8727740348161568</v>
      </c>
      <c r="F59" s="177">
        <f t="shared" ref="F59:F68" si="1">IF(ISBLANK(D59),"-",E59/$E$70*100)</f>
        <v>99.976380761251207</v>
      </c>
      <c r="G59" s="178">
        <f t="shared" ref="G59:G68" si="2">IF(ISBLANK(D59),"-",E59/$B$56*100)</f>
        <v>98.727740348161561</v>
      </c>
    </row>
    <row r="60" spans="1:7" ht="26.25" customHeight="1" x14ac:dyDescent="0.4">
      <c r="A60" s="121" t="s">
        <v>64</v>
      </c>
      <c r="B60" s="122">
        <v>1</v>
      </c>
      <c r="C60" s="179">
        <v>2</v>
      </c>
      <c r="D60" s="279">
        <v>99316530</v>
      </c>
      <c r="E60" s="180">
        <f t="shared" si="0"/>
        <v>9.7925376929095513</v>
      </c>
      <c r="F60" s="181">
        <f t="shared" si="1"/>
        <v>99.16386960267954</v>
      </c>
      <c r="G60" s="182">
        <f t="shared" si="2"/>
        <v>97.925376929095506</v>
      </c>
    </row>
    <row r="61" spans="1:7" ht="26.25" customHeight="1" x14ac:dyDescent="0.4">
      <c r="A61" s="121" t="s">
        <v>65</v>
      </c>
      <c r="B61" s="122">
        <v>1</v>
      </c>
      <c r="C61" s="179">
        <v>3</v>
      </c>
      <c r="D61" s="279">
        <v>99761568</v>
      </c>
      <c r="E61" s="180">
        <f t="shared" si="0"/>
        <v>9.8364181163373257</v>
      </c>
      <c r="F61" s="181">
        <f t="shared" si="1"/>
        <v>99.608223530472216</v>
      </c>
      <c r="G61" s="182">
        <f t="shared" si="2"/>
        <v>98.36418116337326</v>
      </c>
    </row>
    <row r="62" spans="1:7" ht="26.25" customHeight="1" x14ac:dyDescent="0.4">
      <c r="A62" s="121" t="s">
        <v>66</v>
      </c>
      <c r="B62" s="122">
        <v>1</v>
      </c>
      <c r="C62" s="179">
        <v>4</v>
      </c>
      <c r="D62" s="279">
        <v>100249417</v>
      </c>
      <c r="E62" s="180">
        <f t="shared" si="0"/>
        <v>9.884519673257893</v>
      </c>
      <c r="F62" s="181">
        <f t="shared" si="1"/>
        <v>100.09532265306336</v>
      </c>
      <c r="G62" s="182">
        <f t="shared" si="2"/>
        <v>98.845196732578927</v>
      </c>
    </row>
    <row r="63" spans="1:7" ht="26.25" customHeight="1" x14ac:dyDescent="0.4">
      <c r="A63" s="121" t="s">
        <v>67</v>
      </c>
      <c r="B63" s="122">
        <v>1</v>
      </c>
      <c r="C63" s="179">
        <v>5</v>
      </c>
      <c r="D63" s="279">
        <v>99825289</v>
      </c>
      <c r="E63" s="180">
        <f t="shared" si="0"/>
        <v>9.8427009606365559</v>
      </c>
      <c r="F63" s="181">
        <f t="shared" si="1"/>
        <v>99.671846584307772</v>
      </c>
      <c r="G63" s="182">
        <f t="shared" si="2"/>
        <v>98.427009606365559</v>
      </c>
    </row>
    <row r="64" spans="1:7" ht="26.25" customHeight="1" x14ac:dyDescent="0.4">
      <c r="A64" s="121" t="s">
        <v>68</v>
      </c>
      <c r="B64" s="122">
        <v>1</v>
      </c>
      <c r="C64" s="179">
        <v>6</v>
      </c>
      <c r="D64" s="279">
        <v>99629874</v>
      </c>
      <c r="E64" s="180">
        <f t="shared" si="0"/>
        <v>9.8234331836284383</v>
      </c>
      <c r="F64" s="181">
        <f t="shared" si="1"/>
        <v>99.476731958591316</v>
      </c>
      <c r="G64" s="182">
        <f t="shared" si="2"/>
        <v>98.234331836284383</v>
      </c>
    </row>
    <row r="65" spans="1:7" ht="26.25" customHeight="1" x14ac:dyDescent="0.4">
      <c r="A65" s="121" t="s">
        <v>70</v>
      </c>
      <c r="B65" s="122">
        <v>1</v>
      </c>
      <c r="C65" s="179">
        <v>7</v>
      </c>
      <c r="D65" s="279">
        <v>98613909</v>
      </c>
      <c r="E65" s="180">
        <f t="shared" si="0"/>
        <v>9.7232597728459957</v>
      </c>
      <c r="F65" s="181">
        <f t="shared" si="1"/>
        <v>98.462328608203563</v>
      </c>
      <c r="G65" s="182">
        <f t="shared" si="2"/>
        <v>97.23259772845995</v>
      </c>
    </row>
    <row r="66" spans="1:7" ht="26.25" customHeight="1" x14ac:dyDescent="0.4">
      <c r="A66" s="121" t="s">
        <v>72</v>
      </c>
      <c r="B66" s="122">
        <v>1</v>
      </c>
      <c r="C66" s="179">
        <v>8</v>
      </c>
      <c r="D66" s="279">
        <v>103288370</v>
      </c>
      <c r="E66" s="180">
        <f t="shared" si="0"/>
        <v>10.184158230902632</v>
      </c>
      <c r="F66" s="181">
        <f t="shared" si="1"/>
        <v>103.12960444906119</v>
      </c>
      <c r="G66" s="182">
        <f t="shared" si="2"/>
        <v>101.84158230902631</v>
      </c>
    </row>
    <row r="67" spans="1:7" ht="27" customHeight="1" x14ac:dyDescent="0.4">
      <c r="A67" s="121" t="s">
        <v>74</v>
      </c>
      <c r="B67" s="149">
        <f>(B66/B65)*(B64/B63)*(B62/B61)*(B60/B59)*B58</f>
        <v>100</v>
      </c>
      <c r="C67" s="179">
        <v>9</v>
      </c>
      <c r="D67" s="279">
        <v>100197889</v>
      </c>
      <c r="E67" s="180">
        <f t="shared" si="0"/>
        <v>9.8794390498990179</v>
      </c>
      <c r="F67" s="181">
        <f t="shared" si="1"/>
        <v>100.04387385724974</v>
      </c>
      <c r="G67" s="182">
        <f t="shared" si="2"/>
        <v>98.794390498990182</v>
      </c>
    </row>
    <row r="68" spans="1:7" ht="27" customHeight="1" x14ac:dyDescent="0.4">
      <c r="A68" s="301" t="s">
        <v>76</v>
      </c>
      <c r="B68" s="309"/>
      <c r="C68" s="183">
        <v>10</v>
      </c>
      <c r="D68" s="280">
        <v>100526338</v>
      </c>
      <c r="E68" s="184">
        <f t="shared" si="0"/>
        <v>9.9118238826423539</v>
      </c>
      <c r="F68" s="185">
        <f t="shared" si="1"/>
        <v>100.37181799512014</v>
      </c>
      <c r="G68" s="186">
        <f t="shared" si="2"/>
        <v>99.11823882642355</v>
      </c>
    </row>
    <row r="69" spans="1:7" ht="19.5" customHeight="1" x14ac:dyDescent="0.3">
      <c r="A69" s="303"/>
      <c r="B69" s="310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93</v>
      </c>
      <c r="D70" s="190"/>
      <c r="E70" s="191">
        <f>AVERAGE(E59:E68)</f>
        <v>9.8751064597875917</v>
      </c>
      <c r="F70" s="191">
        <f>AVERAGE(F59:F68)</f>
        <v>100.00000000000003</v>
      </c>
      <c r="G70" s="192">
        <f>AVERAGE(G59:G68)</f>
        <v>98.75106459787591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1.2266835180451692E-2</v>
      </c>
      <c r="F71" s="193">
        <f>STDEV(F59:F68)/F70</f>
        <v>1.2266835180451713E-2</v>
      </c>
      <c r="G71" s="194">
        <f>STDEV(G59:G68)/G70</f>
        <v>1.2266835180451671E-2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94</v>
      </c>
      <c r="B74" s="201" t="s">
        <v>95</v>
      </c>
      <c r="C74" s="308" t="str">
        <f>B20</f>
        <v>Rupatadine</v>
      </c>
      <c r="D74" s="308"/>
      <c r="E74" s="202" t="s">
        <v>96</v>
      </c>
      <c r="F74" s="202"/>
      <c r="G74" s="203">
        <f>G70</f>
        <v>98.75106459787591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97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311" t="s">
        <v>98</v>
      </c>
      <c r="C78" s="312"/>
      <c r="D78" s="98"/>
      <c r="E78" s="169"/>
      <c r="F78" s="169"/>
      <c r="G78" s="169"/>
    </row>
    <row r="79" spans="1:7" ht="18.75" customHeight="1" x14ac:dyDescent="0.3">
      <c r="A79" s="169"/>
      <c r="B79" s="207" t="s">
        <v>42</v>
      </c>
      <c r="C79" s="208">
        <f>G70</f>
        <v>98.75106459787591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99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100</v>
      </c>
      <c r="C81" s="208">
        <f>STDEV(G59:G68)</f>
        <v>1.2113630333162797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101</v>
      </c>
      <c r="C82" s="208">
        <f>IF(OR(G70&lt;98.5,G70&gt;101.5),(IF(98.5&gt;G70,98.5,101.5)),C79)</f>
        <v>98.75106459787591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102</v>
      </c>
      <c r="C83" s="210">
        <f>ABS(C82-C79)+(C80*C81)</f>
        <v>2.9072712799590712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103</v>
      </c>
      <c r="B85" s="107" t="s">
        <v>104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293"/>
      <c r="C87" s="293"/>
      <c r="D87" s="98"/>
      <c r="E87" s="98"/>
      <c r="F87" s="98"/>
      <c r="G87" s="98"/>
    </row>
    <row r="88" spans="1:7" ht="26.25" customHeight="1" x14ac:dyDescent="0.4">
      <c r="A88" s="109" t="s">
        <v>47</v>
      </c>
      <c r="B88" s="294"/>
      <c r="C88" s="294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f>B32</f>
        <v>532.029</v>
      </c>
      <c r="C89" s="98"/>
      <c r="D89" s="98"/>
      <c r="E89" s="98"/>
      <c r="F89" s="98"/>
      <c r="G89" s="98"/>
    </row>
    <row r="90" spans="1:7" ht="27" customHeight="1" x14ac:dyDescent="0.4">
      <c r="A90" s="109" t="s">
        <v>48</v>
      </c>
      <c r="B90" s="110">
        <f>B33</f>
        <v>0</v>
      </c>
      <c r="C90" s="313" t="s">
        <v>105</v>
      </c>
      <c r="D90" s="314"/>
      <c r="E90" s="314"/>
      <c r="F90" s="314"/>
      <c r="G90" s="315"/>
    </row>
    <row r="91" spans="1:7" ht="18.75" customHeight="1" x14ac:dyDescent="0.3">
      <c r="A91" s="109" t="s">
        <v>50</v>
      </c>
      <c r="B91" s="113">
        <f>B89-B90</f>
        <v>532.029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51</v>
      </c>
      <c r="B93" s="115">
        <v>1</v>
      </c>
      <c r="C93" s="295" t="s">
        <v>106</v>
      </c>
      <c r="D93" s="296"/>
      <c r="E93" s="296"/>
      <c r="F93" s="296"/>
      <c r="G93" s="296"/>
    </row>
    <row r="94" spans="1:7" ht="27" customHeight="1" x14ac:dyDescent="0.4">
      <c r="A94" s="109" t="s">
        <v>53</v>
      </c>
      <c r="B94" s="115">
        <v>1</v>
      </c>
      <c r="C94" s="295" t="s">
        <v>107</v>
      </c>
      <c r="D94" s="296"/>
      <c r="E94" s="296"/>
      <c r="F94" s="296"/>
      <c r="G94" s="296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55</v>
      </c>
      <c r="B96" s="118">
        <f>B93/B94</f>
        <v>1</v>
      </c>
      <c r="C96" s="98" t="s">
        <v>56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57</v>
      </c>
      <c r="B98" s="214">
        <v>1</v>
      </c>
      <c r="C98" s="98"/>
      <c r="D98" s="215" t="s">
        <v>58</v>
      </c>
      <c r="E98" s="216"/>
      <c r="F98" s="298" t="s">
        <v>59</v>
      </c>
      <c r="G98" s="300"/>
    </row>
    <row r="99" spans="1:7" ht="26.25" customHeight="1" x14ac:dyDescent="0.4">
      <c r="A99" s="121" t="s">
        <v>60</v>
      </c>
      <c r="B99" s="217">
        <v>1</v>
      </c>
      <c r="C99" s="123" t="s">
        <v>61</v>
      </c>
      <c r="D99" s="124" t="s">
        <v>62</v>
      </c>
      <c r="E99" s="125" t="s">
        <v>63</v>
      </c>
      <c r="F99" s="124" t="s">
        <v>62</v>
      </c>
      <c r="G99" s="126" t="s">
        <v>63</v>
      </c>
    </row>
    <row r="100" spans="1:7" ht="26.25" customHeight="1" x14ac:dyDescent="0.4">
      <c r="A100" s="121" t="s">
        <v>64</v>
      </c>
      <c r="B100" s="217">
        <v>1</v>
      </c>
      <c r="C100" s="127">
        <v>1</v>
      </c>
      <c r="D100" s="128"/>
      <c r="E100" s="218" t="str">
        <f>IF(ISBLANK(D100),"-",$D$110/$D$107*D100)</f>
        <v>-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65</v>
      </c>
      <c r="B101" s="217">
        <v>1</v>
      </c>
      <c r="C101" s="131">
        <v>2</v>
      </c>
      <c r="D101" s="132"/>
      <c r="E101" s="220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66</v>
      </c>
      <c r="B102" s="217">
        <v>1</v>
      </c>
      <c r="C102" s="131">
        <v>3</v>
      </c>
      <c r="D102" s="132"/>
      <c r="E102" s="220" t="str">
        <f>IF(ISBLANK(D102),"-",$D$110/$D$107*D102)</f>
        <v>-</v>
      </c>
      <c r="F102" s="221"/>
      <c r="G102" s="134" t="str">
        <f>IF(ISBLANK(F102),"-",$D$110/$F$107*F102)</f>
        <v>-</v>
      </c>
    </row>
    <row r="103" spans="1:7" ht="26.25" customHeight="1" x14ac:dyDescent="0.4">
      <c r="A103" s="121" t="s">
        <v>67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68</v>
      </c>
      <c r="B104" s="217">
        <v>1</v>
      </c>
      <c r="C104" s="139" t="s">
        <v>69</v>
      </c>
      <c r="D104" s="224" t="e">
        <f>AVERAGE(D100:D103)</f>
        <v>#DIV/0!</v>
      </c>
      <c r="E104" s="141" t="e">
        <f>AVERAGE(E100:E103)</f>
        <v>#DIV/0!</v>
      </c>
      <c r="F104" s="224" t="e">
        <f>AVERAGE(F100:F103)</f>
        <v>#DIV/0!</v>
      </c>
      <c r="G104" s="225" t="e">
        <f>AVERAGE(G100:G103)</f>
        <v>#DIV/0!</v>
      </c>
    </row>
    <row r="105" spans="1:7" ht="26.25" customHeight="1" x14ac:dyDescent="0.4">
      <c r="A105" s="121" t="s">
        <v>70</v>
      </c>
      <c r="B105" s="217">
        <v>1</v>
      </c>
      <c r="C105" s="143" t="s">
        <v>71</v>
      </c>
      <c r="D105" s="226"/>
      <c r="E105" s="145"/>
      <c r="F105" s="144"/>
      <c r="G105" s="98"/>
    </row>
    <row r="106" spans="1:7" ht="26.25" customHeight="1" x14ac:dyDescent="0.4">
      <c r="A106" s="121" t="s">
        <v>72</v>
      </c>
      <c r="B106" s="217">
        <v>1</v>
      </c>
      <c r="C106" s="146" t="s">
        <v>73</v>
      </c>
      <c r="D106" s="227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74</v>
      </c>
      <c r="B107" s="259">
        <f>(B106/B105)*(B104/B103)*(B102/B101)*(B100/B99)*B98</f>
        <v>1</v>
      </c>
      <c r="C107" s="146" t="s">
        <v>75</v>
      </c>
      <c r="D107" s="228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301" t="s">
        <v>76</v>
      </c>
      <c r="B108" s="302"/>
      <c r="C108" s="146" t="s">
        <v>77</v>
      </c>
      <c r="D108" s="227">
        <f>D107/$B$107</f>
        <v>0</v>
      </c>
      <c r="E108" s="151"/>
      <c r="F108" s="152">
        <f>F107/$B$107</f>
        <v>0</v>
      </c>
      <c r="G108" s="229"/>
    </row>
    <row r="109" spans="1:7" ht="19.5" customHeight="1" x14ac:dyDescent="0.3">
      <c r="A109" s="303"/>
      <c r="B109" s="304"/>
      <c r="C109" s="277" t="s">
        <v>78</v>
      </c>
      <c r="D109" s="231">
        <f>$B$56/$B$125</f>
        <v>10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79</v>
      </c>
      <c r="D110" s="227">
        <f>D109*$B$107</f>
        <v>10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80</v>
      </c>
      <c r="D111" s="234">
        <f>D110/B96</f>
        <v>10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81</v>
      </c>
      <c r="D112" s="236" t="e">
        <f>AVERAGE(E100:E103,G100:G103)</f>
        <v>#DIV/0!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82</v>
      </c>
      <c r="D113" s="239" t="e">
        <f>STDEV(E100:E103,G100:G103)/D112</f>
        <v>#DIV/0!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0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108</v>
      </c>
      <c r="B116" s="214">
        <v>1</v>
      </c>
      <c r="C116" s="242" t="s">
        <v>109</v>
      </c>
      <c r="D116" s="243" t="s">
        <v>62</v>
      </c>
      <c r="E116" s="244" t="s">
        <v>110</v>
      </c>
      <c r="F116" s="245" t="s">
        <v>111</v>
      </c>
      <c r="G116" s="98"/>
    </row>
    <row r="117" spans="1:7" ht="26.25" customHeight="1" x14ac:dyDescent="0.4">
      <c r="A117" s="121" t="s">
        <v>112</v>
      </c>
      <c r="B117" s="217">
        <v>1</v>
      </c>
      <c r="C117" s="179">
        <v>1</v>
      </c>
      <c r="D117" s="246"/>
      <c r="E117" s="247" t="str">
        <f t="shared" ref="E117:E122" si="3">IF(ISBLANK(D117),"-",D117/$D$112*$D$109*$B$125)</f>
        <v>-</v>
      </c>
      <c r="F117" s="248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113</v>
      </c>
      <c r="B118" s="217">
        <v>1</v>
      </c>
      <c r="C118" s="179">
        <v>2</v>
      </c>
      <c r="D118" s="246"/>
      <c r="E118" s="249" t="str">
        <f t="shared" si="3"/>
        <v>-</v>
      </c>
      <c r="F118" s="250" t="str">
        <f t="shared" si="4"/>
        <v>-</v>
      </c>
      <c r="G118" s="98"/>
    </row>
    <row r="119" spans="1:7" ht="26.25" customHeight="1" x14ac:dyDescent="0.4">
      <c r="A119" s="121" t="s">
        <v>114</v>
      </c>
      <c r="B119" s="217">
        <v>1</v>
      </c>
      <c r="C119" s="179">
        <v>3</v>
      </c>
      <c r="D119" s="246"/>
      <c r="E119" s="249" t="str">
        <f t="shared" si="3"/>
        <v>-</v>
      </c>
      <c r="F119" s="250" t="str">
        <f t="shared" si="4"/>
        <v>-</v>
      </c>
      <c r="G119" s="98"/>
    </row>
    <row r="120" spans="1:7" ht="26.25" customHeight="1" x14ac:dyDescent="0.4">
      <c r="A120" s="121" t="s">
        <v>115</v>
      </c>
      <c r="B120" s="217">
        <v>1</v>
      </c>
      <c r="C120" s="179">
        <v>4</v>
      </c>
      <c r="D120" s="246"/>
      <c r="E120" s="249" t="str">
        <f t="shared" si="3"/>
        <v>-</v>
      </c>
      <c r="F120" s="250" t="str">
        <f t="shared" si="4"/>
        <v>-</v>
      </c>
      <c r="G120" s="98"/>
    </row>
    <row r="121" spans="1:7" ht="26.25" customHeight="1" x14ac:dyDescent="0.4">
      <c r="A121" s="121" t="s">
        <v>116</v>
      </c>
      <c r="B121" s="217">
        <v>1</v>
      </c>
      <c r="C121" s="179">
        <v>5</v>
      </c>
      <c r="D121" s="246"/>
      <c r="E121" s="249" t="str">
        <f t="shared" si="3"/>
        <v>-</v>
      </c>
      <c r="F121" s="250" t="str">
        <f t="shared" si="4"/>
        <v>-</v>
      </c>
      <c r="G121" s="98"/>
    </row>
    <row r="122" spans="1:7" ht="26.25" customHeight="1" x14ac:dyDescent="0.4">
      <c r="A122" s="121" t="s">
        <v>117</v>
      </c>
      <c r="B122" s="217">
        <v>1</v>
      </c>
      <c r="C122" s="251">
        <v>6</v>
      </c>
      <c r="D122" s="252"/>
      <c r="E122" s="253" t="str">
        <f t="shared" si="3"/>
        <v>-</v>
      </c>
      <c r="F122" s="254" t="str">
        <f t="shared" si="4"/>
        <v>-</v>
      </c>
      <c r="G122" s="98"/>
    </row>
    <row r="123" spans="1:7" ht="26.25" customHeight="1" x14ac:dyDescent="0.4">
      <c r="A123" s="121" t="s">
        <v>118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119</v>
      </c>
      <c r="B124" s="217">
        <v>1</v>
      </c>
      <c r="C124" s="179"/>
      <c r="D124" s="256"/>
      <c r="E124" s="257" t="s">
        <v>69</v>
      </c>
      <c r="F124" s="258" t="e">
        <f>AVERAGE(F117:F122)</f>
        <v>#DIV/0!</v>
      </c>
      <c r="G124" s="98"/>
    </row>
    <row r="125" spans="1:7" ht="27" customHeight="1" x14ac:dyDescent="0.4">
      <c r="A125" s="121" t="s">
        <v>120</v>
      </c>
      <c r="B125" s="259">
        <f>(B124/B123)*(B122/B121)*(B120/B119)*(B118/B117)*B116</f>
        <v>1</v>
      </c>
      <c r="C125" s="260"/>
      <c r="D125" s="261"/>
      <c r="E125" s="157" t="s">
        <v>82</v>
      </c>
      <c r="F125" s="194" t="e">
        <f>STDEV(F117:F122)/F124</f>
        <v>#DIV/0!</v>
      </c>
      <c r="G125" s="98"/>
    </row>
    <row r="126" spans="1:7" ht="27" customHeight="1" x14ac:dyDescent="0.4">
      <c r="A126" s="301" t="s">
        <v>76</v>
      </c>
      <c r="B126" s="302"/>
      <c r="C126" s="262"/>
      <c r="D126" s="263"/>
      <c r="E126" s="264" t="s">
        <v>20</v>
      </c>
      <c r="F126" s="265">
        <f>COUNT(F117:F122)</f>
        <v>0</v>
      </c>
      <c r="G126" s="98"/>
    </row>
    <row r="127" spans="1:7" ht="19.5" customHeight="1" x14ac:dyDescent="0.3">
      <c r="A127" s="303"/>
      <c r="B127" s="304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94</v>
      </c>
      <c r="B129" s="201" t="s">
        <v>121</v>
      </c>
      <c r="C129" s="308" t="str">
        <f>B20</f>
        <v>Rupatadine</v>
      </c>
      <c r="D129" s="308"/>
      <c r="E129" s="202" t="s">
        <v>122</v>
      </c>
      <c r="F129" s="202"/>
      <c r="G129" s="205" t="e">
        <f>F124</f>
        <v>#DIV/0!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307" t="s">
        <v>25</v>
      </c>
      <c r="C131" s="307"/>
      <c r="D131" s="98"/>
      <c r="E131" s="268" t="s">
        <v>26</v>
      </c>
      <c r="F131" s="269"/>
      <c r="G131" s="276" t="s">
        <v>27</v>
      </c>
    </row>
    <row r="132" spans="1:7" ht="60" customHeight="1" x14ac:dyDescent="0.3">
      <c r="A132" s="270" t="s">
        <v>28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29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rupatadine assay</vt:lpstr>
      <vt:lpstr>RUPATADINE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2016-07-05T10:41:35Z</dcterms:modified>
</cp:coreProperties>
</file>