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25" windowWidth="15015" windowHeight="7620" activeTab="3"/>
  </bookViews>
  <sheets>
    <sheet name="SST" sheetId="1" r:id="rId1"/>
    <sheet name="Uniformity" sheetId="2" r:id="rId2"/>
    <sheet name="Dxazosin" sheetId="3" r:id="rId3"/>
    <sheet name="cu" sheetId="4" r:id="rId4"/>
  </sheets>
  <definedNames>
    <definedName name="_xlnm.Print_Area" localSheetId="3">cu!$A$1:$H$133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5" i="4" l="1"/>
  <c r="C83" i="4"/>
  <c r="F42" i="4"/>
  <c r="D42" i="4"/>
  <c r="B27" i="4" l="1"/>
  <c r="B26" i="4"/>
  <c r="B21" i="4"/>
  <c r="B20" i="4"/>
  <c r="B19" i="4"/>
  <c r="B18" i="4"/>
  <c r="C129" i="4" l="1"/>
  <c r="B125" i="4"/>
  <c r="D109" i="4" s="1"/>
  <c r="D110" i="4" s="1"/>
  <c r="D111" i="4" s="1"/>
  <c r="F122" i="4"/>
  <c r="E122" i="4"/>
  <c r="F121" i="4"/>
  <c r="E121" i="4"/>
  <c r="F120" i="4"/>
  <c r="E120" i="4"/>
  <c r="F119" i="4"/>
  <c r="E119" i="4"/>
  <c r="F118" i="4"/>
  <c r="E118" i="4"/>
  <c r="F117" i="4"/>
  <c r="F126" i="4" s="1"/>
  <c r="E117" i="4"/>
  <c r="B107" i="4"/>
  <c r="F106" i="4"/>
  <c r="D106" i="4"/>
  <c r="F104" i="4"/>
  <c r="D104" i="4"/>
  <c r="G103" i="4"/>
  <c r="E103" i="4"/>
  <c r="G102" i="4"/>
  <c r="E102" i="4"/>
  <c r="G101" i="4"/>
  <c r="E101" i="4"/>
  <c r="G100" i="4"/>
  <c r="E100" i="4"/>
  <c r="B96" i="4"/>
  <c r="B90" i="4"/>
  <c r="B89" i="4"/>
  <c r="B91" i="4" s="1"/>
  <c r="C74" i="4"/>
  <c r="B67" i="4"/>
  <c r="C56" i="4"/>
  <c r="B45" i="4"/>
  <c r="D48" i="4" s="1"/>
  <c r="G41" i="4"/>
  <c r="E41" i="4"/>
  <c r="B34" i="4"/>
  <c r="D44" i="4" s="1"/>
  <c r="D45" i="4" s="1"/>
  <c r="D46" i="4" s="1"/>
  <c r="B30" i="4"/>
  <c r="F44" i="4" l="1"/>
  <c r="F45" i="4" s="1"/>
  <c r="F46" i="4" s="1"/>
  <c r="E104" i="4"/>
  <c r="F124" i="4"/>
  <c r="G129" i="4" s="1"/>
  <c r="G104" i="4"/>
  <c r="D107" i="4"/>
  <c r="D108" i="4" s="1"/>
  <c r="G38" i="4"/>
  <c r="E38" i="4"/>
  <c r="G39" i="4"/>
  <c r="E39" i="4"/>
  <c r="G40" i="4"/>
  <c r="D49" i="4"/>
  <c r="E40" i="4"/>
  <c r="F107" i="4"/>
  <c r="F108" i="4" s="1"/>
  <c r="D112" i="4"/>
  <c r="D113" i="4" s="1"/>
  <c r="D114" i="4"/>
  <c r="F125" i="4" l="1"/>
  <c r="D52" i="4"/>
  <c r="D50" i="4"/>
  <c r="E42" i="4"/>
  <c r="G42" i="4"/>
  <c r="E63" i="4" l="1"/>
  <c r="E64" i="4"/>
  <c r="E61" i="4"/>
  <c r="E65" i="4"/>
  <c r="E67" i="4"/>
  <c r="E66" i="4"/>
  <c r="E62" i="4"/>
  <c r="E68" i="4"/>
  <c r="E59" i="4"/>
  <c r="D51" i="4"/>
  <c r="E60" i="4"/>
  <c r="G62" i="4" l="1"/>
  <c r="G66" i="4"/>
  <c r="G64" i="4"/>
  <c r="E72" i="4"/>
  <c r="E70" i="4"/>
  <c r="E71" i="4" s="1"/>
  <c r="G59" i="4"/>
  <c r="G67" i="4"/>
  <c r="G63" i="4"/>
  <c r="G68" i="4"/>
  <c r="G65" i="4"/>
  <c r="G60" i="4"/>
  <c r="G61" i="4"/>
  <c r="F65" i="4" l="1"/>
  <c r="F67" i="4"/>
  <c r="F64" i="4"/>
  <c r="F61" i="4"/>
  <c r="F63" i="4"/>
  <c r="C81" i="4"/>
  <c r="G72" i="4"/>
  <c r="G70" i="4"/>
  <c r="F62" i="4"/>
  <c r="F60" i="4"/>
  <c r="F68" i="4"/>
  <c r="F59" i="4"/>
  <c r="F66" i="4"/>
  <c r="F70" i="4" l="1"/>
  <c r="F71" i="4" s="1"/>
  <c r="F72" i="4"/>
  <c r="C79" i="4"/>
  <c r="G74" i="4"/>
  <c r="C82" i="4"/>
  <c r="G71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49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98" i="3" s="1"/>
  <c r="D99" i="3" s="1"/>
  <c r="I39" i="3"/>
  <c r="D101" i="3"/>
  <c r="D102" i="3" s="1"/>
  <c r="I92" i="3"/>
  <c r="F44" i="3"/>
  <c r="F45" i="3" s="1"/>
  <c r="G38" i="3" s="1"/>
  <c r="D49" i="3"/>
  <c r="D44" i="3"/>
  <c r="D45" i="3" s="1"/>
  <c r="D46" i="3" s="1"/>
  <c r="F98" i="3"/>
  <c r="G94" i="3" s="1"/>
  <c r="G41" i="3"/>
  <c r="E38" i="3"/>
  <c r="D29" i="2"/>
  <c r="D41" i="2"/>
  <c r="D30" i="2"/>
  <c r="D38" i="2"/>
  <c r="D42" i="2"/>
  <c r="D50" i="2"/>
  <c r="D27" i="2"/>
  <c r="D31" i="2"/>
  <c r="D35" i="2"/>
  <c r="D43" i="2"/>
  <c r="C49" i="2"/>
  <c r="E94" i="3"/>
  <c r="D33" i="2"/>
  <c r="D37" i="2"/>
  <c r="D26" i="2"/>
  <c r="D39" i="2"/>
  <c r="D24" i="2"/>
  <c r="D28" i="2"/>
  <c r="D32" i="2"/>
  <c r="D36" i="2"/>
  <c r="D40" i="2"/>
  <c r="D49" i="2"/>
  <c r="B57" i="3"/>
  <c r="B69" i="3" s="1"/>
  <c r="C50" i="2"/>
  <c r="D34" i="2"/>
  <c r="G40" i="3" l="1"/>
  <c r="F46" i="3"/>
  <c r="E92" i="3"/>
  <c r="E95" i="3" s="1"/>
  <c r="F99" i="3"/>
  <c r="E93" i="3"/>
  <c r="E91" i="3"/>
  <c r="G91" i="3"/>
  <c r="G93" i="3"/>
  <c r="G92" i="3"/>
  <c r="G39" i="3"/>
  <c r="E41" i="3"/>
  <c r="E40" i="3"/>
  <c r="E39" i="3"/>
  <c r="G42" i="3" l="1"/>
  <c r="G95" i="3"/>
  <c r="D105" i="3"/>
  <c r="D103" i="3"/>
  <c r="E108" i="3" s="1"/>
  <c r="D52" i="3"/>
  <c r="D50" i="3"/>
  <c r="G69" i="3" s="1"/>
  <c r="H69" i="3" s="1"/>
  <c r="E42" i="3"/>
  <c r="D104" i="3" l="1"/>
  <c r="E112" i="3"/>
  <c r="F112" i="3" s="1"/>
  <c r="E111" i="3"/>
  <c r="F111" i="3" s="1"/>
  <c r="E109" i="3"/>
  <c r="F109" i="3" s="1"/>
  <c r="E110" i="3"/>
  <c r="F110" i="3" s="1"/>
  <c r="E113" i="3"/>
  <c r="F113" i="3" s="1"/>
  <c r="G61" i="3"/>
  <c r="H61" i="3" s="1"/>
  <c r="D51" i="3"/>
  <c r="G68" i="3"/>
  <c r="H68" i="3" s="1"/>
  <c r="G71" i="3"/>
  <c r="H71" i="3" s="1"/>
  <c r="G63" i="3"/>
  <c r="H63" i="3" s="1"/>
  <c r="G62" i="3"/>
  <c r="H62" i="3" s="1"/>
  <c r="G70" i="3"/>
  <c r="H70" i="3" s="1"/>
  <c r="G64" i="3"/>
  <c r="H64" i="3" s="1"/>
  <c r="G66" i="3"/>
  <c r="H66" i="3" s="1"/>
  <c r="G65" i="3"/>
  <c r="H65" i="3" s="1"/>
  <c r="G67" i="3"/>
  <c r="H67" i="3" s="1"/>
  <c r="G60" i="3"/>
  <c r="H60" i="3" s="1"/>
  <c r="F108" i="3"/>
  <c r="E115" i="3" l="1"/>
  <c r="E116" i="3" s="1"/>
  <c r="E117" i="3"/>
  <c r="G72" i="3"/>
  <c r="G73" i="3" s="1"/>
  <c r="G74" i="3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<sst xmlns="http://schemas.openxmlformats.org/spreadsheetml/2006/main" count="384" uniqueCount="149">
  <si>
    <t>HPLC System Suitability Report</t>
  </si>
  <si>
    <t>Analysis Data</t>
  </si>
  <si>
    <t>Assay</t>
  </si>
  <si>
    <t>Sample(s)</t>
  </si>
  <si>
    <t>Reference Substance:</t>
  </si>
  <si>
    <t>DILUR 4 mg TABLETS</t>
  </si>
  <si>
    <t>% age Purity:</t>
  </si>
  <si>
    <t>NDQD201605906</t>
  </si>
  <si>
    <t>Weight (mg):</t>
  </si>
  <si>
    <t xml:space="preserve">Doxazosin </t>
  </si>
  <si>
    <t>Standard Conc (mg/mL):</t>
  </si>
  <si>
    <t>Each tablet contains Doxazosin 4 mg</t>
  </si>
  <si>
    <t>2016-05-06 12:33:15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</si>
  <si>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</si>
  <si>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</si>
  <si>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</si>
  <si>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</si>
  <si>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</si>
  <si>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</si>
  <si>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</si>
  <si>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</si>
  <si>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</si>
  <si>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</si>
  <si>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</si>
  <si>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</si>
  <si>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</si>
  <si>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</si>
  <si>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</si>
  <si>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</si>
  <si>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</si>
  <si>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</si>
  <si>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</si>
  <si>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</si>
  <si>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</si>
  <si>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</si>
  <si>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</si>
  <si>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</si>
  <si>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</si>
  <si>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</si>
  <si>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</si>
  <si>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</si>
  <si>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</si>
  <si>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</si>
  <si>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</si>
  <si>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</si>
  <si>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</si>
  <si>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</si>
  <si>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</si>
  <si>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</si>
  <si>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</si>
  <si>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</si>
  <si>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</si>
  <si>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</si>
  <si>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</si>
  <si>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</si>
  <si>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</si>
  <si>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</si>
  <si>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</si>
  <si>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</si>
  <si>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</si>
  <si>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</si>
  <si>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</si>
  <si>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</si>
  <si>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</si>
  <si>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</si>
  <si>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</si>
  <si>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</si>
  <si>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</si>
  <si>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</si>
  <si>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</si>
  <si>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</si>
  <si>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</si>
  <si>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</si>
  <si>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</si>
  <si>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</si>
  <si>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</si>
  <si>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</si>
  <si>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</si>
  <si>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</si>
  <si>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</si>
  <si>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</si>
  <si>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</si>
  <si>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</si>
  <si>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</si>
  <si>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</si>
  <si>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</si>
  <si>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</si>
  <si>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</si>
  <si>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</si>
  <si>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</si>
  <si>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</si>
  <si>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</si>
  <si>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</si>
  <si>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</si>
  <si>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</si>
  <si>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</si>
  <si>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</si>
  <si>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</si>
  <si>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</si>
  <si>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</si>
  <si>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</si>
  <si>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</si>
  <si>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</si>
  <si>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</si>
  <si>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</si>
  <si>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</si>
  <si>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</si>
  <si>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</si>
  <si>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</si>
  <si>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</si>
  <si>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</si>
  <si>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</si>
  <si>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</si>
  <si>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</si>
  <si>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</si>
  <si>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</si>
  <si>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</si>
  <si>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</si>
  <si>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</si>
  <si>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</si>
  <si>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</si>
  <si>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</si>
  <si>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</si>
  <si>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</si>
  <si>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</si>
  <si>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D46-1</t>
  </si>
  <si>
    <t>Doxazosin Mesylate</t>
  </si>
  <si>
    <t>If correction for water content is NOT needed, enter 0</t>
  </si>
  <si>
    <t>Initial Standard dilution (mL):</t>
  </si>
  <si>
    <t>Desired Concetration (mg/mL):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</si>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</sst>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5" fontId="14" fillId="3" borderId="0" xfId="1" applyNumberFormat="1" applyFont="1" applyFill="1" applyAlignment="1" applyProtection="1">
      <alignment horizontal="left"/>
      <protection locked="0"/>
    </xf>
    <xf numFmtId="0" fontId="14" fillId="2" borderId="0" xfId="1" applyFont="1" applyFill="1"/>
    <xf numFmtId="15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1" fillId="2" borderId="21" xfId="1" applyFont="1" applyFill="1" applyBorder="1" applyAlignment="1">
      <alignment horizontal="right"/>
    </xf>
    <xf numFmtId="0" fontId="13" fillId="3" borderId="59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32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39" xfId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0" fontId="13" fillId="3" borderId="41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29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12" fillId="2" borderId="60" xfId="1" applyFont="1" applyFill="1" applyBorder="1" applyAlignment="1">
      <alignment horizontal="center"/>
    </xf>
    <xf numFmtId="0" fontId="12" fillId="7" borderId="54" xfId="1" applyFont="1" applyFill="1" applyBorder="1" applyAlignment="1">
      <alignment horizontal="center"/>
    </xf>
    <xf numFmtId="0" fontId="12" fillId="7" borderId="10" xfId="1" applyFont="1" applyFill="1" applyBorder="1" applyAlignment="1">
      <alignment horizontal="center"/>
    </xf>
    <xf numFmtId="0" fontId="12" fillId="7" borderId="55" xfId="1" applyFont="1" applyFill="1" applyBorder="1" applyAlignment="1">
      <alignment horizontal="center" wrapText="1"/>
    </xf>
    <xf numFmtId="0" fontId="12" fillId="7" borderId="22" xfId="1" applyFont="1" applyFill="1" applyBorder="1" applyAlignment="1">
      <alignment horizontal="center" wrapText="1"/>
    </xf>
    <xf numFmtId="0" fontId="11" fillId="2" borderId="29" xfId="1" applyFont="1" applyFill="1" applyBorder="1" applyAlignment="1">
      <alignment horizontal="center"/>
    </xf>
    <xf numFmtId="0" fontId="14" fillId="3" borderId="4" xfId="1" applyFont="1" applyFill="1" applyBorder="1" applyAlignment="1">
      <alignment horizontal="center" wrapText="1"/>
    </xf>
    <xf numFmtId="2" fontId="11" fillId="2" borderId="26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2" fontId="11" fillId="2" borderId="28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 wrapText="1"/>
    </xf>
    <xf numFmtId="2" fontId="11" fillId="2" borderId="31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14" fillId="3" borderId="61" xfId="1" applyFont="1" applyFill="1" applyBorder="1" applyAlignment="1">
      <alignment horizontal="center" wrapText="1"/>
    </xf>
    <xf numFmtId="2" fontId="11" fillId="2" borderId="38" xfId="1" applyNumberFormat="1" applyFont="1" applyFill="1" applyBorder="1" applyAlignment="1">
      <alignment horizontal="center"/>
    </xf>
    <xf numFmtId="2" fontId="11" fillId="2" borderId="61" xfId="1" applyNumberFormat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11" fillId="2" borderId="24" xfId="1" applyFont="1" applyFill="1" applyBorder="1"/>
    <xf numFmtId="10" fontId="12" fillId="2" borderId="0" xfId="1" applyNumberFormat="1" applyFont="1" applyFill="1" applyAlignment="1">
      <alignment horizontal="center"/>
    </xf>
    <xf numFmtId="2" fontId="12" fillId="5" borderId="27" xfId="1" applyNumberFormat="1" applyFont="1" applyFill="1" applyBorder="1" applyAlignment="1">
      <alignment horizontal="center"/>
    </xf>
    <xf numFmtId="2" fontId="13" fillId="5" borderId="27" xfId="1" applyNumberFormat="1" applyFont="1" applyFill="1" applyBorder="1" applyAlignment="1">
      <alignment horizontal="center"/>
    </xf>
    <xf numFmtId="10" fontId="12" fillId="6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2" fontId="12" fillId="5" borderId="62" xfId="1" applyNumberFormat="1" applyFont="1" applyFill="1" applyBorder="1" applyAlignment="1">
      <alignment horizontal="center"/>
    </xf>
    <xf numFmtId="2" fontId="13" fillId="5" borderId="62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3" fontId="1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4" fillId="3" borderId="1" xfId="1" applyFont="1" applyFill="1" applyBorder="1" applyAlignment="1" applyProtection="1">
      <alignment horizontal="center"/>
      <protection locked="0"/>
    </xf>
    <xf numFmtId="1" fontId="12" fillId="6" borderId="1" xfId="1" applyNumberFormat="1" applyFont="1" applyFill="1" applyBorder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0" fontId="17" fillId="2" borderId="0" xfId="1" applyFont="1" applyFill="1"/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3" fillId="3" borderId="24" xfId="1" applyFont="1" applyFill="1" applyBorder="1" applyAlignment="1" applyProtection="1">
      <alignment horizontal="center"/>
      <protection locked="0"/>
    </xf>
    <xf numFmtId="171" fontId="11" fillId="2" borderId="4" xfId="1" applyNumberFormat="1" applyFont="1" applyFill="1" applyBorder="1" applyAlignment="1">
      <alignment horizontal="center"/>
    </xf>
    <xf numFmtId="0" fontId="13" fillId="3" borderId="48" xfId="1" applyFont="1" applyFill="1" applyBorder="1" applyAlignment="1" applyProtection="1">
      <alignment horizontal="center"/>
      <protection locked="0"/>
    </xf>
    <xf numFmtId="171" fontId="11" fillId="2" borderId="3" xfId="1" applyNumberFormat="1" applyFont="1" applyFill="1" applyBorder="1" applyAlignment="1">
      <alignment horizontal="center"/>
    </xf>
    <xf numFmtId="171" fontId="13" fillId="3" borderId="0" xfId="1" applyNumberFormat="1" applyFont="1" applyFill="1" applyAlignment="1" applyProtection="1">
      <alignment horizontal="center"/>
      <protection locked="0"/>
    </xf>
    <xf numFmtId="171" fontId="11" fillId="2" borderId="5" xfId="1" applyNumberFormat="1" applyFont="1" applyFill="1" applyBorder="1" applyAlignment="1">
      <alignment horizontal="center"/>
    </xf>
    <xf numFmtId="171" fontId="13" fillId="3" borderId="7" xfId="1" applyNumberFormat="1" applyFont="1" applyFill="1" applyBorder="1" applyAlignment="1" applyProtection="1">
      <alignment horizontal="center"/>
      <protection locked="0"/>
    </xf>
    <xf numFmtId="17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2" fillId="2" borderId="0" xfId="1" applyFont="1" applyFill="1"/>
    <xf numFmtId="0" fontId="11" fillId="2" borderId="63" xfId="1" applyFont="1" applyFill="1" applyBorder="1" applyAlignment="1">
      <alignment horizontal="right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25" xfId="1" applyFont="1" applyFill="1" applyBorder="1" applyAlignment="1">
      <alignment horizontal="right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/>
    <xf numFmtId="0" fontId="12" fillId="2" borderId="22" xfId="1" applyFont="1" applyFill="1" applyBorder="1" applyAlignment="1">
      <alignment horizontal="center" wrapText="1"/>
    </xf>
    <xf numFmtId="171" fontId="13" fillId="3" borderId="31" xfId="1" applyNumberFormat="1" applyFont="1" applyFill="1" applyBorder="1" applyAlignment="1" applyProtection="1">
      <alignment horizontal="center"/>
      <protection locked="0"/>
    </xf>
    <xf numFmtId="10" fontId="11" fillId="2" borderId="30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7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0" fontId="11" fillId="2" borderId="43" xfId="1" applyFont="1" applyFill="1" applyBorder="1"/>
    <xf numFmtId="0" fontId="11" fillId="2" borderId="64" xfId="1" applyFont="1" applyFill="1" applyBorder="1" applyAlignment="1">
      <alignment horizontal="center"/>
    </xf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6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38" xfId="0" applyNumberFormat="1" applyFont="1" applyFill="1" applyBorder="1" applyAlignment="1">
      <alignment horizontal="center"/>
    </xf>
    <xf numFmtId="166" fontId="12" fillId="6" borderId="15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39" sqref="D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37" t="s">
        <v>0</v>
      </c>
      <c r="B15" s="437"/>
      <c r="C15" s="437"/>
      <c r="D15" s="437"/>
      <c r="E15" s="4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23.14</v>
      </c>
      <c r="C20" s="10"/>
      <c r="D20" s="10"/>
      <c r="E20" s="10"/>
    </row>
    <row r="21" spans="1:6" ht="16.5" customHeight="1" x14ac:dyDescent="0.3">
      <c r="A21" s="7" t="s">
        <v>10</v>
      </c>
      <c r="B21" s="13">
        <v>4.9000000000000002E-2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85589671</v>
      </c>
      <c r="C24" s="18">
        <v>5233.8500000000004</v>
      </c>
      <c r="D24" s="19">
        <v>1.1399999999999999</v>
      </c>
      <c r="E24" s="20">
        <v>5.38</v>
      </c>
    </row>
    <row r="25" spans="1:6" ht="16.5" customHeight="1" x14ac:dyDescent="0.3">
      <c r="A25" s="17">
        <v>2</v>
      </c>
      <c r="B25" s="18">
        <v>83358680</v>
      </c>
      <c r="C25" s="18">
        <v>5185.8500000000004</v>
      </c>
      <c r="D25" s="19">
        <v>1.0900000000000001</v>
      </c>
      <c r="E25" s="19">
        <v>5.25</v>
      </c>
    </row>
    <row r="26" spans="1:6" ht="16.5" customHeight="1" x14ac:dyDescent="0.3">
      <c r="A26" s="17">
        <v>3</v>
      </c>
      <c r="B26" s="18">
        <v>84510766</v>
      </c>
      <c r="C26" s="18">
        <v>5185.8500000000004</v>
      </c>
      <c r="D26" s="19">
        <v>1.1200000000000001</v>
      </c>
      <c r="E26" s="19">
        <v>5.17</v>
      </c>
    </row>
    <row r="27" spans="1:6" ht="16.5" customHeight="1" x14ac:dyDescent="0.3">
      <c r="A27" s="17">
        <v>4</v>
      </c>
      <c r="B27" s="18">
        <v>84700560</v>
      </c>
      <c r="C27" s="18">
        <v>5145.25</v>
      </c>
      <c r="D27" s="19">
        <v>1.1000000000000001</v>
      </c>
      <c r="E27" s="19">
        <v>5.14</v>
      </c>
    </row>
    <row r="28" spans="1:6" ht="16.5" customHeight="1" x14ac:dyDescent="0.3">
      <c r="A28" s="17">
        <v>5</v>
      </c>
      <c r="B28" s="18">
        <v>84678726</v>
      </c>
      <c r="C28" s="18">
        <v>5109.2299999999996</v>
      </c>
      <c r="D28" s="19">
        <v>1.1000000000000001</v>
      </c>
      <c r="E28" s="19">
        <v>5.12</v>
      </c>
    </row>
    <row r="29" spans="1:6" ht="16.5" customHeight="1" x14ac:dyDescent="0.3">
      <c r="A29" s="17">
        <v>6</v>
      </c>
      <c r="B29" s="21">
        <v>84659453</v>
      </c>
      <c r="C29" s="21">
        <v>5143.99</v>
      </c>
      <c r="D29" s="22">
        <v>1.1000000000000001</v>
      </c>
      <c r="E29" s="22">
        <v>5.13</v>
      </c>
    </row>
    <row r="30" spans="1:6" ht="16.5" customHeight="1" x14ac:dyDescent="0.3">
      <c r="A30" s="23" t="s">
        <v>18</v>
      </c>
      <c r="B30" s="24">
        <f>AVERAGE(B24:B29)</f>
        <v>84582976</v>
      </c>
      <c r="C30" s="25">
        <f>AVERAGE(C24:C29)</f>
        <v>5167.336666666667</v>
      </c>
      <c r="D30" s="26">
        <f>AVERAGE(D24:D29)</f>
        <v>1.1083333333333334</v>
      </c>
      <c r="E30" s="26">
        <f>AVERAGE(E24:E29)</f>
        <v>5.1983333333333333</v>
      </c>
    </row>
    <row r="31" spans="1:6" ht="16.5" customHeight="1" x14ac:dyDescent="0.3">
      <c r="A31" s="27" t="s">
        <v>19</v>
      </c>
      <c r="B31" s="28">
        <f>(STDEV(B24:B29)/B30)</f>
        <v>8.4371295492726393E-3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148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38" t="s">
        <v>26</v>
      </c>
      <c r="C59" s="43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2" t="s">
        <v>31</v>
      </c>
      <c r="B11" s="443"/>
      <c r="C11" s="443"/>
      <c r="D11" s="443"/>
      <c r="E11" s="443"/>
      <c r="F11" s="444"/>
      <c r="G11" s="91"/>
    </row>
    <row r="12" spans="1:7" ht="16.5" customHeight="1" x14ac:dyDescent="0.3">
      <c r="A12" s="441" t="s">
        <v>32</v>
      </c>
      <c r="B12" s="441"/>
      <c r="C12" s="441"/>
      <c r="D12" s="441"/>
      <c r="E12" s="441"/>
      <c r="F12" s="441"/>
      <c r="G12" s="90"/>
    </row>
    <row r="14" spans="1:7" ht="16.5" customHeight="1" x14ac:dyDescent="0.3">
      <c r="A14" s="446" t="s">
        <v>33</v>
      </c>
      <c r="B14" s="446"/>
      <c r="C14" s="60" t="s">
        <v>5</v>
      </c>
    </row>
    <row r="15" spans="1:7" ht="16.5" customHeight="1" x14ac:dyDescent="0.3">
      <c r="A15" s="446" t="s">
        <v>34</v>
      </c>
      <c r="B15" s="446"/>
      <c r="C15" s="60" t="s">
        <v>7</v>
      </c>
    </row>
    <row r="16" spans="1:7" ht="16.5" customHeight="1" x14ac:dyDescent="0.3">
      <c r="A16" s="446" t="s">
        <v>35</v>
      </c>
      <c r="B16" s="446"/>
      <c r="C16" s="60" t="s">
        <v>9</v>
      </c>
    </row>
    <row r="17" spans="1:5" ht="16.5" customHeight="1" x14ac:dyDescent="0.3">
      <c r="A17" s="446" t="s">
        <v>36</v>
      </c>
      <c r="B17" s="446"/>
      <c r="C17" s="60" t="s">
        <v>11</v>
      </c>
    </row>
    <row r="18" spans="1:5" ht="16.5" customHeight="1" x14ac:dyDescent="0.3">
      <c r="A18" s="446" t="s">
        <v>37</v>
      </c>
      <c r="B18" s="446"/>
      <c r="C18" s="97" t="s">
        <v>12</v>
      </c>
    </row>
    <row r="19" spans="1:5" ht="16.5" customHeight="1" x14ac:dyDescent="0.3">
      <c r="A19" s="446" t="s">
        <v>38</v>
      </c>
      <c r="B19" s="44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41" t="s">
        <v>1</v>
      </c>
      <c r="B21" s="441"/>
      <c r="C21" s="59" t="s">
        <v>39</v>
      </c>
      <c r="D21" s="66"/>
    </row>
    <row r="22" spans="1:5" ht="15.75" customHeight="1" x14ac:dyDescent="0.3">
      <c r="A22" s="445"/>
      <c r="B22" s="445"/>
      <c r="C22" s="57"/>
      <c r="D22" s="445"/>
      <c r="E22" s="44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242.55</v>
      </c>
      <c r="D24" s="87">
        <f t="shared" ref="D24:D43" si="0">(C24-$C$46)/$C$46</f>
        <v>-1.5272454830993652E-3</v>
      </c>
      <c r="E24" s="53"/>
    </row>
    <row r="25" spans="1:5" ht="15.75" customHeight="1" x14ac:dyDescent="0.3">
      <c r="C25" s="95">
        <v>246.52</v>
      </c>
      <c r="D25" s="88">
        <f t="shared" si="0"/>
        <v>1.4815516155458022E-2</v>
      </c>
      <c r="E25" s="53"/>
    </row>
    <row r="26" spans="1:5" ht="15.75" customHeight="1" x14ac:dyDescent="0.3">
      <c r="C26" s="95">
        <v>241.11</v>
      </c>
      <c r="D26" s="88">
        <f t="shared" si="0"/>
        <v>-7.4550985711403246E-3</v>
      </c>
      <c r="E26" s="53"/>
    </row>
    <row r="27" spans="1:5" ht="15.75" customHeight="1" x14ac:dyDescent="0.3">
      <c r="C27" s="95">
        <v>244.27</v>
      </c>
      <c r="D27" s="88">
        <f t="shared" si="0"/>
        <v>5.5532457053940089E-3</v>
      </c>
      <c r="E27" s="53"/>
    </row>
    <row r="28" spans="1:5" ht="15.75" customHeight="1" x14ac:dyDescent="0.3">
      <c r="C28" s="95">
        <v>244.15</v>
      </c>
      <c r="D28" s="88">
        <f t="shared" si="0"/>
        <v>5.0592579480572431E-3</v>
      </c>
      <c r="E28" s="53"/>
    </row>
    <row r="29" spans="1:5" ht="15.75" customHeight="1" x14ac:dyDescent="0.3">
      <c r="C29" s="95">
        <v>245.51</v>
      </c>
      <c r="D29" s="88">
        <f t="shared" si="0"/>
        <v>1.0657785864540319E-2</v>
      </c>
      <c r="E29" s="53"/>
    </row>
    <row r="30" spans="1:5" ht="15.75" customHeight="1" x14ac:dyDescent="0.3">
      <c r="C30" s="95">
        <v>241.77</v>
      </c>
      <c r="D30" s="88">
        <f t="shared" si="0"/>
        <v>-4.7381659057882273E-3</v>
      </c>
      <c r="E30" s="53"/>
    </row>
    <row r="31" spans="1:5" ht="15.75" customHeight="1" x14ac:dyDescent="0.3">
      <c r="C31" s="95">
        <v>244.58</v>
      </c>
      <c r="D31" s="88">
        <f t="shared" si="0"/>
        <v>6.8293807451806155E-3</v>
      </c>
      <c r="E31" s="53"/>
    </row>
    <row r="32" spans="1:5" ht="15.75" customHeight="1" x14ac:dyDescent="0.3">
      <c r="C32" s="95">
        <v>241.36</v>
      </c>
      <c r="D32" s="88">
        <f t="shared" si="0"/>
        <v>-6.4259574100221008E-3</v>
      </c>
      <c r="E32" s="53"/>
    </row>
    <row r="33" spans="1:7" ht="15.75" customHeight="1" x14ac:dyDescent="0.3">
      <c r="C33" s="95">
        <v>241.16</v>
      </c>
      <c r="D33" s="88">
        <f t="shared" si="0"/>
        <v>-7.2492703389167492E-3</v>
      </c>
      <c r="E33" s="53"/>
    </row>
    <row r="34" spans="1:7" ht="15.75" customHeight="1" x14ac:dyDescent="0.3">
      <c r="C34" s="95">
        <v>244.36</v>
      </c>
      <c r="D34" s="88">
        <f t="shared" si="0"/>
        <v>5.9237365233965836E-3</v>
      </c>
      <c r="E34" s="53"/>
    </row>
    <row r="35" spans="1:7" ht="15.75" customHeight="1" x14ac:dyDescent="0.3">
      <c r="C35" s="95">
        <v>240.62</v>
      </c>
      <c r="D35" s="88">
        <f t="shared" si="0"/>
        <v>-9.4722152469320798E-3</v>
      </c>
      <c r="E35" s="53"/>
    </row>
    <row r="36" spans="1:7" ht="15.75" customHeight="1" x14ac:dyDescent="0.3">
      <c r="C36" s="95">
        <v>241.14</v>
      </c>
      <c r="D36" s="88">
        <f t="shared" si="0"/>
        <v>-7.3316016318062498E-3</v>
      </c>
      <c r="E36" s="53"/>
    </row>
    <row r="37" spans="1:7" ht="15.75" customHeight="1" x14ac:dyDescent="0.3">
      <c r="C37" s="95">
        <v>243.95</v>
      </c>
      <c r="D37" s="88">
        <f t="shared" si="0"/>
        <v>4.2359450191625939E-3</v>
      </c>
      <c r="E37" s="53"/>
    </row>
    <row r="38" spans="1:7" ht="15.75" customHeight="1" x14ac:dyDescent="0.3">
      <c r="C38" s="95">
        <v>243.78</v>
      </c>
      <c r="D38" s="88">
        <f t="shared" si="0"/>
        <v>3.5361290296022528E-3</v>
      </c>
      <c r="E38" s="53"/>
    </row>
    <row r="39" spans="1:7" ht="15.75" customHeight="1" x14ac:dyDescent="0.3">
      <c r="C39" s="95">
        <v>241.65</v>
      </c>
      <c r="D39" s="88">
        <f t="shared" si="0"/>
        <v>-5.232153663124994E-3</v>
      </c>
      <c r="E39" s="53"/>
    </row>
    <row r="40" spans="1:7" ht="15.75" customHeight="1" x14ac:dyDescent="0.3">
      <c r="C40" s="95">
        <v>239.88</v>
      </c>
      <c r="D40" s="88">
        <f t="shared" si="0"/>
        <v>-1.2518473083842059E-2</v>
      </c>
      <c r="E40" s="53"/>
    </row>
    <row r="41" spans="1:7" ht="15.75" customHeight="1" x14ac:dyDescent="0.3">
      <c r="C41" s="95">
        <v>242.71</v>
      </c>
      <c r="D41" s="88">
        <f t="shared" si="0"/>
        <v>-8.6859513998371613E-4</v>
      </c>
      <c r="E41" s="53"/>
    </row>
    <row r="42" spans="1:7" ht="15.75" customHeight="1" x14ac:dyDescent="0.3">
      <c r="C42" s="95">
        <v>241.5</v>
      </c>
      <c r="D42" s="88">
        <f t="shared" si="0"/>
        <v>-5.8496383597959516E-3</v>
      </c>
      <c r="E42" s="53"/>
    </row>
    <row r="43" spans="1:7" ht="16.5" customHeight="1" x14ac:dyDescent="0.3">
      <c r="C43" s="96">
        <v>245.85</v>
      </c>
      <c r="D43" s="89">
        <f t="shared" si="0"/>
        <v>1.2057417843661117E-2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4858.42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242.92099999999999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39">
        <f>C46</f>
        <v>242.92099999999999</v>
      </c>
      <c r="C49" s="93">
        <f>-IF(C46&lt;=80,10%,IF(C46&lt;250,7.5%,5%))</f>
        <v>-7.4999999999999997E-2</v>
      </c>
      <c r="D49" s="81">
        <f>IF(C46&lt;=80,C46*0.9,IF(C46&lt;250,C46*0.925,C46*0.95))</f>
        <v>224.70192500000002</v>
      </c>
    </row>
    <row r="50" spans="1:6" ht="17.25" customHeight="1" x14ac:dyDescent="0.3">
      <c r="B50" s="440"/>
      <c r="C50" s="94">
        <f>IF(C46&lt;=80, 10%, IF(C46&lt;250, 7.5%, 5%))</f>
        <v>7.4999999999999997E-2</v>
      </c>
      <c r="D50" s="81">
        <f>IF(C46&lt;=80, C46*1.1, IF(C46&lt;250, C46*1.075, C46*1.05))</f>
        <v>261.14007499999997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F38" sqref="F38:F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47" t="s">
        <v>45</v>
      </c>
      <c r="B1" s="447"/>
      <c r="C1" s="447"/>
      <c r="D1" s="447"/>
      <c r="E1" s="447"/>
      <c r="F1" s="447"/>
      <c r="G1" s="447"/>
      <c r="H1" s="447"/>
      <c r="I1" s="447"/>
    </row>
    <row r="2" spans="1:9" ht="18.75" customHeight="1" x14ac:dyDescent="0.25">
      <c r="A2" s="447"/>
      <c r="B2" s="447"/>
      <c r="C2" s="447"/>
      <c r="D2" s="447"/>
      <c r="E2" s="447"/>
      <c r="F2" s="447"/>
      <c r="G2" s="447"/>
      <c r="H2" s="447"/>
      <c r="I2" s="447"/>
    </row>
    <row r="3" spans="1:9" ht="18.75" customHeight="1" x14ac:dyDescent="0.25">
      <c r="A3" s="447"/>
      <c r="B3" s="447"/>
      <c r="C3" s="447"/>
      <c r="D3" s="447"/>
      <c r="E3" s="447"/>
      <c r="F3" s="447"/>
      <c r="G3" s="447"/>
      <c r="H3" s="447"/>
      <c r="I3" s="447"/>
    </row>
    <row r="4" spans="1:9" ht="18.75" customHeight="1" x14ac:dyDescent="0.25">
      <c r="A4" s="447"/>
      <c r="B4" s="447"/>
      <c r="C4" s="447"/>
      <c r="D4" s="447"/>
      <c r="E4" s="447"/>
      <c r="F4" s="447"/>
      <c r="G4" s="447"/>
      <c r="H4" s="447"/>
      <c r="I4" s="447"/>
    </row>
    <row r="5" spans="1:9" ht="18.75" customHeight="1" x14ac:dyDescent="0.25">
      <c r="A5" s="447"/>
      <c r="B5" s="447"/>
      <c r="C5" s="447"/>
      <c r="D5" s="447"/>
      <c r="E5" s="447"/>
      <c r="F5" s="447"/>
      <c r="G5" s="447"/>
      <c r="H5" s="447"/>
      <c r="I5" s="447"/>
    </row>
    <row r="6" spans="1:9" ht="18.75" customHeight="1" x14ac:dyDescent="0.25">
      <c r="A6" s="447"/>
      <c r="B6" s="447"/>
      <c r="C6" s="447"/>
      <c r="D6" s="447"/>
      <c r="E6" s="447"/>
      <c r="F6" s="447"/>
      <c r="G6" s="447"/>
      <c r="H6" s="447"/>
      <c r="I6" s="447"/>
    </row>
    <row r="7" spans="1:9" ht="18.75" customHeight="1" x14ac:dyDescent="0.25">
      <c r="A7" s="447"/>
      <c r="B7" s="447"/>
      <c r="C7" s="447"/>
      <c r="D7" s="447"/>
      <c r="E7" s="447"/>
      <c r="F7" s="447"/>
      <c r="G7" s="447"/>
      <c r="H7" s="447"/>
      <c r="I7" s="447"/>
    </row>
    <row r="8" spans="1:9" x14ac:dyDescent="0.25">
      <c r="A8" s="448" t="s">
        <v>46</v>
      </c>
      <c r="B8" s="448"/>
      <c r="C8" s="448"/>
      <c r="D8" s="448"/>
      <c r="E8" s="448"/>
      <c r="F8" s="448"/>
      <c r="G8" s="448"/>
      <c r="H8" s="448"/>
      <c r="I8" s="448"/>
    </row>
    <row r="9" spans="1:9" x14ac:dyDescent="0.25">
      <c r="A9" s="448"/>
      <c r="B9" s="448"/>
      <c r="C9" s="448"/>
      <c r="D9" s="448"/>
      <c r="E9" s="448"/>
      <c r="F9" s="448"/>
      <c r="G9" s="448"/>
      <c r="H9" s="448"/>
      <c r="I9" s="448"/>
    </row>
    <row r="10" spans="1:9" x14ac:dyDescent="0.25">
      <c r="A10" s="448"/>
      <c r="B10" s="448"/>
      <c r="C10" s="448"/>
      <c r="D10" s="448"/>
      <c r="E10" s="448"/>
      <c r="F10" s="448"/>
      <c r="G10" s="448"/>
      <c r="H10" s="448"/>
      <c r="I10" s="448"/>
    </row>
    <row r="11" spans="1:9" x14ac:dyDescent="0.25">
      <c r="A11" s="448"/>
      <c r="B11" s="448"/>
      <c r="C11" s="448"/>
      <c r="D11" s="448"/>
      <c r="E11" s="448"/>
      <c r="F11" s="448"/>
      <c r="G11" s="448"/>
      <c r="H11" s="448"/>
      <c r="I11" s="448"/>
    </row>
    <row r="12" spans="1:9" x14ac:dyDescent="0.25">
      <c r="A12" s="448"/>
      <c r="B12" s="448"/>
      <c r="C12" s="448"/>
      <c r="D12" s="448"/>
      <c r="E12" s="448"/>
      <c r="F12" s="448"/>
      <c r="G12" s="448"/>
      <c r="H12" s="448"/>
      <c r="I12" s="448"/>
    </row>
    <row r="13" spans="1:9" x14ac:dyDescent="0.25">
      <c r="A13" s="448"/>
      <c r="B13" s="448"/>
      <c r="C13" s="448"/>
      <c r="D13" s="448"/>
      <c r="E13" s="448"/>
      <c r="F13" s="448"/>
      <c r="G13" s="448"/>
      <c r="H13" s="448"/>
      <c r="I13" s="448"/>
    </row>
    <row r="14" spans="1:9" x14ac:dyDescent="0.25">
      <c r="A14" s="448"/>
      <c r="B14" s="448"/>
      <c r="C14" s="448"/>
      <c r="D14" s="448"/>
      <c r="E14" s="448"/>
      <c r="F14" s="448"/>
      <c r="G14" s="448"/>
      <c r="H14" s="448"/>
      <c r="I14" s="448"/>
    </row>
    <row r="15" spans="1:9" ht="19.5" customHeight="1" x14ac:dyDescent="0.3">
      <c r="A15" s="98"/>
    </row>
    <row r="16" spans="1:9" ht="19.5" customHeight="1" x14ac:dyDescent="0.3">
      <c r="A16" s="481" t="s">
        <v>31</v>
      </c>
      <c r="B16" s="482"/>
      <c r="C16" s="482"/>
      <c r="D16" s="482"/>
      <c r="E16" s="482"/>
      <c r="F16" s="482"/>
      <c r="G16" s="482"/>
      <c r="H16" s="483"/>
    </row>
    <row r="17" spans="1:14" ht="20.25" customHeight="1" x14ac:dyDescent="0.25">
      <c r="A17" s="484" t="s">
        <v>47</v>
      </c>
      <c r="B17" s="484"/>
      <c r="C17" s="484"/>
      <c r="D17" s="484"/>
      <c r="E17" s="484"/>
      <c r="F17" s="484"/>
      <c r="G17" s="484"/>
      <c r="H17" s="484"/>
    </row>
    <row r="18" spans="1:14" ht="26.25" customHeight="1" x14ac:dyDescent="0.4">
      <c r="A18" s="100" t="s">
        <v>33</v>
      </c>
      <c r="B18" s="480" t="s">
        <v>5</v>
      </c>
      <c r="C18" s="480"/>
      <c r="D18" s="26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5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5" t="s">
        <v>9</v>
      </c>
      <c r="C20" s="48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5" t="s">
        <v>11</v>
      </c>
      <c r="C21" s="485"/>
      <c r="D21" s="485"/>
      <c r="E21" s="485"/>
      <c r="F21" s="485"/>
      <c r="G21" s="485"/>
      <c r="H21" s="485"/>
      <c r="I21" s="104"/>
    </row>
    <row r="22" spans="1:14" ht="26.25" customHeight="1" x14ac:dyDescent="0.4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0" t="s">
        <v>126</v>
      </c>
      <c r="C26" s="480"/>
    </row>
    <row r="27" spans="1:14" ht="26.25" customHeight="1" x14ac:dyDescent="0.4">
      <c r="A27" s="109" t="s">
        <v>48</v>
      </c>
      <c r="B27" s="478" t="s">
        <v>125</v>
      </c>
      <c r="C27" s="478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/>
      <c r="C29" s="455" t="s">
        <v>50</v>
      </c>
      <c r="D29" s="456"/>
      <c r="E29" s="456"/>
      <c r="F29" s="456"/>
      <c r="G29" s="45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451.48</v>
      </c>
      <c r="C31" s="458" t="s">
        <v>53</v>
      </c>
      <c r="D31" s="459"/>
      <c r="E31" s="459"/>
      <c r="F31" s="459"/>
      <c r="G31" s="459"/>
      <c r="H31" s="46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547.48</v>
      </c>
      <c r="C32" s="458" t="s">
        <v>55</v>
      </c>
      <c r="D32" s="459"/>
      <c r="E32" s="459"/>
      <c r="F32" s="459"/>
      <c r="G32" s="459"/>
      <c r="H32" s="46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0.82465112880835834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61" t="s">
        <v>59</v>
      </c>
      <c r="E36" s="479"/>
      <c r="F36" s="461" t="s">
        <v>60</v>
      </c>
      <c r="G36" s="46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85420613</v>
      </c>
      <c r="E38" s="133">
        <f>IF(ISBLANK(D38),"-",$D$48/$D$45*D38)</f>
        <v>110112295.70795089</v>
      </c>
      <c r="F38" s="132">
        <v>89385298</v>
      </c>
      <c r="G38" s="134">
        <f>IF(ISBLANK(F38),"-",$D$48/$F$45*F38)</f>
        <v>110633216.21735108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85416890</v>
      </c>
      <c r="E39" s="138">
        <f>IF(ISBLANK(D39),"-",$D$48/$D$45*D39)</f>
        <v>110107496.5375572</v>
      </c>
      <c r="F39" s="137">
        <v>89938878</v>
      </c>
      <c r="G39" s="139">
        <f>IF(ISBLANK(F39),"-",$D$48/$F$45*F39)</f>
        <v>111318388.58018866</v>
      </c>
      <c r="I39" s="463">
        <f>ABS((F43/D43*D42)-F42)/D42</f>
        <v>7.3759735890659255E-3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85704186</v>
      </c>
      <c r="E40" s="138">
        <f>IF(ISBLANK(D40),"-",$D$48/$D$45*D40)</f>
        <v>110477838.32037385</v>
      </c>
      <c r="F40" s="137">
        <v>89752801</v>
      </c>
      <c r="G40" s="139">
        <f>IF(ISBLANK(F40),"-",$D$48/$F$45*F40)</f>
        <v>111088078.92709474</v>
      </c>
      <c r="I40" s="46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85513896.333333328</v>
      </c>
      <c r="E42" s="148">
        <f>AVERAGE(E38:E41)</f>
        <v>110232543.52196063</v>
      </c>
      <c r="F42" s="147">
        <f>AVERAGE(F38:F41)</f>
        <v>89692325.666666672</v>
      </c>
      <c r="G42" s="149">
        <f>AVERAGE(G38:G41)</f>
        <v>111013227.90821148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23.14</v>
      </c>
      <c r="E43" s="140"/>
      <c r="F43" s="152">
        <v>24.1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19.082427120625411</v>
      </c>
      <c r="E44" s="155"/>
      <c r="F44" s="154">
        <f>F43*$B$34</f>
        <v>19.874092204281435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19.006097412142907</v>
      </c>
      <c r="E45" s="158"/>
      <c r="F45" s="157">
        <f>F44*$B$30/100</f>
        <v>19.794595835464307</v>
      </c>
      <c r="H45" s="150"/>
    </row>
    <row r="46" spans="1:14" ht="19.5" customHeight="1" x14ac:dyDescent="0.3">
      <c r="A46" s="449" t="s">
        <v>78</v>
      </c>
      <c r="B46" s="450"/>
      <c r="C46" s="153" t="s">
        <v>79</v>
      </c>
      <c r="D46" s="159">
        <f>D45/$B$45</f>
        <v>3.8012194824285812E-2</v>
      </c>
      <c r="E46" s="160"/>
      <c r="F46" s="161">
        <f>F45/$B$45</f>
        <v>3.9589191670928614E-2</v>
      </c>
      <c r="H46" s="150"/>
    </row>
    <row r="47" spans="1:14" ht="27" customHeight="1" x14ac:dyDescent="0.4">
      <c r="A47" s="451"/>
      <c r="B47" s="452"/>
      <c r="C47" s="162" t="s">
        <v>80</v>
      </c>
      <c r="D47" s="163">
        <v>4.9000000000000002E-2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29.709533091166829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110622885.71508606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4.5155239239820606E-3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Doxazosin 4 mg</v>
      </c>
    </row>
    <row r="56" spans="1:12" ht="26.25" customHeight="1" x14ac:dyDescent="0.4">
      <c r="A56" s="177" t="s">
        <v>87</v>
      </c>
      <c r="B56" s="178">
        <v>4</v>
      </c>
      <c r="C56" s="99" t="str">
        <f>B20</f>
        <v xml:space="preserve">Doxazosin </v>
      </c>
      <c r="H56" s="179"/>
    </row>
    <row r="57" spans="1:12" ht="18.75" x14ac:dyDescent="0.3">
      <c r="A57" s="176" t="s">
        <v>88</v>
      </c>
      <c r="B57" s="263">
        <f>Uniformity!C46</f>
        <v>242.92099999999999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66" t="s">
        <v>94</v>
      </c>
      <c r="D60" s="469">
        <v>228.29</v>
      </c>
      <c r="E60" s="182">
        <v>1</v>
      </c>
      <c r="F60" s="183">
        <v>84535618</v>
      </c>
      <c r="G60" s="264">
        <f>IF(ISBLANK(F60),"-",(F60/$D$50*$D$47*$B$68)*($B$57/$D$60))</f>
        <v>3.9844556833626892</v>
      </c>
      <c r="H60" s="184">
        <f t="shared" ref="H60:H71" si="0">IF(ISBLANK(F60),"-",G60/$B$56)</f>
        <v>0.9961139208406723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67"/>
      <c r="D61" s="470"/>
      <c r="E61" s="185">
        <v>2</v>
      </c>
      <c r="F61" s="137">
        <v>85573555</v>
      </c>
      <c r="G61" s="265">
        <f>IF(ISBLANK(F61),"-",(F61/$D$50*$D$47*$B$68)*($B$57/$D$60))</f>
        <v>4.0333772394649046</v>
      </c>
      <c r="H61" s="186">
        <f t="shared" si="0"/>
        <v>1.0083443098662261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67"/>
      <c r="D62" s="470"/>
      <c r="E62" s="185">
        <v>3</v>
      </c>
      <c r="F62" s="187">
        <v>85012510</v>
      </c>
      <c r="G62" s="265">
        <f>IF(ISBLANK(F62),"-",(F62/$D$50*$D$47*$B$68)*($B$57/$D$60))</f>
        <v>4.0069332506261137</v>
      </c>
      <c r="H62" s="186">
        <f t="shared" si="0"/>
        <v>1.0017333126565284</v>
      </c>
      <c r="L62" s="112"/>
    </row>
    <row r="63" spans="1:12" ht="27" customHeight="1" x14ac:dyDescent="0.4">
      <c r="A63" s="124" t="s">
        <v>97</v>
      </c>
      <c r="B63" s="125">
        <v>1</v>
      </c>
      <c r="C63" s="477"/>
      <c r="D63" s="471"/>
      <c r="E63" s="188">
        <v>4</v>
      </c>
      <c r="F63" s="189"/>
      <c r="G63" s="265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66" t="s">
        <v>99</v>
      </c>
      <c r="D64" s="469">
        <v>222.63</v>
      </c>
      <c r="E64" s="182">
        <v>1</v>
      </c>
      <c r="F64" s="183">
        <v>83731580</v>
      </c>
      <c r="G64" s="266">
        <f>IF(ISBLANK(F64),"-",(F64/$D$50*$D$47*$B$68)*($B$57/$D$64))</f>
        <v>4.0468933282569104</v>
      </c>
      <c r="H64" s="190">
        <f t="shared" si="0"/>
        <v>1.0117233320642276</v>
      </c>
    </row>
    <row r="65" spans="1:8" ht="26.25" customHeight="1" x14ac:dyDescent="0.4">
      <c r="A65" s="124" t="s">
        <v>100</v>
      </c>
      <c r="B65" s="125">
        <v>1</v>
      </c>
      <c r="C65" s="467"/>
      <c r="D65" s="470"/>
      <c r="E65" s="185">
        <v>2</v>
      </c>
      <c r="F65" s="137">
        <v>83547773</v>
      </c>
      <c r="G65" s="267">
        <f>IF(ISBLANK(F65),"-",(F65/$D$50*$D$47*$B$68)*($B$57/$D$64))</f>
        <v>4.0380096153019309</v>
      </c>
      <c r="H65" s="191">
        <f t="shared" si="0"/>
        <v>1.0095024038254827</v>
      </c>
    </row>
    <row r="66" spans="1:8" ht="26.25" customHeight="1" x14ac:dyDescent="0.4">
      <c r="A66" s="124" t="s">
        <v>101</v>
      </c>
      <c r="B66" s="125">
        <v>1</v>
      </c>
      <c r="C66" s="467"/>
      <c r="D66" s="470"/>
      <c r="E66" s="185">
        <v>3</v>
      </c>
      <c r="F66" s="137">
        <v>82345970</v>
      </c>
      <c r="G66" s="267">
        <f>IF(ISBLANK(F66),"-",(F66/$D$50*$D$47*$B$68)*($B$57/$D$64))</f>
        <v>3.9799243798079971</v>
      </c>
      <c r="H66" s="191">
        <f t="shared" si="0"/>
        <v>0.99498109495199927</v>
      </c>
    </row>
    <row r="67" spans="1:8" ht="27" customHeight="1" x14ac:dyDescent="0.4">
      <c r="A67" s="124" t="s">
        <v>102</v>
      </c>
      <c r="B67" s="125">
        <v>1</v>
      </c>
      <c r="C67" s="477"/>
      <c r="D67" s="471"/>
      <c r="E67" s="188">
        <v>4</v>
      </c>
      <c r="F67" s="189"/>
      <c r="G67" s="268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66" t="s">
        <v>104</v>
      </c>
      <c r="D68" s="469">
        <v>220.46</v>
      </c>
      <c r="E68" s="182">
        <v>1</v>
      </c>
      <c r="F68" s="183"/>
      <c r="G68" s="266" t="str">
        <f>IF(ISBLANK(F68),"-",(F68/$D$50*$D$47*$B$68)*($B$57/$D$68))</f>
        <v>-</v>
      </c>
      <c r="H68" s="186" t="str">
        <f t="shared" si="0"/>
        <v>-</v>
      </c>
    </row>
    <row r="69" spans="1:8" ht="27" customHeight="1" x14ac:dyDescent="0.4">
      <c r="A69" s="172" t="s">
        <v>105</v>
      </c>
      <c r="B69" s="194">
        <f>(D47*B68)/B56*B57</f>
        <v>297.57822500000003</v>
      </c>
      <c r="C69" s="467"/>
      <c r="D69" s="470"/>
      <c r="E69" s="185">
        <v>2</v>
      </c>
      <c r="F69" s="137"/>
      <c r="G69" s="267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472" t="s">
        <v>78</v>
      </c>
      <c r="B70" s="473"/>
      <c r="C70" s="467"/>
      <c r="D70" s="470"/>
      <c r="E70" s="185">
        <v>3</v>
      </c>
      <c r="F70" s="137"/>
      <c r="G70" s="267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474"/>
      <c r="B71" s="475"/>
      <c r="C71" s="468"/>
      <c r="D71" s="471"/>
      <c r="E71" s="188">
        <v>4</v>
      </c>
      <c r="F71" s="189"/>
      <c r="G71" s="268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3">
        <f>AVERAGE(G60:G71)</f>
        <v>4.0149322494700916</v>
      </c>
      <c r="H72" s="199">
        <f>AVERAGE(H60:H71)</f>
        <v>1.0037330623675229</v>
      </c>
    </row>
    <row r="73" spans="1:8" ht="26.25" customHeight="1" x14ac:dyDescent="0.4">
      <c r="C73" s="196"/>
      <c r="D73" s="196"/>
      <c r="E73" s="196"/>
      <c r="F73" s="200" t="s">
        <v>84</v>
      </c>
      <c r="G73" s="269">
        <f>STDEV(G60:G71)/G72</f>
        <v>7.143278803768984E-3</v>
      </c>
      <c r="H73" s="269">
        <f>STDEV(H60:H71)/H72</f>
        <v>7.143278803768984E-3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453" t="str">
        <f>B20</f>
        <v xml:space="preserve">Doxazosin </v>
      </c>
      <c r="D76" s="453"/>
      <c r="E76" s="205" t="s">
        <v>108</v>
      </c>
      <c r="F76" s="205"/>
      <c r="G76" s="206">
        <f>H72</f>
        <v>1.0037330623675229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76" t="str">
        <f>B26</f>
        <v>Doxazosin Mesylate</v>
      </c>
      <c r="C79" s="476"/>
    </row>
    <row r="80" spans="1:8" ht="26.25" customHeight="1" x14ac:dyDescent="0.4">
      <c r="A80" s="109" t="s">
        <v>48</v>
      </c>
      <c r="B80" s="476" t="str">
        <f>B27</f>
        <v>D46-1</v>
      </c>
      <c r="C80" s="476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455" t="s">
        <v>50</v>
      </c>
      <c r="D82" s="456"/>
      <c r="E82" s="456"/>
      <c r="F82" s="456"/>
      <c r="G82" s="45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451.48</v>
      </c>
      <c r="C84" s="458" t="s">
        <v>111</v>
      </c>
      <c r="D84" s="459"/>
      <c r="E84" s="459"/>
      <c r="F84" s="459"/>
      <c r="G84" s="459"/>
      <c r="H84" s="46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547.48</v>
      </c>
      <c r="C85" s="458" t="s">
        <v>112</v>
      </c>
      <c r="D85" s="459"/>
      <c r="E85" s="459"/>
      <c r="F85" s="459"/>
      <c r="G85" s="459"/>
      <c r="H85" s="46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0.82465112880835834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461" t="s">
        <v>60</v>
      </c>
      <c r="G89" s="462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0.45619999999999999</v>
      </c>
      <c r="E91" s="133">
        <f>IF(ISBLANK(D91),"-",$D$101/$D$98*D91)</f>
        <v>0.53282502746782023</v>
      </c>
      <c r="F91" s="132">
        <v>0.49930000000000002</v>
      </c>
      <c r="G91" s="134">
        <f>IF(ISBLANK(F91),"-",$D$101/$F$98*F91)</f>
        <v>0.53565868428841523</v>
      </c>
      <c r="I91" s="135"/>
    </row>
    <row r="92" spans="1:12" ht="26.25" customHeight="1" x14ac:dyDescent="0.4">
      <c r="A92" s="124" t="s">
        <v>67</v>
      </c>
      <c r="B92" s="125">
        <v>3</v>
      </c>
      <c r="C92" s="197">
        <v>2</v>
      </c>
      <c r="D92" s="137">
        <v>0.46210000000000001</v>
      </c>
      <c r="E92" s="138">
        <f>IF(ISBLANK(D92),"-",$D$101/$D$98*D92)</f>
        <v>0.53971601313651851</v>
      </c>
      <c r="F92" s="137">
        <v>0.49530000000000002</v>
      </c>
      <c r="G92" s="139">
        <f>IF(ISBLANK(F92),"-",$D$101/$F$98*F92)</f>
        <v>0.53136740702594054</v>
      </c>
      <c r="I92" s="463">
        <f>ABS((F96/D96*D95)-F95)/D95</f>
        <v>5.7276169359407039E-3</v>
      </c>
    </row>
    <row r="93" spans="1:12" ht="26.25" customHeight="1" x14ac:dyDescent="0.4">
      <c r="A93" s="124" t="s">
        <v>68</v>
      </c>
      <c r="B93" s="125">
        <v>25</v>
      </c>
      <c r="C93" s="197">
        <v>3</v>
      </c>
      <c r="D93" s="137">
        <v>0.4607</v>
      </c>
      <c r="E93" s="138">
        <f>IF(ISBLANK(D93),"-",$D$101/$D$98*D93)</f>
        <v>0.53808086399479349</v>
      </c>
      <c r="F93" s="137">
        <v>0.49880000000000002</v>
      </c>
      <c r="G93" s="139">
        <f>IF(ISBLANK(F93),"-",$D$101/$F$98*F93)</f>
        <v>0.53512227463060591</v>
      </c>
      <c r="I93" s="46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513">
        <f>AVERAGE(D91:D94)</f>
        <v>0.45966666666666667</v>
      </c>
      <c r="E95" s="515">
        <f>AVERAGE(E91:E94)</f>
        <v>0.53687396819971067</v>
      </c>
      <c r="F95" s="514">
        <f>AVERAGE(F91:F94)</f>
        <v>0.49780000000000002</v>
      </c>
      <c r="G95" s="516">
        <f>AVERAGE(G91:G94)</f>
        <v>0.53404945531498726</v>
      </c>
    </row>
    <row r="96" spans="1:12" ht="26.25" customHeight="1" x14ac:dyDescent="0.4">
      <c r="A96" s="124" t="s">
        <v>72</v>
      </c>
      <c r="B96" s="110">
        <v>1</v>
      </c>
      <c r="C96" s="217" t="s">
        <v>113</v>
      </c>
      <c r="D96" s="218">
        <v>24.13</v>
      </c>
      <c r="E96" s="140"/>
      <c r="F96" s="152">
        <v>26.27</v>
      </c>
    </row>
    <row r="97" spans="1:10" ht="26.25" customHeight="1" x14ac:dyDescent="0.4">
      <c r="A97" s="124" t="s">
        <v>74</v>
      </c>
      <c r="B97" s="110">
        <v>1</v>
      </c>
      <c r="C97" s="219" t="s">
        <v>114</v>
      </c>
      <c r="D97" s="220">
        <f>D96*$B$87</f>
        <v>19.898831738145685</v>
      </c>
      <c r="E97" s="155"/>
      <c r="F97" s="154">
        <f>F96*$B$87</f>
        <v>21.663585153795573</v>
      </c>
    </row>
    <row r="98" spans="1:10" ht="19.5" customHeight="1" x14ac:dyDescent="0.3">
      <c r="A98" s="124" t="s">
        <v>76</v>
      </c>
      <c r="B98" s="221">
        <f>(B97/B96)*(B95/B94)*(B93/B92)*(B91/B90)*B89</f>
        <v>5208.3333333333339</v>
      </c>
      <c r="C98" s="219" t="s">
        <v>115</v>
      </c>
      <c r="D98" s="222">
        <f>D97*$B$83/100</f>
        <v>19.819236411193103</v>
      </c>
      <c r="E98" s="158"/>
      <c r="F98" s="157">
        <f>F97*$B$83/100</f>
        <v>21.57693081318039</v>
      </c>
    </row>
    <row r="99" spans="1:10" ht="19.5" customHeight="1" x14ac:dyDescent="0.3">
      <c r="A99" s="449" t="s">
        <v>78</v>
      </c>
      <c r="B99" s="464"/>
      <c r="C99" s="219" t="s">
        <v>116</v>
      </c>
      <c r="D99" s="223">
        <f>D98/$B$98</f>
        <v>3.8052933909490752E-3</v>
      </c>
      <c r="E99" s="158"/>
      <c r="F99" s="161">
        <f>F98/$B$98</f>
        <v>4.1427707161306344E-3</v>
      </c>
      <c r="G99" s="224"/>
      <c r="H99" s="150"/>
    </row>
    <row r="100" spans="1:10" ht="19.5" customHeight="1" x14ac:dyDescent="0.3">
      <c r="A100" s="451"/>
      <c r="B100" s="465"/>
      <c r="C100" s="219" t="s">
        <v>80</v>
      </c>
      <c r="D100" s="225">
        <f>$B$56/$B$116</f>
        <v>4.4444444444444444E-3</v>
      </c>
      <c r="F100" s="166"/>
      <c r="G100" s="226"/>
      <c r="H100" s="150"/>
    </row>
    <row r="101" spans="1:10" ht="18.75" x14ac:dyDescent="0.3">
      <c r="C101" s="219" t="s">
        <v>81</v>
      </c>
      <c r="D101" s="220">
        <f>D100*$B$98</f>
        <v>23.148148148148152</v>
      </c>
      <c r="F101" s="166"/>
      <c r="G101" s="224"/>
      <c r="H101" s="150"/>
    </row>
    <row r="102" spans="1:10" ht="19.5" customHeight="1" x14ac:dyDescent="0.3">
      <c r="C102" s="227" t="s">
        <v>82</v>
      </c>
      <c r="D102" s="228">
        <f>D101/B34</f>
        <v>28.070231567617945</v>
      </c>
      <c r="F102" s="170"/>
      <c r="G102" s="224"/>
      <c r="H102" s="150"/>
      <c r="J102" s="229"/>
    </row>
    <row r="103" spans="1:10" ht="18.75" x14ac:dyDescent="0.3">
      <c r="C103" s="230" t="s">
        <v>117</v>
      </c>
      <c r="D103" s="231">
        <f>AVERAGE(E91:E94,G91:G94)</f>
        <v>0.53546171175734891</v>
      </c>
      <c r="F103" s="170"/>
      <c r="G103" s="232"/>
      <c r="H103" s="150"/>
      <c r="J103" s="233"/>
    </row>
    <row r="104" spans="1:10" ht="18.75" x14ac:dyDescent="0.3">
      <c r="C104" s="200" t="s">
        <v>84</v>
      </c>
      <c r="D104" s="234">
        <f>STDEV(E91:E94,G91:G94)/D103</f>
        <v>5.8361066744477283E-3</v>
      </c>
      <c r="F104" s="170"/>
      <c r="G104" s="224"/>
      <c r="H104" s="150"/>
      <c r="J104" s="233"/>
    </row>
    <row r="105" spans="1:10" ht="19.5" customHeight="1" x14ac:dyDescent="0.3">
      <c r="C105" s="202" t="s">
        <v>20</v>
      </c>
      <c r="D105" s="235">
        <f>COUNT(E91:E94,G91:G94)</f>
        <v>6</v>
      </c>
      <c r="F105" s="170"/>
      <c r="G105" s="224"/>
      <c r="H105" s="150"/>
      <c r="J105" s="23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6" t="s">
        <v>119</v>
      </c>
      <c r="D107" s="237" t="s">
        <v>63</v>
      </c>
      <c r="E107" s="238" t="s">
        <v>120</v>
      </c>
      <c r="F107" s="239" t="s">
        <v>121</v>
      </c>
    </row>
    <row r="108" spans="1:10" ht="26.25" customHeight="1" x14ac:dyDescent="0.4">
      <c r="A108" s="124" t="s">
        <v>122</v>
      </c>
      <c r="B108" s="125">
        <v>1</v>
      </c>
      <c r="C108" s="240">
        <v>1</v>
      </c>
      <c r="D108" s="511">
        <v>0.45240000000000002</v>
      </c>
      <c r="E108" s="270">
        <f t="shared" ref="E108:E113" si="1">IF(ISBLANK(D108),"-",D108/$D$103*$D$100*$B$116)</f>
        <v>3.3795133438411797</v>
      </c>
      <c r="F108" s="241">
        <f t="shared" ref="F108:F113" si="2">IF(ISBLANK(D108), "-", E108/$B$56)</f>
        <v>0.84487833596029493</v>
      </c>
    </row>
    <row r="109" spans="1:10" ht="26.25" customHeight="1" x14ac:dyDescent="0.4">
      <c r="A109" s="124" t="s">
        <v>95</v>
      </c>
      <c r="B109" s="125">
        <v>1</v>
      </c>
      <c r="C109" s="240">
        <v>2</v>
      </c>
      <c r="D109" s="511">
        <v>0.44090000000000001</v>
      </c>
      <c r="E109" s="271">
        <f t="shared" si="1"/>
        <v>3.293606174402246</v>
      </c>
      <c r="F109" s="242">
        <f t="shared" si="2"/>
        <v>0.8234015436005615</v>
      </c>
    </row>
    <row r="110" spans="1:10" ht="26.25" customHeight="1" x14ac:dyDescent="0.4">
      <c r="A110" s="124" t="s">
        <v>96</v>
      </c>
      <c r="B110" s="125">
        <v>1</v>
      </c>
      <c r="C110" s="240">
        <v>3</v>
      </c>
      <c r="D110" s="511">
        <v>0.43140000000000001</v>
      </c>
      <c r="E110" s="271">
        <f t="shared" si="1"/>
        <v>3.2226393822570398</v>
      </c>
      <c r="F110" s="242">
        <f t="shared" si="2"/>
        <v>0.80565984556425996</v>
      </c>
    </row>
    <row r="111" spans="1:10" ht="26.25" customHeight="1" x14ac:dyDescent="0.4">
      <c r="A111" s="124" t="s">
        <v>97</v>
      </c>
      <c r="B111" s="125">
        <v>1</v>
      </c>
      <c r="C111" s="240">
        <v>4</v>
      </c>
      <c r="D111" s="511">
        <v>0.41399999999999998</v>
      </c>
      <c r="E111" s="271">
        <f t="shared" si="1"/>
        <v>3.0926580998016098</v>
      </c>
      <c r="F111" s="242">
        <f t="shared" si="2"/>
        <v>0.77316452495040244</v>
      </c>
    </row>
    <row r="112" spans="1:10" ht="26.25" customHeight="1" x14ac:dyDescent="0.4">
      <c r="A112" s="124" t="s">
        <v>98</v>
      </c>
      <c r="B112" s="125">
        <v>1</v>
      </c>
      <c r="C112" s="240">
        <v>5</v>
      </c>
      <c r="D112" s="511">
        <v>0.44240000000000002</v>
      </c>
      <c r="E112" s="271">
        <f t="shared" si="1"/>
        <v>3.3048114573725416</v>
      </c>
      <c r="F112" s="242">
        <f t="shared" si="2"/>
        <v>0.82620286434313539</v>
      </c>
    </row>
    <row r="113" spans="1:10" ht="26.25" customHeight="1" x14ac:dyDescent="0.4">
      <c r="A113" s="124" t="s">
        <v>100</v>
      </c>
      <c r="B113" s="125">
        <v>1</v>
      </c>
      <c r="C113" s="243">
        <v>6</v>
      </c>
      <c r="D113" s="512">
        <v>0.46510000000000001</v>
      </c>
      <c r="E113" s="272">
        <f t="shared" si="1"/>
        <v>3.4743847396563496</v>
      </c>
      <c r="F113" s="244">
        <f t="shared" si="2"/>
        <v>0.86859618491408741</v>
      </c>
    </row>
    <row r="114" spans="1:10" ht="26.25" customHeight="1" x14ac:dyDescent="0.4">
      <c r="A114" s="124" t="s">
        <v>101</v>
      </c>
      <c r="B114" s="125">
        <v>1</v>
      </c>
      <c r="C114" s="240"/>
      <c r="D114" s="197"/>
      <c r="E114" s="98"/>
      <c r="F114" s="245"/>
    </row>
    <row r="115" spans="1:10" ht="26.25" customHeight="1" x14ac:dyDescent="0.4">
      <c r="A115" s="124" t="s">
        <v>102</v>
      </c>
      <c r="B115" s="125">
        <v>1</v>
      </c>
      <c r="C115" s="240"/>
      <c r="D115" s="246" t="s">
        <v>71</v>
      </c>
      <c r="E115" s="274">
        <f>AVERAGE(E108:E113)</f>
        <v>3.2946021995551611</v>
      </c>
      <c r="F115" s="247">
        <f>AVERAGE(F108:F113)</f>
        <v>0.82365054988879027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48"/>
      <c r="D116" s="216" t="s">
        <v>84</v>
      </c>
      <c r="E116" s="249">
        <f>STDEV(E108:E113)/E115</f>
        <v>3.971377427747922E-2</v>
      </c>
      <c r="F116" s="249">
        <f>STDEV(F108:F113)/F115</f>
        <v>3.971377427747922E-2</v>
      </c>
      <c r="I116" s="98"/>
    </row>
    <row r="117" spans="1:10" ht="27" customHeight="1" x14ac:dyDescent="0.4">
      <c r="A117" s="449" t="s">
        <v>78</v>
      </c>
      <c r="B117" s="450"/>
      <c r="C117" s="250"/>
      <c r="D117" s="251" t="s">
        <v>20</v>
      </c>
      <c r="E117" s="252">
        <f>COUNT(E108:E113)</f>
        <v>6</v>
      </c>
      <c r="F117" s="252">
        <f>COUNT(F108:F113)</f>
        <v>6</v>
      </c>
      <c r="I117" s="98"/>
      <c r="J117" s="233"/>
    </row>
    <row r="118" spans="1:10" ht="19.5" customHeight="1" x14ac:dyDescent="0.3">
      <c r="A118" s="451"/>
      <c r="B118" s="45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1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453" t="str">
        <f>B20</f>
        <v xml:space="preserve">Doxazosin </v>
      </c>
      <c r="D120" s="453"/>
      <c r="E120" s="205" t="s">
        <v>124</v>
      </c>
      <c r="F120" s="205"/>
      <c r="G120" s="206">
        <f>F115</f>
        <v>0.82365054988879027</v>
      </c>
      <c r="H120" s="98"/>
      <c r="I120" s="98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54" t="s">
        <v>26</v>
      </c>
      <c r="C122" s="454"/>
      <c r="E122" s="211" t="s">
        <v>27</v>
      </c>
      <c r="F122" s="255"/>
      <c r="G122" s="454" t="s">
        <v>28</v>
      </c>
      <c r="H122" s="454"/>
    </row>
    <row r="123" spans="1:10" ht="69.95" customHeight="1" x14ac:dyDescent="0.3">
      <c r="A123" s="256" t="s">
        <v>29</v>
      </c>
      <c r="B123" s="257"/>
      <c r="C123" s="257"/>
      <c r="E123" s="257"/>
      <c r="F123" s="98"/>
      <c r="G123" s="258"/>
      <c r="H123" s="258"/>
    </row>
    <row r="124" spans="1:10" ht="69.95" customHeight="1" x14ac:dyDescent="0.3">
      <c r="A124" s="256" t="s">
        <v>30</v>
      </c>
      <c r="B124" s="259"/>
      <c r="C124" s="259"/>
      <c r="E124" s="259"/>
      <c r="F124" s="98"/>
      <c r="G124" s="260"/>
      <c r="H124" s="260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51" zoomScale="60" zoomScaleNormal="70" workbookViewId="0">
      <selection activeCell="B56" sqref="B56"/>
    </sheetView>
  </sheetViews>
  <sheetFormatPr defaultRowHeight="12.75" x14ac:dyDescent="0.2"/>
  <cols>
    <col min="1" max="1" width="54.85546875" style="276" customWidth="1"/>
    <col min="2" max="2" width="39.42578125" style="276" customWidth="1"/>
    <col min="3" max="3" width="42.5703125" style="276" customWidth="1"/>
    <col min="4" max="4" width="25.28515625" style="276" customWidth="1"/>
    <col min="5" max="5" width="29.7109375" style="276" customWidth="1"/>
    <col min="6" max="6" width="27.85546875" style="276" customWidth="1"/>
    <col min="7" max="7" width="26" style="276" customWidth="1"/>
    <col min="8" max="16384" width="9.140625" style="276"/>
  </cols>
  <sheetData>
    <row r="1" spans="1:7" x14ac:dyDescent="0.2">
      <c r="A1" s="487" t="s">
        <v>45</v>
      </c>
      <c r="B1" s="487"/>
      <c r="C1" s="487"/>
      <c r="D1" s="487"/>
      <c r="E1" s="487"/>
      <c r="F1" s="487"/>
      <c r="G1" s="487"/>
    </row>
    <row r="2" spans="1:7" x14ac:dyDescent="0.2">
      <c r="A2" s="487"/>
      <c r="B2" s="487"/>
      <c r="C2" s="487"/>
      <c r="D2" s="487"/>
      <c r="E2" s="487"/>
      <c r="F2" s="487"/>
      <c r="G2" s="487"/>
    </row>
    <row r="3" spans="1:7" x14ac:dyDescent="0.2">
      <c r="A3" s="487"/>
      <c r="B3" s="487"/>
      <c r="C3" s="487"/>
      <c r="D3" s="487"/>
      <c r="E3" s="487"/>
      <c r="F3" s="487"/>
      <c r="G3" s="487"/>
    </row>
    <row r="4" spans="1:7" x14ac:dyDescent="0.2">
      <c r="A4" s="487"/>
      <c r="B4" s="487"/>
      <c r="C4" s="487"/>
      <c r="D4" s="487"/>
      <c r="E4" s="487"/>
      <c r="F4" s="487"/>
      <c r="G4" s="487"/>
    </row>
    <row r="5" spans="1:7" x14ac:dyDescent="0.2">
      <c r="A5" s="487"/>
      <c r="B5" s="487"/>
      <c r="C5" s="487"/>
      <c r="D5" s="487"/>
      <c r="E5" s="487"/>
      <c r="F5" s="487"/>
      <c r="G5" s="487"/>
    </row>
    <row r="6" spans="1:7" x14ac:dyDescent="0.2">
      <c r="A6" s="487"/>
      <c r="B6" s="487"/>
      <c r="C6" s="487"/>
      <c r="D6" s="487"/>
      <c r="E6" s="487"/>
      <c r="F6" s="487"/>
      <c r="G6" s="487"/>
    </row>
    <row r="7" spans="1:7" x14ac:dyDescent="0.2">
      <c r="A7" s="487"/>
      <c r="B7" s="487"/>
      <c r="C7" s="487"/>
      <c r="D7" s="487"/>
      <c r="E7" s="487"/>
      <c r="F7" s="487"/>
      <c r="G7" s="487"/>
    </row>
    <row r="8" spans="1:7" x14ac:dyDescent="0.2">
      <c r="A8" s="488" t="s">
        <v>46</v>
      </c>
      <c r="B8" s="488"/>
      <c r="C8" s="488"/>
      <c r="D8" s="488"/>
      <c r="E8" s="488"/>
      <c r="F8" s="488"/>
      <c r="G8" s="488"/>
    </row>
    <row r="9" spans="1:7" x14ac:dyDescent="0.2">
      <c r="A9" s="488"/>
      <c r="B9" s="488"/>
      <c r="C9" s="488"/>
      <c r="D9" s="488"/>
      <c r="E9" s="488"/>
      <c r="F9" s="488"/>
      <c r="G9" s="488"/>
    </row>
    <row r="10" spans="1:7" x14ac:dyDescent="0.2">
      <c r="A10" s="488"/>
      <c r="B10" s="488"/>
      <c r="C10" s="488"/>
      <c r="D10" s="488"/>
      <c r="E10" s="488"/>
      <c r="F10" s="488"/>
      <c r="G10" s="488"/>
    </row>
    <row r="11" spans="1:7" x14ac:dyDescent="0.2">
      <c r="A11" s="488"/>
      <c r="B11" s="488"/>
      <c r="C11" s="488"/>
      <c r="D11" s="488"/>
      <c r="E11" s="488"/>
      <c r="F11" s="488"/>
      <c r="G11" s="488"/>
    </row>
    <row r="12" spans="1:7" x14ac:dyDescent="0.2">
      <c r="A12" s="488"/>
      <c r="B12" s="488"/>
      <c r="C12" s="488"/>
      <c r="D12" s="488"/>
      <c r="E12" s="488"/>
      <c r="F12" s="488"/>
      <c r="G12" s="488"/>
    </row>
    <row r="13" spans="1:7" x14ac:dyDescent="0.2">
      <c r="A13" s="488"/>
      <c r="B13" s="488"/>
      <c r="C13" s="488"/>
      <c r="D13" s="488"/>
      <c r="E13" s="488"/>
      <c r="F13" s="488"/>
      <c r="G13" s="488"/>
    </row>
    <row r="14" spans="1:7" x14ac:dyDescent="0.2">
      <c r="A14" s="488"/>
      <c r="B14" s="488"/>
      <c r="C14" s="488"/>
      <c r="D14" s="488"/>
      <c r="E14" s="488"/>
      <c r="F14" s="488"/>
      <c r="G14" s="488"/>
    </row>
    <row r="15" spans="1:7" ht="19.5" customHeight="1" thickBot="1" x14ac:dyDescent="0.35">
      <c r="A15" s="277"/>
      <c r="B15" s="277"/>
      <c r="C15" s="277"/>
      <c r="D15" s="277"/>
      <c r="E15" s="277"/>
      <c r="F15" s="277"/>
      <c r="G15" s="277"/>
    </row>
    <row r="16" spans="1:7" ht="19.5" customHeight="1" thickBot="1" x14ac:dyDescent="0.35">
      <c r="A16" s="489" t="s">
        <v>31</v>
      </c>
      <c r="B16" s="490"/>
      <c r="C16" s="490"/>
      <c r="D16" s="490"/>
      <c r="E16" s="490"/>
      <c r="F16" s="490"/>
      <c r="G16" s="490"/>
    </row>
    <row r="17" spans="1:7" ht="18.75" customHeight="1" x14ac:dyDescent="0.3">
      <c r="A17" s="278" t="s">
        <v>47</v>
      </c>
      <c r="B17" s="278"/>
      <c r="C17" s="277"/>
      <c r="D17" s="277"/>
      <c r="E17" s="277"/>
      <c r="F17" s="277"/>
      <c r="G17" s="277"/>
    </row>
    <row r="18" spans="1:7" ht="26.25" customHeight="1" x14ac:dyDescent="0.4">
      <c r="A18" s="279" t="s">
        <v>33</v>
      </c>
      <c r="B18" s="486" t="str">
        <f>Dxazosin!B18</f>
        <v>DILUR 4 mg TABLETS</v>
      </c>
      <c r="C18" s="486"/>
      <c r="D18" s="280"/>
      <c r="E18" s="280"/>
      <c r="F18" s="277"/>
      <c r="G18" s="277"/>
    </row>
    <row r="19" spans="1:7" ht="26.25" customHeight="1" x14ac:dyDescent="0.4">
      <c r="A19" s="279" t="s">
        <v>34</v>
      </c>
      <c r="B19" s="281" t="str">
        <f>Dxazosin!B19</f>
        <v>NDQD201605906</v>
      </c>
      <c r="C19" s="277">
        <v>12</v>
      </c>
      <c r="E19" s="277"/>
      <c r="F19" s="277"/>
      <c r="G19" s="277"/>
    </row>
    <row r="20" spans="1:7" ht="26.25" customHeight="1" x14ac:dyDescent="0.4">
      <c r="A20" s="279" t="s">
        <v>35</v>
      </c>
      <c r="B20" s="491" t="str">
        <f>Dxazosin!B20</f>
        <v xml:space="preserve">Doxazosin </v>
      </c>
      <c r="C20" s="491"/>
      <c r="D20" s="277"/>
      <c r="E20" s="277"/>
      <c r="F20" s="277"/>
      <c r="G20" s="277"/>
    </row>
    <row r="21" spans="1:7" ht="26.25" customHeight="1" x14ac:dyDescent="0.4">
      <c r="A21" s="279" t="s">
        <v>36</v>
      </c>
      <c r="B21" s="282" t="str">
        <f>Dxazosin!B21</f>
        <v>Each tablet contains Doxazosin 4 mg</v>
      </c>
      <c r="C21" s="282"/>
      <c r="D21" s="283"/>
      <c r="E21" s="283"/>
      <c r="F21" s="283"/>
      <c r="G21" s="283"/>
    </row>
    <row r="22" spans="1:7" ht="26.25" customHeight="1" x14ac:dyDescent="0.4">
      <c r="A22" s="279" t="s">
        <v>37</v>
      </c>
      <c r="B22" s="284"/>
      <c r="C22" s="285"/>
      <c r="D22" s="277"/>
      <c r="E22" s="277"/>
      <c r="F22" s="277"/>
      <c r="G22" s="277"/>
    </row>
    <row r="23" spans="1:7" ht="26.25" customHeight="1" x14ac:dyDescent="0.4">
      <c r="A23" s="279" t="s">
        <v>38</v>
      </c>
      <c r="B23" s="284"/>
      <c r="C23" s="285"/>
      <c r="D23" s="277"/>
      <c r="E23" s="277"/>
      <c r="F23" s="277"/>
      <c r="G23" s="277"/>
    </row>
    <row r="24" spans="1:7" ht="18.75" customHeight="1" x14ac:dyDescent="0.3">
      <c r="A24" s="279"/>
      <c r="B24" s="286"/>
      <c r="C24" s="277"/>
      <c r="D24" s="277"/>
      <c r="E24" s="277"/>
      <c r="F24" s="277"/>
      <c r="G24" s="277"/>
    </row>
    <row r="25" spans="1:7" ht="18.75" customHeight="1" x14ac:dyDescent="0.3">
      <c r="A25" s="287" t="s">
        <v>1</v>
      </c>
      <c r="B25" s="286"/>
      <c r="C25" s="277"/>
      <c r="D25" s="277"/>
      <c r="E25" s="277"/>
      <c r="F25" s="277"/>
      <c r="G25" s="277"/>
    </row>
    <row r="26" spans="1:7" ht="26.25" customHeight="1" x14ac:dyDescent="0.4">
      <c r="A26" s="288" t="s">
        <v>4</v>
      </c>
      <c r="B26" s="486" t="str">
        <f>Dxazosin!B26</f>
        <v>Doxazosin Mesylate</v>
      </c>
      <c r="C26" s="486"/>
      <c r="D26" s="277"/>
      <c r="E26" s="277"/>
      <c r="F26" s="277"/>
      <c r="G26" s="277"/>
    </row>
    <row r="27" spans="1:7" ht="26.25" customHeight="1" x14ac:dyDescent="0.4">
      <c r="A27" s="289" t="s">
        <v>48</v>
      </c>
      <c r="B27" s="491" t="str">
        <f>Dxazosin!B27</f>
        <v>D46-1</v>
      </c>
      <c r="C27" s="491"/>
      <c r="D27" s="277"/>
      <c r="E27" s="277"/>
      <c r="F27" s="277"/>
      <c r="G27" s="277"/>
    </row>
    <row r="28" spans="1:7" ht="27" customHeight="1" thickBot="1" x14ac:dyDescent="0.45">
      <c r="A28" s="289" t="s">
        <v>6</v>
      </c>
      <c r="B28" s="290">
        <v>99.6</v>
      </c>
      <c r="C28" s="277"/>
      <c r="D28" s="277"/>
      <c r="E28" s="277"/>
      <c r="F28" s="277"/>
      <c r="G28" s="277"/>
    </row>
    <row r="29" spans="1:7" ht="27" customHeight="1" thickBot="1" x14ac:dyDescent="0.45">
      <c r="A29" s="289" t="s">
        <v>49</v>
      </c>
      <c r="B29" s="291">
        <v>0</v>
      </c>
      <c r="C29" s="492" t="s">
        <v>127</v>
      </c>
      <c r="D29" s="493"/>
      <c r="E29" s="493"/>
      <c r="F29" s="493"/>
      <c r="G29" s="494"/>
    </row>
    <row r="30" spans="1:7" ht="19.5" customHeight="1" thickBot="1" x14ac:dyDescent="0.35">
      <c r="A30" s="289" t="s">
        <v>51</v>
      </c>
      <c r="B30" s="292">
        <f>B28-B29</f>
        <v>99.6</v>
      </c>
      <c r="C30" s="293"/>
      <c r="D30" s="293"/>
      <c r="E30" s="293"/>
      <c r="F30" s="293"/>
      <c r="G30" s="293"/>
    </row>
    <row r="31" spans="1:7" ht="27" customHeight="1" thickBot="1" x14ac:dyDescent="0.45">
      <c r="A31" s="289" t="s">
        <v>52</v>
      </c>
      <c r="B31" s="294">
        <v>451.48</v>
      </c>
      <c r="C31" s="492" t="s">
        <v>53</v>
      </c>
      <c r="D31" s="493"/>
      <c r="E31" s="493"/>
      <c r="F31" s="493"/>
      <c r="G31" s="494"/>
    </row>
    <row r="32" spans="1:7" ht="27" customHeight="1" thickBot="1" x14ac:dyDescent="0.45">
      <c r="A32" s="289" t="s">
        <v>54</v>
      </c>
      <c r="B32" s="294">
        <v>547.48</v>
      </c>
      <c r="C32" s="492" t="s">
        <v>55</v>
      </c>
      <c r="D32" s="493"/>
      <c r="E32" s="493"/>
      <c r="F32" s="493"/>
      <c r="G32" s="494"/>
    </row>
    <row r="33" spans="1:7" ht="18.75" customHeight="1" x14ac:dyDescent="0.3">
      <c r="A33" s="289"/>
      <c r="B33" s="295"/>
      <c r="C33" s="296"/>
      <c r="D33" s="296"/>
      <c r="E33" s="296"/>
      <c r="F33" s="296"/>
      <c r="G33" s="296"/>
    </row>
    <row r="34" spans="1:7" ht="18.75" customHeight="1" x14ac:dyDescent="0.3">
      <c r="A34" s="289" t="s">
        <v>56</v>
      </c>
      <c r="B34" s="297">
        <f>B31/B32</f>
        <v>0.82465112880835834</v>
      </c>
      <c r="C34" s="277" t="s">
        <v>57</v>
      </c>
      <c r="D34" s="277"/>
      <c r="E34" s="277"/>
      <c r="F34" s="277"/>
      <c r="G34" s="277"/>
    </row>
    <row r="35" spans="1:7" ht="19.5" customHeight="1" thickBot="1" x14ac:dyDescent="0.35">
      <c r="A35" s="289"/>
      <c r="B35" s="292"/>
      <c r="C35" s="298"/>
      <c r="D35" s="298"/>
      <c r="E35" s="298"/>
      <c r="F35" s="298"/>
      <c r="G35" s="277"/>
    </row>
    <row r="36" spans="1:7" ht="27" customHeight="1" thickBot="1" x14ac:dyDescent="0.45">
      <c r="A36" s="299" t="s">
        <v>128</v>
      </c>
      <c r="B36" s="300">
        <v>25</v>
      </c>
      <c r="C36" s="277"/>
      <c r="D36" s="495" t="s">
        <v>59</v>
      </c>
      <c r="E36" s="496"/>
      <c r="F36" s="495" t="s">
        <v>60</v>
      </c>
      <c r="G36" s="497"/>
    </row>
    <row r="37" spans="1:7" ht="26.25" customHeight="1" x14ac:dyDescent="0.4">
      <c r="A37" s="301" t="s">
        <v>61</v>
      </c>
      <c r="B37" s="302">
        <v>5</v>
      </c>
      <c r="C37" s="303" t="s">
        <v>62</v>
      </c>
      <c r="D37" s="304" t="s">
        <v>63</v>
      </c>
      <c r="E37" s="305" t="s">
        <v>64</v>
      </c>
      <c r="F37" s="304" t="s">
        <v>63</v>
      </c>
      <c r="G37" s="306" t="s">
        <v>64</v>
      </c>
    </row>
    <row r="38" spans="1:7" ht="26.25" customHeight="1" x14ac:dyDescent="0.4">
      <c r="A38" s="301" t="s">
        <v>66</v>
      </c>
      <c r="B38" s="302">
        <v>100</v>
      </c>
      <c r="C38" s="307">
        <v>1</v>
      </c>
      <c r="D38" s="132">
        <v>85420613</v>
      </c>
      <c r="E38" s="309">
        <f>IF(ISBLANK(D38),"-",$D$48/$D$45*D38)</f>
        <v>110112295.70795089</v>
      </c>
      <c r="F38" s="132">
        <v>89385298</v>
      </c>
      <c r="G38" s="310">
        <f>IF(ISBLANK(F38),"-",$D$48/$F$45*F38)</f>
        <v>110633216.21735108</v>
      </c>
    </row>
    <row r="39" spans="1:7" ht="26.25" customHeight="1" x14ac:dyDescent="0.4">
      <c r="A39" s="301" t="s">
        <v>67</v>
      </c>
      <c r="B39" s="302">
        <v>1</v>
      </c>
      <c r="C39" s="311">
        <v>2</v>
      </c>
      <c r="D39" s="137">
        <v>85416890</v>
      </c>
      <c r="E39" s="313">
        <f>IF(ISBLANK(D39),"-",$D$48/$D$45*D39)</f>
        <v>110107496.5375572</v>
      </c>
      <c r="F39" s="137">
        <v>89938878</v>
      </c>
      <c r="G39" s="314">
        <f>IF(ISBLANK(F39),"-",$D$48/$F$45*F39)</f>
        <v>111318388.58018866</v>
      </c>
    </row>
    <row r="40" spans="1:7" ht="26.25" customHeight="1" x14ac:dyDescent="0.4">
      <c r="A40" s="301" t="s">
        <v>68</v>
      </c>
      <c r="B40" s="302">
        <v>1</v>
      </c>
      <c r="C40" s="311">
        <v>3</v>
      </c>
      <c r="D40" s="137">
        <v>85704186</v>
      </c>
      <c r="E40" s="313">
        <f>IF(ISBLANK(D40),"-",$D$48/$D$45*D40)</f>
        <v>110477838.32037385</v>
      </c>
      <c r="F40" s="137">
        <v>89752801</v>
      </c>
      <c r="G40" s="314">
        <f>IF(ISBLANK(F40),"-",$D$48/$F$45*F40)</f>
        <v>111088078.92709474</v>
      </c>
    </row>
    <row r="41" spans="1:7" ht="26.25" customHeight="1" x14ac:dyDescent="0.4">
      <c r="A41" s="301" t="s">
        <v>69</v>
      </c>
      <c r="B41" s="302">
        <v>1</v>
      </c>
      <c r="C41" s="315">
        <v>4</v>
      </c>
      <c r="D41" s="142"/>
      <c r="E41" s="317" t="str">
        <f>IF(ISBLANK(D41),"-",$D$48/$D$45*D41)</f>
        <v>-</v>
      </c>
      <c r="F41" s="142"/>
      <c r="G41" s="318" t="str">
        <f>IF(ISBLANK(F41),"-",$D$48/$F$45*F41)</f>
        <v>-</v>
      </c>
    </row>
    <row r="42" spans="1:7" ht="27" customHeight="1" thickBot="1" x14ac:dyDescent="0.45">
      <c r="A42" s="301" t="s">
        <v>70</v>
      </c>
      <c r="B42" s="302">
        <v>1</v>
      </c>
      <c r="C42" s="319" t="s">
        <v>71</v>
      </c>
      <c r="D42" s="147">
        <f>AVERAGE(D38:D41)</f>
        <v>85513896.333333328</v>
      </c>
      <c r="E42" s="320">
        <f>AVERAGE(E38:E41)</f>
        <v>110232543.52196063</v>
      </c>
      <c r="F42" s="147">
        <f>AVERAGE(F38:F41)</f>
        <v>89692325.666666672</v>
      </c>
      <c r="G42" s="321">
        <f>AVERAGE(G38:G41)</f>
        <v>111013227.90821148</v>
      </c>
    </row>
    <row r="43" spans="1:7" ht="26.25" customHeight="1" x14ac:dyDescent="0.4">
      <c r="A43" s="301" t="s">
        <v>72</v>
      </c>
      <c r="B43" s="302">
        <v>1</v>
      </c>
      <c r="C43" s="322" t="s">
        <v>113</v>
      </c>
      <c r="D43" s="152">
        <v>23.14</v>
      </c>
      <c r="E43" s="277"/>
      <c r="F43" s="152">
        <v>24.1</v>
      </c>
      <c r="G43" s="277"/>
    </row>
    <row r="44" spans="1:7" ht="26.25" customHeight="1" x14ac:dyDescent="0.4">
      <c r="A44" s="301" t="s">
        <v>74</v>
      </c>
      <c r="B44" s="302">
        <v>1</v>
      </c>
      <c r="C44" s="324" t="s">
        <v>114</v>
      </c>
      <c r="D44" s="325">
        <f>D43*$B$34</f>
        <v>19.082427120625411</v>
      </c>
      <c r="E44" s="326"/>
      <c r="F44" s="325">
        <f>F43*$B$34</f>
        <v>19.874092204281435</v>
      </c>
      <c r="G44" s="277"/>
    </row>
    <row r="45" spans="1:7" ht="19.5" customHeight="1" thickBot="1" x14ac:dyDescent="0.35">
      <c r="A45" s="301" t="s">
        <v>76</v>
      </c>
      <c r="B45" s="327">
        <f>(B44/B43)*(B42/B41)*(B40/B39)*(B38/B37)*B36</f>
        <v>500</v>
      </c>
      <c r="C45" s="324" t="s">
        <v>77</v>
      </c>
      <c r="D45" s="328">
        <f>D44*$B$30/100</f>
        <v>19.006097412142907</v>
      </c>
      <c r="E45" s="329"/>
      <c r="F45" s="328">
        <f>F44*$B$30/100</f>
        <v>19.794595835464307</v>
      </c>
      <c r="G45" s="277"/>
    </row>
    <row r="46" spans="1:7" ht="19.5" customHeight="1" thickBot="1" x14ac:dyDescent="0.35">
      <c r="A46" s="498" t="s">
        <v>78</v>
      </c>
      <c r="B46" s="499"/>
      <c r="C46" s="324" t="s">
        <v>79</v>
      </c>
      <c r="D46" s="325">
        <f>D45/$B$45</f>
        <v>3.8012194824285812E-2</v>
      </c>
      <c r="E46" s="329"/>
      <c r="F46" s="330">
        <f>F45/$B$45</f>
        <v>3.9589191670928614E-2</v>
      </c>
      <c r="G46" s="277"/>
    </row>
    <row r="47" spans="1:7" ht="27" customHeight="1" thickBot="1" x14ac:dyDescent="0.45">
      <c r="A47" s="500"/>
      <c r="B47" s="501"/>
      <c r="C47" s="331" t="s">
        <v>129</v>
      </c>
      <c r="D47" s="332">
        <v>4.9000000000000002E-2</v>
      </c>
      <c r="E47" s="277"/>
      <c r="F47" s="333"/>
      <c r="G47" s="277"/>
    </row>
    <row r="48" spans="1:7" ht="18.75" customHeight="1" x14ac:dyDescent="0.3">
      <c r="A48" s="277"/>
      <c r="B48" s="277"/>
      <c r="C48" s="334" t="s">
        <v>81</v>
      </c>
      <c r="D48" s="328">
        <f>D47*$B$45</f>
        <v>24.5</v>
      </c>
      <c r="E48" s="277"/>
      <c r="F48" s="333"/>
      <c r="G48" s="277"/>
    </row>
    <row r="49" spans="1:7" ht="19.5" customHeight="1" thickBot="1" x14ac:dyDescent="0.35">
      <c r="A49" s="277"/>
      <c r="B49" s="277"/>
      <c r="C49" s="289" t="s">
        <v>82</v>
      </c>
      <c r="D49" s="335">
        <f>D48/B34</f>
        <v>29.709533091166829</v>
      </c>
      <c r="E49" s="277"/>
      <c r="F49" s="333"/>
      <c r="G49" s="277"/>
    </row>
    <row r="50" spans="1:7" ht="18.75" customHeight="1" x14ac:dyDescent="0.3">
      <c r="A50" s="277"/>
      <c r="B50" s="277"/>
      <c r="C50" s="299" t="s">
        <v>83</v>
      </c>
      <c r="D50" s="336">
        <f>AVERAGE(E38:E41,G38:G41)</f>
        <v>110622885.71508606</v>
      </c>
      <c r="E50" s="277"/>
      <c r="F50" s="337"/>
      <c r="G50" s="277"/>
    </row>
    <row r="51" spans="1:7" ht="18.75" customHeight="1" x14ac:dyDescent="0.3">
      <c r="A51" s="277"/>
      <c r="B51" s="277"/>
      <c r="C51" s="301" t="s">
        <v>84</v>
      </c>
      <c r="D51" s="338">
        <f>STDEV(E38:E41,G38:G41)/D50</f>
        <v>4.5155239239820606E-3</v>
      </c>
      <c r="E51" s="277"/>
      <c r="F51" s="337"/>
      <c r="G51" s="277"/>
    </row>
    <row r="52" spans="1:7" ht="19.5" customHeight="1" thickBot="1" x14ac:dyDescent="0.35">
      <c r="A52" s="277"/>
      <c r="B52" s="277"/>
      <c r="C52" s="339" t="s">
        <v>20</v>
      </c>
      <c r="D52" s="340">
        <f>COUNT(E38:E41,G38:G41)</f>
        <v>6</v>
      </c>
      <c r="E52" s="277"/>
      <c r="F52" s="337"/>
      <c r="G52" s="277"/>
    </row>
    <row r="53" spans="1:7" ht="18.75" customHeight="1" x14ac:dyDescent="0.3">
      <c r="A53" s="277"/>
      <c r="B53" s="277"/>
      <c r="C53" s="277"/>
      <c r="D53" s="277"/>
      <c r="E53" s="277"/>
      <c r="F53" s="277"/>
      <c r="G53" s="277"/>
    </row>
    <row r="54" spans="1:7" ht="18.75" customHeight="1" x14ac:dyDescent="0.3">
      <c r="A54" s="278" t="s">
        <v>1</v>
      </c>
      <c r="B54" s="341" t="s">
        <v>85</v>
      </c>
      <c r="C54" s="277"/>
      <c r="D54" s="277"/>
      <c r="E54" s="277"/>
      <c r="F54" s="277"/>
      <c r="G54" s="277"/>
    </row>
    <row r="55" spans="1:7" ht="18.75" customHeight="1" x14ac:dyDescent="0.3">
      <c r="A55" s="277" t="s">
        <v>86</v>
      </c>
      <c r="B55" s="342" t="str">
        <f>Dxazosin!B55</f>
        <v>Each tablet contains Doxazosin 4 mg</v>
      </c>
      <c r="C55" s="277"/>
      <c r="D55" s="277"/>
      <c r="E55" s="277"/>
      <c r="F55" s="277"/>
      <c r="G55" s="277"/>
    </row>
    <row r="56" spans="1:7" ht="26.25" customHeight="1" x14ac:dyDescent="0.4">
      <c r="A56" s="342" t="s">
        <v>130</v>
      </c>
      <c r="B56" s="290">
        <v>4</v>
      </c>
      <c r="C56" s="277" t="str">
        <f>B20</f>
        <v xml:space="preserve">Doxazosin </v>
      </c>
      <c r="D56" s="277"/>
      <c r="E56" s="277"/>
      <c r="F56" s="277"/>
      <c r="G56" s="277"/>
    </row>
    <row r="57" spans="1:7" ht="17.25" customHeight="1" thickBot="1" x14ac:dyDescent="0.35">
      <c r="A57" s="343"/>
      <c r="B57" s="343"/>
      <c r="C57" s="343"/>
      <c r="D57" s="344"/>
      <c r="E57" s="344"/>
      <c r="F57" s="344"/>
      <c r="G57" s="344"/>
    </row>
    <row r="58" spans="1:7" ht="57.75" customHeight="1" x14ac:dyDescent="0.4">
      <c r="A58" s="299" t="s">
        <v>131</v>
      </c>
      <c r="B58" s="300">
        <v>100</v>
      </c>
      <c r="C58" s="345" t="s">
        <v>132</v>
      </c>
      <c r="D58" s="346" t="s">
        <v>133</v>
      </c>
      <c r="E58" s="347" t="s">
        <v>134</v>
      </c>
      <c r="F58" s="348" t="s">
        <v>135</v>
      </c>
      <c r="G58" s="349" t="s">
        <v>136</v>
      </c>
    </row>
    <row r="59" spans="1:7" ht="26.25" customHeight="1" x14ac:dyDescent="0.4">
      <c r="A59" s="301" t="s">
        <v>61</v>
      </c>
      <c r="B59" s="302">
        <v>1</v>
      </c>
      <c r="C59" s="350">
        <v>1</v>
      </c>
      <c r="D59" s="351">
        <v>85691045</v>
      </c>
      <c r="E59" s="352">
        <f t="shared" ref="E59:E68" si="0">IF(ISBLANK(D59),"-",D59/$D$50*$D$47*$B$67)</f>
        <v>3.7956532934914988</v>
      </c>
      <c r="F59" s="353">
        <f t="shared" ref="F59:F68" si="1">IF(ISBLANK(D59),"-",E59/$E$70*100)</f>
        <v>97.462088591341683</v>
      </c>
      <c r="G59" s="354">
        <f>IF(ISBLANK(D59),"-",E59/$B$56*100)</f>
        <v>94.891332337287466</v>
      </c>
    </row>
    <row r="60" spans="1:7" ht="26.25" customHeight="1" x14ac:dyDescent="0.4">
      <c r="A60" s="301" t="s">
        <v>66</v>
      </c>
      <c r="B60" s="302">
        <v>1</v>
      </c>
      <c r="C60" s="355">
        <v>2</v>
      </c>
      <c r="D60" s="356">
        <v>83898435</v>
      </c>
      <c r="E60" s="357">
        <f t="shared" si="0"/>
        <v>3.7162502934411923</v>
      </c>
      <c r="F60" s="358">
        <f t="shared" si="1"/>
        <v>95.423234769104766</v>
      </c>
      <c r="G60" s="359">
        <f t="shared" ref="G60:G68" si="2">IF(ISBLANK(D60),"-",E60/$B$56*100)</f>
        <v>92.90625733602981</v>
      </c>
    </row>
    <row r="61" spans="1:7" ht="26.25" customHeight="1" x14ac:dyDescent="0.4">
      <c r="A61" s="301" t="s">
        <v>67</v>
      </c>
      <c r="B61" s="302">
        <v>1</v>
      </c>
      <c r="C61" s="355">
        <v>3</v>
      </c>
      <c r="D61" s="356">
        <v>89557968</v>
      </c>
      <c r="E61" s="357">
        <f t="shared" si="0"/>
        <v>3.9669372242759584</v>
      </c>
      <c r="F61" s="358">
        <f t="shared" si="1"/>
        <v>101.86019567478193</v>
      </c>
      <c r="G61" s="359">
        <f t="shared" si="2"/>
        <v>99.173430606898961</v>
      </c>
    </row>
    <row r="62" spans="1:7" ht="26.25" customHeight="1" x14ac:dyDescent="0.4">
      <c r="A62" s="301" t="s">
        <v>68</v>
      </c>
      <c r="B62" s="302">
        <v>1</v>
      </c>
      <c r="C62" s="355">
        <v>4</v>
      </c>
      <c r="D62" s="356">
        <v>85761255</v>
      </c>
      <c r="E62" s="357">
        <f t="shared" si="0"/>
        <v>3.7987632195956329</v>
      </c>
      <c r="F62" s="358">
        <f t="shared" si="1"/>
        <v>97.541943064349894</v>
      </c>
      <c r="G62" s="359">
        <f t="shared" si="2"/>
        <v>94.969080489890828</v>
      </c>
    </row>
    <row r="63" spans="1:7" ht="26.25" customHeight="1" x14ac:dyDescent="0.4">
      <c r="A63" s="301" t="s">
        <v>69</v>
      </c>
      <c r="B63" s="302">
        <v>1</v>
      </c>
      <c r="C63" s="355">
        <v>5</v>
      </c>
      <c r="D63" s="356">
        <v>89488405</v>
      </c>
      <c r="E63" s="357">
        <f t="shared" si="0"/>
        <v>3.9638559567986489</v>
      </c>
      <c r="F63" s="358">
        <f t="shared" si="1"/>
        <v>101.78107707763237</v>
      </c>
      <c r="G63" s="359">
        <f t="shared" si="2"/>
        <v>99.096398919966219</v>
      </c>
    </row>
    <row r="64" spans="1:7" ht="26.25" customHeight="1" x14ac:dyDescent="0.4">
      <c r="A64" s="301" t="s">
        <v>70</v>
      </c>
      <c r="B64" s="302">
        <v>1</v>
      </c>
      <c r="C64" s="355">
        <v>6</v>
      </c>
      <c r="D64" s="356">
        <v>88896767</v>
      </c>
      <c r="E64" s="357">
        <f t="shared" si="0"/>
        <v>3.9376495693837823</v>
      </c>
      <c r="F64" s="358">
        <f t="shared" si="1"/>
        <v>101.10816808031527</v>
      </c>
      <c r="G64" s="359">
        <f t="shared" si="2"/>
        <v>98.441239234594562</v>
      </c>
    </row>
    <row r="65" spans="1:7" ht="26.25" customHeight="1" x14ac:dyDescent="0.4">
      <c r="A65" s="301" t="s">
        <v>72</v>
      </c>
      <c r="B65" s="302">
        <v>1</v>
      </c>
      <c r="C65" s="355">
        <v>7</v>
      </c>
      <c r="D65" s="356">
        <v>89283643</v>
      </c>
      <c r="E65" s="357">
        <f t="shared" si="0"/>
        <v>3.9547860993861046</v>
      </c>
      <c r="F65" s="358">
        <f t="shared" si="1"/>
        <v>101.54818772280959</v>
      </c>
      <c r="G65" s="359">
        <f t="shared" si="2"/>
        <v>98.869652484652619</v>
      </c>
    </row>
    <row r="66" spans="1:7" ht="26.25" customHeight="1" x14ac:dyDescent="0.4">
      <c r="A66" s="301" t="s">
        <v>74</v>
      </c>
      <c r="B66" s="302">
        <v>1</v>
      </c>
      <c r="C66" s="355">
        <v>8</v>
      </c>
      <c r="D66" s="356">
        <v>87115032</v>
      </c>
      <c r="E66" s="357">
        <f t="shared" si="0"/>
        <v>3.8587282734551467</v>
      </c>
      <c r="F66" s="358">
        <f t="shared" si="1"/>
        <v>99.081683114280679</v>
      </c>
      <c r="G66" s="359">
        <f t="shared" si="2"/>
        <v>96.46820683637867</v>
      </c>
    </row>
    <row r="67" spans="1:7" ht="27" customHeight="1" thickBot="1" x14ac:dyDescent="0.45">
      <c r="A67" s="301" t="s">
        <v>76</v>
      </c>
      <c r="B67" s="327">
        <f>(B66/B65)*(B64/B63)*(B62/B61)*(B60/B59)*B58</f>
        <v>100</v>
      </c>
      <c r="C67" s="355">
        <v>9</v>
      </c>
      <c r="D67" s="356">
        <v>90149085</v>
      </c>
      <c r="E67" s="357">
        <f t="shared" si="0"/>
        <v>3.9931205341876157</v>
      </c>
      <c r="F67" s="358">
        <f t="shared" si="1"/>
        <v>102.53251210436738</v>
      </c>
      <c r="G67" s="359">
        <f t="shared" si="2"/>
        <v>99.828013354690398</v>
      </c>
    </row>
    <row r="68" spans="1:7" ht="27" customHeight="1" thickBot="1" x14ac:dyDescent="0.45">
      <c r="A68" s="498" t="s">
        <v>78</v>
      </c>
      <c r="B68" s="502"/>
      <c r="C68" s="360">
        <v>10</v>
      </c>
      <c r="D68" s="361">
        <v>89382751</v>
      </c>
      <c r="E68" s="362">
        <f t="shared" si="0"/>
        <v>3.9591760517622405</v>
      </c>
      <c r="F68" s="363">
        <f t="shared" si="1"/>
        <v>101.66090980101634</v>
      </c>
      <c r="G68" s="364">
        <f t="shared" si="2"/>
        <v>98.979401294056018</v>
      </c>
    </row>
    <row r="69" spans="1:7" ht="19.5" customHeight="1" thickBot="1" x14ac:dyDescent="0.35">
      <c r="A69" s="500"/>
      <c r="B69" s="503"/>
      <c r="C69" s="355"/>
      <c r="D69" s="329"/>
      <c r="E69" s="277"/>
      <c r="F69" s="344"/>
      <c r="G69" s="365"/>
    </row>
    <row r="70" spans="1:7" ht="26.25" customHeight="1" x14ac:dyDescent="0.4">
      <c r="A70" s="344"/>
      <c r="B70" s="344"/>
      <c r="C70" s="355" t="s">
        <v>137</v>
      </c>
      <c r="D70" s="366"/>
      <c r="E70" s="367">
        <f>AVERAGE(E59:E68)</f>
        <v>3.8944920515777826</v>
      </c>
      <c r="F70" s="367">
        <f>AVERAGE(F59:F68)</f>
        <v>99.999999999999972</v>
      </c>
      <c r="G70" s="368">
        <f>AVERAGE(G59:G68)</f>
        <v>97.362301289444559</v>
      </c>
    </row>
    <row r="71" spans="1:7" ht="26.25" customHeight="1" x14ac:dyDescent="0.4">
      <c r="A71" s="344"/>
      <c r="B71" s="344"/>
      <c r="C71" s="355"/>
      <c r="D71" s="366"/>
      <c r="E71" s="369">
        <f>STDEV(E59:E68)/E70</f>
        <v>2.4427409069989966E-2</v>
      </c>
      <c r="F71" s="369">
        <f>STDEV(F59:F68)/F70</f>
        <v>2.4427409069990007E-2</v>
      </c>
      <c r="G71" s="370">
        <f>STDEV(G59:G68)/G70</f>
        <v>2.4427409069989976E-2</v>
      </c>
    </row>
    <row r="72" spans="1:7" ht="27" customHeight="1" thickBot="1" x14ac:dyDescent="0.45">
      <c r="A72" s="344"/>
      <c r="B72" s="344"/>
      <c r="C72" s="360"/>
      <c r="D72" s="371"/>
      <c r="E72" s="372">
        <f>COUNT(E59:E68)</f>
        <v>10</v>
      </c>
      <c r="F72" s="372">
        <f>COUNT(F59:F68)</f>
        <v>10</v>
      </c>
      <c r="G72" s="373">
        <f>COUNT(G59:G68)</f>
        <v>10</v>
      </c>
    </row>
    <row r="73" spans="1:7" ht="18.75" customHeight="1" x14ac:dyDescent="0.3">
      <c r="A73" s="344"/>
      <c r="B73" s="277"/>
      <c r="C73" s="277"/>
      <c r="D73" s="326"/>
      <c r="E73" s="366"/>
      <c r="F73" s="277"/>
      <c r="G73" s="374"/>
    </row>
    <row r="74" spans="1:7" ht="18.75" customHeight="1" x14ac:dyDescent="0.3">
      <c r="A74" s="288" t="s">
        <v>138</v>
      </c>
      <c r="B74" s="289" t="s">
        <v>107</v>
      </c>
      <c r="C74" s="504" t="str">
        <f>B20</f>
        <v xml:space="preserve">Doxazosin </v>
      </c>
      <c r="D74" s="504"/>
      <c r="E74" s="277" t="s">
        <v>108</v>
      </c>
      <c r="F74" s="277"/>
      <c r="G74" s="375">
        <f>G70</f>
        <v>97.362301289444559</v>
      </c>
    </row>
    <row r="75" spans="1:7" ht="18.75" customHeight="1" x14ac:dyDescent="0.3">
      <c r="A75" s="288"/>
      <c r="B75" s="289"/>
      <c r="C75" s="292"/>
      <c r="D75" s="292"/>
      <c r="E75" s="277"/>
      <c r="F75" s="277"/>
      <c r="G75" s="376"/>
    </row>
    <row r="76" spans="1:7" ht="18.75" customHeight="1" x14ac:dyDescent="0.3">
      <c r="A76" s="278" t="s">
        <v>1</v>
      </c>
      <c r="B76" s="287" t="s">
        <v>139</v>
      </c>
      <c r="C76" s="277"/>
      <c r="D76" s="277"/>
      <c r="E76" s="277"/>
      <c r="F76" s="277"/>
      <c r="G76" s="344"/>
    </row>
    <row r="77" spans="1:7" ht="18.75" customHeight="1" x14ac:dyDescent="0.3">
      <c r="A77" s="278"/>
      <c r="B77" s="341"/>
      <c r="C77" s="277"/>
      <c r="D77" s="277"/>
      <c r="E77" s="277"/>
      <c r="F77" s="277"/>
      <c r="G77" s="344"/>
    </row>
    <row r="78" spans="1:7" ht="18.75" customHeight="1" x14ac:dyDescent="0.3">
      <c r="A78" s="344"/>
      <c r="B78" s="505" t="s">
        <v>140</v>
      </c>
      <c r="C78" s="506"/>
      <c r="D78" s="277"/>
      <c r="E78" s="344"/>
      <c r="F78" s="344"/>
      <c r="G78" s="344"/>
    </row>
    <row r="79" spans="1:7" ht="18.75" customHeight="1" x14ac:dyDescent="0.3">
      <c r="A79" s="344"/>
      <c r="B79" s="377" t="s">
        <v>43</v>
      </c>
      <c r="C79" s="378">
        <f>G70</f>
        <v>97.362301289444559</v>
      </c>
      <c r="D79" s="277"/>
      <c r="E79" s="344"/>
      <c r="F79" s="344"/>
      <c r="G79" s="344"/>
    </row>
    <row r="80" spans="1:7" ht="26.25" customHeight="1" x14ac:dyDescent="0.4">
      <c r="A80" s="344"/>
      <c r="B80" s="377" t="s">
        <v>141</v>
      </c>
      <c r="C80" s="379">
        <v>2.4</v>
      </c>
      <c r="D80" s="277"/>
      <c r="E80" s="344"/>
      <c r="F80" s="344"/>
      <c r="G80" s="344"/>
    </row>
    <row r="81" spans="1:7" ht="18.75" customHeight="1" x14ac:dyDescent="0.3">
      <c r="A81" s="344"/>
      <c r="B81" s="377" t="s">
        <v>142</v>
      </c>
      <c r="C81" s="378">
        <f>STDEV(G59:G68)</f>
        <v>2.3783087615928746</v>
      </c>
      <c r="D81" s="277"/>
      <c r="E81" s="344"/>
      <c r="F81" s="344"/>
      <c r="G81" s="344"/>
    </row>
    <row r="82" spans="1:7" ht="18.75" customHeight="1" x14ac:dyDescent="0.3">
      <c r="A82" s="344"/>
      <c r="B82" s="377" t="s">
        <v>143</v>
      </c>
      <c r="C82" s="378">
        <f>IF(OR(G70&lt;98.5,G70&gt;101.5),(IF(98.5&gt;G70,98.5,101.5)),C79)</f>
        <v>98.5</v>
      </c>
      <c r="D82" s="277"/>
      <c r="E82" s="344"/>
      <c r="F82" s="344"/>
      <c r="G82" s="344"/>
    </row>
    <row r="83" spans="1:7" ht="18.75" customHeight="1" x14ac:dyDescent="0.3">
      <c r="A83" s="344"/>
      <c r="B83" s="377" t="s">
        <v>144</v>
      </c>
      <c r="C83" s="380">
        <f>ABS(C82-C79)+(C80*C81)</f>
        <v>6.8456397383783392</v>
      </c>
      <c r="D83" s="277"/>
      <c r="E83" s="344"/>
      <c r="F83" s="344"/>
      <c r="G83" s="344"/>
    </row>
    <row r="84" spans="1:7" ht="18.75" customHeight="1" x14ac:dyDescent="0.3">
      <c r="A84" s="342"/>
      <c r="B84" s="381"/>
      <c r="C84" s="277"/>
      <c r="D84" s="277"/>
      <c r="E84" s="277"/>
      <c r="F84" s="277"/>
      <c r="G84" s="277"/>
    </row>
    <row r="85" spans="1:7" ht="18.75" customHeight="1" x14ac:dyDescent="0.3">
      <c r="A85" s="287" t="s">
        <v>109</v>
      </c>
      <c r="B85" s="287" t="s">
        <v>110</v>
      </c>
      <c r="C85" s="277"/>
      <c r="D85" s="277"/>
      <c r="E85" s="277"/>
      <c r="F85" s="277"/>
      <c r="G85" s="277"/>
    </row>
    <row r="86" spans="1:7" ht="18.75" customHeight="1" x14ac:dyDescent="0.3">
      <c r="A86" s="287"/>
      <c r="B86" s="287"/>
      <c r="C86" s="277"/>
      <c r="D86" s="277"/>
      <c r="E86" s="277"/>
      <c r="F86" s="277"/>
      <c r="G86" s="277"/>
    </row>
    <row r="87" spans="1:7" ht="26.25" customHeight="1" x14ac:dyDescent="0.4">
      <c r="A87" s="288" t="s">
        <v>4</v>
      </c>
      <c r="B87" s="486"/>
      <c r="C87" s="486"/>
      <c r="D87" s="277"/>
      <c r="E87" s="277"/>
      <c r="F87" s="277"/>
      <c r="G87" s="277"/>
    </row>
    <row r="88" spans="1:7" ht="26.25" customHeight="1" x14ac:dyDescent="0.4">
      <c r="A88" s="289" t="s">
        <v>48</v>
      </c>
      <c r="B88" s="491"/>
      <c r="C88" s="491"/>
      <c r="D88" s="277"/>
      <c r="E88" s="277"/>
      <c r="F88" s="277"/>
      <c r="G88" s="277"/>
    </row>
    <row r="89" spans="1:7" ht="27" customHeight="1" thickBot="1" x14ac:dyDescent="0.45">
      <c r="A89" s="289" t="s">
        <v>6</v>
      </c>
      <c r="B89" s="290">
        <f>B32</f>
        <v>547.48</v>
      </c>
      <c r="C89" s="277"/>
      <c r="D89" s="277"/>
      <c r="E89" s="277"/>
      <c r="F89" s="277"/>
      <c r="G89" s="277"/>
    </row>
    <row r="90" spans="1:7" ht="27" customHeight="1" thickBot="1" x14ac:dyDescent="0.45">
      <c r="A90" s="289" t="s">
        <v>49</v>
      </c>
      <c r="B90" s="290">
        <f>B33</f>
        <v>0</v>
      </c>
      <c r="C90" s="508" t="s">
        <v>50</v>
      </c>
      <c r="D90" s="509"/>
      <c r="E90" s="509"/>
      <c r="F90" s="509"/>
      <c r="G90" s="510"/>
    </row>
    <row r="91" spans="1:7" ht="18.75" customHeight="1" x14ac:dyDescent="0.3">
      <c r="A91" s="289" t="s">
        <v>51</v>
      </c>
      <c r="B91" s="292">
        <f>B89-B90</f>
        <v>547.48</v>
      </c>
      <c r="C91" s="293"/>
      <c r="D91" s="293"/>
      <c r="E91" s="293"/>
      <c r="F91" s="293"/>
      <c r="G91" s="382"/>
    </row>
    <row r="92" spans="1:7" ht="19.5" customHeight="1" thickBot="1" x14ac:dyDescent="0.35">
      <c r="A92" s="289"/>
      <c r="B92" s="292"/>
      <c r="C92" s="293"/>
      <c r="D92" s="293"/>
      <c r="E92" s="293"/>
      <c r="F92" s="293"/>
      <c r="G92" s="382"/>
    </row>
    <row r="93" spans="1:7" ht="27" customHeight="1" thickBot="1" x14ac:dyDescent="0.45">
      <c r="A93" s="289" t="s">
        <v>52</v>
      </c>
      <c r="B93" s="294">
        <v>1</v>
      </c>
      <c r="C93" s="492" t="s">
        <v>145</v>
      </c>
      <c r="D93" s="493"/>
      <c r="E93" s="493"/>
      <c r="F93" s="493"/>
      <c r="G93" s="493"/>
    </row>
    <row r="94" spans="1:7" ht="27" customHeight="1" thickBot="1" x14ac:dyDescent="0.45">
      <c r="A94" s="289" t="s">
        <v>54</v>
      </c>
      <c r="B94" s="294">
        <v>1</v>
      </c>
      <c r="C94" s="492" t="s">
        <v>146</v>
      </c>
      <c r="D94" s="493"/>
      <c r="E94" s="493"/>
      <c r="F94" s="493"/>
      <c r="G94" s="493"/>
    </row>
    <row r="95" spans="1:7" ht="18.75" customHeight="1" x14ac:dyDescent="0.3">
      <c r="A95" s="289"/>
      <c r="B95" s="295"/>
      <c r="C95" s="296"/>
      <c r="D95" s="296"/>
      <c r="E95" s="296"/>
      <c r="F95" s="296"/>
      <c r="G95" s="296"/>
    </row>
    <row r="96" spans="1:7" ht="18.75" customHeight="1" x14ac:dyDescent="0.3">
      <c r="A96" s="289" t="s">
        <v>56</v>
      </c>
      <c r="B96" s="297">
        <f>B93/B94</f>
        <v>1</v>
      </c>
      <c r="C96" s="277" t="s">
        <v>57</v>
      </c>
      <c r="D96" s="277"/>
      <c r="E96" s="277"/>
      <c r="F96" s="277"/>
      <c r="G96" s="277"/>
    </row>
    <row r="97" spans="1:7" ht="19.5" customHeight="1" thickBot="1" x14ac:dyDescent="0.35">
      <c r="A97" s="287"/>
      <c r="B97" s="287"/>
      <c r="C97" s="277"/>
      <c r="D97" s="277"/>
      <c r="E97" s="277"/>
      <c r="F97" s="277"/>
      <c r="G97" s="277"/>
    </row>
    <row r="98" spans="1:7" ht="27" customHeight="1" thickBot="1" x14ac:dyDescent="0.45">
      <c r="A98" s="299" t="s">
        <v>128</v>
      </c>
      <c r="B98" s="383">
        <v>1</v>
      </c>
      <c r="C98" s="277"/>
      <c r="D98" s="384" t="s">
        <v>59</v>
      </c>
      <c r="E98" s="385"/>
      <c r="F98" s="495" t="s">
        <v>60</v>
      </c>
      <c r="G98" s="497"/>
    </row>
    <row r="99" spans="1:7" ht="26.25" customHeight="1" x14ac:dyDescent="0.4">
      <c r="A99" s="301" t="s">
        <v>61</v>
      </c>
      <c r="B99" s="386">
        <v>1</v>
      </c>
      <c r="C99" s="303" t="s">
        <v>62</v>
      </c>
      <c r="D99" s="304" t="s">
        <v>63</v>
      </c>
      <c r="E99" s="305" t="s">
        <v>64</v>
      </c>
      <c r="F99" s="304" t="s">
        <v>63</v>
      </c>
      <c r="G99" s="306" t="s">
        <v>64</v>
      </c>
    </row>
    <row r="100" spans="1:7" ht="26.25" customHeight="1" x14ac:dyDescent="0.4">
      <c r="A100" s="301" t="s">
        <v>66</v>
      </c>
      <c r="B100" s="386">
        <v>1</v>
      </c>
      <c r="C100" s="307">
        <v>1</v>
      </c>
      <c r="D100" s="308"/>
      <c r="E100" s="387" t="str">
        <f>IF(ISBLANK(D100),"-",$D$110/$D$107*D100)</f>
        <v>-</v>
      </c>
      <c r="F100" s="388"/>
      <c r="G100" s="310" t="str">
        <f>IF(ISBLANK(F100),"-",$D$110/$F$107*F100)</f>
        <v>-</v>
      </c>
    </row>
    <row r="101" spans="1:7" ht="26.25" customHeight="1" x14ac:dyDescent="0.4">
      <c r="A101" s="301" t="s">
        <v>67</v>
      </c>
      <c r="B101" s="386">
        <v>1</v>
      </c>
      <c r="C101" s="311">
        <v>2</v>
      </c>
      <c r="D101" s="312"/>
      <c r="E101" s="389" t="str">
        <f>IF(ISBLANK(D101),"-",$D$110/$D$107*D101)</f>
        <v>-</v>
      </c>
      <c r="F101" s="290"/>
      <c r="G101" s="314" t="str">
        <f>IF(ISBLANK(F101),"-",$D$110/$F$107*F101)</f>
        <v>-</v>
      </c>
    </row>
    <row r="102" spans="1:7" ht="26.25" customHeight="1" x14ac:dyDescent="0.4">
      <c r="A102" s="301" t="s">
        <v>68</v>
      </c>
      <c r="B102" s="386">
        <v>1</v>
      </c>
      <c r="C102" s="311">
        <v>3</v>
      </c>
      <c r="D102" s="312"/>
      <c r="E102" s="389" t="str">
        <f>IF(ISBLANK(D102),"-",$D$110/$D$107*D102)</f>
        <v>-</v>
      </c>
      <c r="F102" s="390"/>
      <c r="G102" s="314" t="str">
        <f>IF(ISBLANK(F102),"-",$D$110/$F$107*F102)</f>
        <v>-</v>
      </c>
    </row>
    <row r="103" spans="1:7" ht="26.25" customHeight="1" x14ac:dyDescent="0.4">
      <c r="A103" s="301" t="s">
        <v>69</v>
      </c>
      <c r="B103" s="386">
        <v>1</v>
      </c>
      <c r="C103" s="315">
        <v>4</v>
      </c>
      <c r="D103" s="316"/>
      <c r="E103" s="391" t="str">
        <f>IF(ISBLANK(D103),"-",$D$110/$D$107*D103)</f>
        <v>-</v>
      </c>
      <c r="F103" s="392"/>
      <c r="G103" s="318" t="str">
        <f>IF(ISBLANK(F103),"-",$D$110/$F$107*F103)</f>
        <v>-</v>
      </c>
    </row>
    <row r="104" spans="1:7" ht="27" customHeight="1" thickBot="1" x14ac:dyDescent="0.45">
      <c r="A104" s="301" t="s">
        <v>70</v>
      </c>
      <c r="B104" s="386">
        <v>1</v>
      </c>
      <c r="C104" s="319" t="s">
        <v>71</v>
      </c>
      <c r="D104" s="393" t="e">
        <f>AVERAGE(D100:D103)</f>
        <v>#DIV/0!</v>
      </c>
      <c r="E104" s="320" t="e">
        <f>AVERAGE(E100:E103)</f>
        <v>#DIV/0!</v>
      </c>
      <c r="F104" s="393" t="e">
        <f>AVERAGE(F100:F103)</f>
        <v>#DIV/0!</v>
      </c>
      <c r="G104" s="394" t="e">
        <f>AVERAGE(G100:G103)</f>
        <v>#DIV/0!</v>
      </c>
    </row>
    <row r="105" spans="1:7" ht="26.25" customHeight="1" x14ac:dyDescent="0.4">
      <c r="A105" s="301" t="s">
        <v>72</v>
      </c>
      <c r="B105" s="386">
        <v>1</v>
      </c>
      <c r="C105" s="322" t="s">
        <v>113</v>
      </c>
      <c r="D105" s="395"/>
      <c r="E105" s="277"/>
      <c r="F105" s="323"/>
      <c r="G105" s="277"/>
    </row>
    <row r="106" spans="1:7" ht="26.25" customHeight="1" x14ac:dyDescent="0.4">
      <c r="A106" s="301" t="s">
        <v>74</v>
      </c>
      <c r="B106" s="386">
        <v>1</v>
      </c>
      <c r="C106" s="324" t="s">
        <v>114</v>
      </c>
      <c r="D106" s="396">
        <f>D105*$B$96</f>
        <v>0</v>
      </c>
      <c r="E106" s="326"/>
      <c r="F106" s="325">
        <f>F105*$B$96</f>
        <v>0</v>
      </c>
      <c r="G106" s="277"/>
    </row>
    <row r="107" spans="1:7" ht="19.5" customHeight="1" thickBot="1" x14ac:dyDescent="0.35">
      <c r="A107" s="301" t="s">
        <v>76</v>
      </c>
      <c r="B107" s="311">
        <f>(B106/B105)*(B104/B103)*(B102/B101)*(B100/B99)*B98</f>
        <v>1</v>
      </c>
      <c r="C107" s="324" t="s">
        <v>77</v>
      </c>
      <c r="D107" s="397">
        <f>D106*$B$91/100</f>
        <v>0</v>
      </c>
      <c r="E107" s="329"/>
      <c r="F107" s="328">
        <f>F106*$B$91/100</f>
        <v>0</v>
      </c>
      <c r="G107" s="277"/>
    </row>
    <row r="108" spans="1:7" ht="19.5" customHeight="1" thickBot="1" x14ac:dyDescent="0.35">
      <c r="A108" s="498" t="s">
        <v>78</v>
      </c>
      <c r="B108" s="499"/>
      <c r="C108" s="324" t="s">
        <v>79</v>
      </c>
      <c r="D108" s="396">
        <f>D107/$B$107</f>
        <v>0</v>
      </c>
      <c r="E108" s="329"/>
      <c r="F108" s="330">
        <f>F107/$B$107</f>
        <v>0</v>
      </c>
      <c r="G108" s="398"/>
    </row>
    <row r="109" spans="1:7" ht="19.5" customHeight="1" thickBot="1" x14ac:dyDescent="0.35">
      <c r="A109" s="500"/>
      <c r="B109" s="501"/>
      <c r="C109" s="399" t="s">
        <v>129</v>
      </c>
      <c r="D109" s="400">
        <f>$B$56/$B$125</f>
        <v>4</v>
      </c>
      <c r="E109" s="277"/>
      <c r="F109" s="333"/>
      <c r="G109" s="401"/>
    </row>
    <row r="110" spans="1:7" ht="18.75" customHeight="1" x14ac:dyDescent="0.3">
      <c r="A110" s="277"/>
      <c r="B110" s="277"/>
      <c r="C110" s="402" t="s">
        <v>81</v>
      </c>
      <c r="D110" s="396">
        <f>D109*$B$107</f>
        <v>4</v>
      </c>
      <c r="E110" s="277"/>
      <c r="F110" s="333"/>
      <c r="G110" s="398"/>
    </row>
    <row r="111" spans="1:7" ht="19.5" customHeight="1" thickBot="1" x14ac:dyDescent="0.35">
      <c r="A111" s="277"/>
      <c r="B111" s="277"/>
      <c r="C111" s="403" t="s">
        <v>82</v>
      </c>
      <c r="D111" s="404">
        <f>D110/B96</f>
        <v>4</v>
      </c>
      <c r="E111" s="277"/>
      <c r="F111" s="337"/>
      <c r="G111" s="398"/>
    </row>
    <row r="112" spans="1:7" ht="18.75" customHeight="1" x14ac:dyDescent="0.3">
      <c r="A112" s="277"/>
      <c r="B112" s="277"/>
      <c r="C112" s="405" t="s">
        <v>83</v>
      </c>
      <c r="D112" s="406" t="e">
        <f>AVERAGE(E100:E103,G100:G103)</f>
        <v>#DIV/0!</v>
      </c>
      <c r="E112" s="277"/>
      <c r="F112" s="337"/>
      <c r="G112" s="401"/>
    </row>
    <row r="113" spans="1:7" ht="18.75" customHeight="1" x14ac:dyDescent="0.3">
      <c r="A113" s="277"/>
      <c r="B113" s="277"/>
      <c r="C113" s="407" t="s">
        <v>84</v>
      </c>
      <c r="D113" s="408" t="e">
        <f>STDEV(E100:E103,G100:G103)/D112</f>
        <v>#DIV/0!</v>
      </c>
      <c r="E113" s="277"/>
      <c r="F113" s="337"/>
      <c r="G113" s="398"/>
    </row>
    <row r="114" spans="1:7" ht="19.5" customHeight="1" thickBot="1" x14ac:dyDescent="0.35">
      <c r="A114" s="277"/>
      <c r="B114" s="277"/>
      <c r="C114" s="409" t="s">
        <v>20</v>
      </c>
      <c r="D114" s="410">
        <f>COUNT(E100:E103,G100:G103)</f>
        <v>0</v>
      </c>
      <c r="E114" s="277"/>
      <c r="F114" s="337"/>
      <c r="G114" s="398"/>
    </row>
    <row r="115" spans="1:7" ht="19.5" customHeight="1" thickBot="1" x14ac:dyDescent="0.35">
      <c r="A115" s="278"/>
      <c r="B115" s="278"/>
      <c r="C115" s="278"/>
      <c r="D115" s="278"/>
      <c r="E115" s="278"/>
      <c r="F115" s="277"/>
      <c r="G115" s="277"/>
    </row>
    <row r="116" spans="1:7" ht="26.25" customHeight="1" x14ac:dyDescent="0.4">
      <c r="A116" s="299" t="s">
        <v>118</v>
      </c>
      <c r="B116" s="383">
        <v>1</v>
      </c>
      <c r="C116" s="384" t="s">
        <v>147</v>
      </c>
      <c r="D116" s="411" t="s">
        <v>63</v>
      </c>
      <c r="E116" s="412" t="s">
        <v>120</v>
      </c>
      <c r="F116" s="413" t="s">
        <v>121</v>
      </c>
      <c r="G116" s="277"/>
    </row>
    <row r="117" spans="1:7" ht="26.25" customHeight="1" x14ac:dyDescent="0.4">
      <c r="A117" s="301" t="s">
        <v>122</v>
      </c>
      <c r="B117" s="386">
        <v>1</v>
      </c>
      <c r="C117" s="355">
        <v>1</v>
      </c>
      <c r="D117" s="414"/>
      <c r="E117" s="352" t="str">
        <f t="shared" ref="E117:E122" si="3">IF(ISBLANK(D117),"-",D117/$D$112*$D$109*$B$125)</f>
        <v>-</v>
      </c>
      <c r="F117" s="415" t="str">
        <f t="shared" ref="F117:F122" si="4">IF(ISBLANK(D117), "-", E117/$B$56)</f>
        <v>-</v>
      </c>
      <c r="G117" s="277"/>
    </row>
    <row r="118" spans="1:7" ht="26.25" customHeight="1" x14ac:dyDescent="0.4">
      <c r="A118" s="301" t="s">
        <v>95</v>
      </c>
      <c r="B118" s="386">
        <v>1</v>
      </c>
      <c r="C118" s="355">
        <v>2</v>
      </c>
      <c r="D118" s="414"/>
      <c r="E118" s="357" t="str">
        <f t="shared" si="3"/>
        <v>-</v>
      </c>
      <c r="F118" s="416" t="str">
        <f t="shared" si="4"/>
        <v>-</v>
      </c>
      <c r="G118" s="277"/>
    </row>
    <row r="119" spans="1:7" ht="26.25" customHeight="1" x14ac:dyDescent="0.4">
      <c r="A119" s="301" t="s">
        <v>96</v>
      </c>
      <c r="B119" s="386">
        <v>1</v>
      </c>
      <c r="C119" s="355">
        <v>3</v>
      </c>
      <c r="D119" s="414"/>
      <c r="E119" s="357" t="str">
        <f t="shared" si="3"/>
        <v>-</v>
      </c>
      <c r="F119" s="416" t="str">
        <f t="shared" si="4"/>
        <v>-</v>
      </c>
      <c r="G119" s="277"/>
    </row>
    <row r="120" spans="1:7" ht="26.25" customHeight="1" x14ac:dyDescent="0.4">
      <c r="A120" s="301" t="s">
        <v>97</v>
      </c>
      <c r="B120" s="386">
        <v>1</v>
      </c>
      <c r="C120" s="355">
        <v>4</v>
      </c>
      <c r="D120" s="414"/>
      <c r="E120" s="357" t="str">
        <f t="shared" si="3"/>
        <v>-</v>
      </c>
      <c r="F120" s="416" t="str">
        <f t="shared" si="4"/>
        <v>-</v>
      </c>
      <c r="G120" s="277"/>
    </row>
    <row r="121" spans="1:7" ht="26.25" customHeight="1" x14ac:dyDescent="0.4">
      <c r="A121" s="301" t="s">
        <v>98</v>
      </c>
      <c r="B121" s="386">
        <v>1</v>
      </c>
      <c r="C121" s="355">
        <v>5</v>
      </c>
      <c r="D121" s="414"/>
      <c r="E121" s="357" t="str">
        <f t="shared" si="3"/>
        <v>-</v>
      </c>
      <c r="F121" s="416" t="str">
        <f t="shared" si="4"/>
        <v>-</v>
      </c>
      <c r="G121" s="277"/>
    </row>
    <row r="122" spans="1:7" ht="26.25" customHeight="1" x14ac:dyDescent="0.4">
      <c r="A122" s="301" t="s">
        <v>100</v>
      </c>
      <c r="B122" s="386">
        <v>1</v>
      </c>
      <c r="C122" s="417">
        <v>6</v>
      </c>
      <c r="D122" s="418"/>
      <c r="E122" s="419" t="str">
        <f t="shared" si="3"/>
        <v>-</v>
      </c>
      <c r="F122" s="420" t="str">
        <f t="shared" si="4"/>
        <v>-</v>
      </c>
      <c r="G122" s="277"/>
    </row>
    <row r="123" spans="1:7" ht="26.25" customHeight="1" x14ac:dyDescent="0.4">
      <c r="A123" s="301" t="s">
        <v>101</v>
      </c>
      <c r="B123" s="386">
        <v>1</v>
      </c>
      <c r="C123" s="355"/>
      <c r="D123" s="326"/>
      <c r="E123" s="277"/>
      <c r="F123" s="359"/>
      <c r="G123" s="277"/>
    </row>
    <row r="124" spans="1:7" ht="26.25" customHeight="1" x14ac:dyDescent="0.4">
      <c r="A124" s="301" t="s">
        <v>102</v>
      </c>
      <c r="B124" s="386">
        <v>1</v>
      </c>
      <c r="C124" s="355"/>
      <c r="D124" s="421"/>
      <c r="E124" s="422" t="s">
        <v>71</v>
      </c>
      <c r="F124" s="423" t="e">
        <f>AVERAGE(F117:F122)</f>
        <v>#DIV/0!</v>
      </c>
      <c r="G124" s="277"/>
    </row>
    <row r="125" spans="1:7" ht="27" customHeight="1" thickBot="1" x14ac:dyDescent="0.45">
      <c r="A125" s="301" t="s">
        <v>103</v>
      </c>
      <c r="B125" s="311">
        <f>(B124/B123)*(B122/B121)*(B120/B119)*(B118/B117)*B116</f>
        <v>1</v>
      </c>
      <c r="C125" s="424"/>
      <c r="D125" s="425"/>
      <c r="E125" s="289" t="s">
        <v>84</v>
      </c>
      <c r="F125" s="370" t="e">
        <f>STDEV(F117:F122)/F124</f>
        <v>#DIV/0!</v>
      </c>
      <c r="G125" s="277"/>
    </row>
    <row r="126" spans="1:7" ht="27" customHeight="1" thickBot="1" x14ac:dyDescent="0.45">
      <c r="A126" s="498" t="s">
        <v>78</v>
      </c>
      <c r="B126" s="499"/>
      <c r="C126" s="426"/>
      <c r="D126" s="427"/>
      <c r="E126" s="428" t="s">
        <v>20</v>
      </c>
      <c r="F126" s="429">
        <f>COUNT(F117:F122)</f>
        <v>0</v>
      </c>
      <c r="G126" s="277"/>
    </row>
    <row r="127" spans="1:7" ht="19.5" customHeight="1" thickBot="1" x14ac:dyDescent="0.35">
      <c r="A127" s="500"/>
      <c r="B127" s="501"/>
      <c r="C127" s="277"/>
      <c r="D127" s="277"/>
      <c r="E127" s="277"/>
      <c r="F127" s="326"/>
      <c r="G127" s="277"/>
    </row>
    <row r="128" spans="1:7" ht="18.75" customHeight="1" x14ac:dyDescent="0.3">
      <c r="A128" s="296"/>
      <c r="B128" s="296"/>
      <c r="C128" s="277"/>
      <c r="D128" s="277"/>
      <c r="E128" s="277"/>
      <c r="F128" s="326"/>
      <c r="G128" s="277"/>
    </row>
    <row r="129" spans="1:7" ht="18.75" customHeight="1" x14ac:dyDescent="0.3">
      <c r="A129" s="288" t="s">
        <v>138</v>
      </c>
      <c r="B129" s="289" t="s">
        <v>123</v>
      </c>
      <c r="C129" s="504" t="str">
        <f>B20</f>
        <v xml:space="preserve">Doxazosin </v>
      </c>
      <c r="D129" s="504"/>
      <c r="E129" s="277" t="s">
        <v>124</v>
      </c>
      <c r="F129" s="277"/>
      <c r="G129" s="376" t="e">
        <f>F124</f>
        <v>#DIV/0!</v>
      </c>
    </row>
    <row r="130" spans="1:7" ht="19.5" customHeight="1" thickBot="1" x14ac:dyDescent="0.35">
      <c r="A130" s="430"/>
      <c r="B130" s="430"/>
      <c r="C130" s="431"/>
      <c r="D130" s="431"/>
      <c r="E130" s="431"/>
      <c r="F130" s="431"/>
      <c r="G130" s="431"/>
    </row>
    <row r="131" spans="1:7" ht="18.75" customHeight="1" x14ac:dyDescent="0.3">
      <c r="A131" s="277"/>
      <c r="B131" s="507" t="s">
        <v>26</v>
      </c>
      <c r="C131" s="507"/>
      <c r="D131" s="277"/>
      <c r="E131" s="432" t="s">
        <v>27</v>
      </c>
      <c r="F131" s="433"/>
      <c r="G131" s="432" t="s">
        <v>28</v>
      </c>
    </row>
    <row r="132" spans="1:7" ht="60" customHeight="1" x14ac:dyDescent="0.3">
      <c r="A132" s="288" t="s">
        <v>29</v>
      </c>
      <c r="B132" s="434"/>
      <c r="C132" s="434"/>
      <c r="D132" s="277"/>
      <c r="E132" s="434"/>
      <c r="F132" s="277"/>
      <c r="G132" s="434"/>
    </row>
    <row r="133" spans="1:7" ht="60" customHeight="1" x14ac:dyDescent="0.3">
      <c r="A133" s="288" t="s">
        <v>30</v>
      </c>
      <c r="B133" s="435"/>
      <c r="C133" s="435"/>
      <c r="D133" s="277"/>
      <c r="E133" s="435"/>
      <c r="F133" s="277"/>
      <c r="G133" s="436"/>
    </row>
    <row r="250" spans="1:1" x14ac:dyDescent="0.2">
      <c r="A250" s="27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Dxazosin</vt:lpstr>
      <vt:lpstr>cu</vt:lpstr>
      <vt:lpstr>cu!Print_Area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2016-05-20T13:12:32Z</cp:lastPrinted>
  <dcterms:created xsi:type="dcterms:W3CDTF">2005-07-05T10:19:27Z</dcterms:created>
  <dcterms:modified xsi:type="dcterms:W3CDTF">2016-05-20T13:25:56Z</dcterms:modified>
  <cp:category/>
</cp:coreProperties>
</file>