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" sheetId="1" r:id="rId1"/>
    <sheet name="Uniformity" sheetId="2" r:id="rId2"/>
    <sheet name="Paracetamol" sheetId="3" r:id="rId3"/>
  </sheets>
  <definedNames>
    <definedName name="_xlnm.Print_Area" localSheetId="2">Paracetamol!$A$1:$I$124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D100" i="3" l="1"/>
  <c r="H72" i="3"/>
  <c r="G51" i="3"/>
  <c r="G60" i="3"/>
  <c r="E30" i="1"/>
  <c r="D30" i="1"/>
  <c r="C30" i="1"/>
  <c r="B32" i="1"/>
  <c r="B31" i="1"/>
  <c r="B30" i="1"/>
  <c r="B21" i="1" l="1"/>
  <c r="C120" i="3" l="1"/>
  <c r="B116" i="3"/>
  <c r="B98" i="3"/>
  <c r="F95" i="3"/>
  <c r="D95" i="3"/>
  <c r="B87" i="3"/>
  <c r="F97" i="3" s="1"/>
  <c r="B83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5" i="2"/>
  <c r="D24" i="2"/>
  <c r="C19" i="2"/>
  <c r="B53" i="1"/>
  <c r="E51" i="1"/>
  <c r="D51" i="1"/>
  <c r="C51" i="1"/>
  <c r="B51" i="1"/>
  <c r="B52" i="1" s="1"/>
  <c r="B69" i="3" l="1"/>
  <c r="I39" i="3"/>
  <c r="D45" i="3"/>
  <c r="D46" i="3" s="1"/>
  <c r="I92" i="3"/>
  <c r="D101" i="3"/>
  <c r="G94" i="3" s="1"/>
  <c r="F98" i="3"/>
  <c r="F99" i="3" s="1"/>
  <c r="D49" i="3"/>
  <c r="F44" i="3"/>
  <c r="F45" i="3" s="1"/>
  <c r="F46" i="3" s="1"/>
  <c r="D29" i="2"/>
  <c r="D33" i="2"/>
  <c r="D37" i="2"/>
  <c r="D41" i="2"/>
  <c r="D97" i="3"/>
  <c r="D98" i="3" s="1"/>
  <c r="D99" i="3" s="1"/>
  <c r="C50" i="2"/>
  <c r="D26" i="2"/>
  <c r="D30" i="2"/>
  <c r="D34" i="2"/>
  <c r="D38" i="2"/>
  <c r="D42" i="2"/>
  <c r="B49" i="2"/>
  <c r="E39" i="3" l="1"/>
  <c r="E38" i="3"/>
  <c r="E41" i="3"/>
  <c r="E40" i="3"/>
  <c r="G40" i="3"/>
  <c r="G41" i="3"/>
  <c r="D102" i="3"/>
  <c r="G91" i="3"/>
  <c r="E94" i="3"/>
  <c r="E92" i="3"/>
  <c r="E93" i="3"/>
  <c r="G93" i="3"/>
  <c r="G39" i="3"/>
  <c r="G38" i="3"/>
  <c r="G92" i="3"/>
  <c r="E91" i="3"/>
  <c r="E42" i="3" l="1"/>
  <c r="G42" i="3"/>
  <c r="D50" i="3"/>
  <c r="G66" i="3" s="1"/>
  <c r="H66" i="3" s="1"/>
  <c r="G95" i="3"/>
  <c r="D52" i="3"/>
  <c r="D51" i="3"/>
  <c r="G67" i="3"/>
  <c r="H67" i="3" s="1"/>
  <c r="E95" i="3"/>
  <c r="D105" i="3"/>
  <c r="D103" i="3"/>
  <c r="G69" i="3" l="1"/>
  <c r="H69" i="3" s="1"/>
  <c r="G70" i="3"/>
  <c r="H70" i="3" s="1"/>
  <c r="G61" i="3"/>
  <c r="H61" i="3" s="1"/>
  <c r="G62" i="3"/>
  <c r="H62" i="3" s="1"/>
  <c r="G68" i="3"/>
  <c r="H68" i="3" s="1"/>
  <c r="G63" i="3"/>
  <c r="H63" i="3" s="1"/>
  <c r="H60" i="3"/>
  <c r="G64" i="3"/>
  <c r="H64" i="3" s="1"/>
  <c r="G65" i="3"/>
  <c r="H65" i="3" s="1"/>
  <c r="G71" i="3"/>
  <c r="H71" i="3" s="1"/>
  <c r="E112" i="3"/>
  <c r="F112" i="3" s="1"/>
  <c r="E110" i="3"/>
  <c r="F110" i="3" s="1"/>
  <c r="E108" i="3"/>
  <c r="E113" i="3"/>
  <c r="F113" i="3" s="1"/>
  <c r="E111" i="3"/>
  <c r="F111" i="3" s="1"/>
  <c r="D104" i="3"/>
  <c r="E109" i="3"/>
  <c r="F109" i="3" s="1"/>
  <c r="G72" i="3" l="1"/>
  <c r="G73" i="3" s="1"/>
  <c r="G74" i="3"/>
  <c r="H74" i="3"/>
  <c r="E115" i="3"/>
  <c r="E116" i="3" s="1"/>
  <c r="E117" i="3"/>
  <c r="F108" i="3"/>
  <c r="G76" i="3" l="1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<sst xmlns="http://schemas.openxmlformats.org/spreadsheetml/2006/main" count="235" uniqueCount="130">
  <si>
    <t>HPLC System Suitability Report</t>
  </si>
  <si>
    <t>Analysis Data</t>
  </si>
  <si>
    <t>Assay</t>
  </si>
  <si>
    <t>Sample(s)</t>
  </si>
  <si>
    <t>Reference Substance:</t>
  </si>
  <si>
    <t>PANALIFE 500 MG TABLETS</t>
  </si>
  <si>
    <t>% age Purity:</t>
  </si>
  <si>
    <t>NDQD201605931</t>
  </si>
  <si>
    <t>Weight (mg):</t>
  </si>
  <si>
    <t>Paracetamol</t>
  </si>
  <si>
    <t>Standard Conc (mg/mL):</t>
  </si>
  <si>
    <t>Each tablet contains Paracetamol 500 mg.</t>
  </si>
  <si>
    <t>2016-05-13 07:31:14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</si>
  <si>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</si>
  <si>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</si>
  <si>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</si>
  <si>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</si>
  <si>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</si>
  <si>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</si>
  <si>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</si>
  <si>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</si>
  <si>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</si>
  <si>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</si>
  <si>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</si>
  <si>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</si>
  <si>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</si>
  <si>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</si>
  <si>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</si>
  <si>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</si>
  <si>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</si>
  <si>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</si>
  <si>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</si>
  <si>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</si>
  <si>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</si>
  <si>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</si>
  <si>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</si>
  <si>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</si>
  <si>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</si>
  <si>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</si>
  <si>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</si>
  <si>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</si>
  <si>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</si>
  <si>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</si>
  <si>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</si>
  <si>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</si>
  <si>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</si>
  <si>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</si>
  <si>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</si>
  <si>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</si>
  <si>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</si>
  <si>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</si>
  <si>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</si>
  <si>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</si>
  <si>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</si>
  <si>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</si>
  <si>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</si>
  <si>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</si>
  <si>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</si>
  <si>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</si>
  <si>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</si>
  <si>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</si>
  <si>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</si>
  <si>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</si>
  <si>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</si>
  <si>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</si>
  <si>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</si>
  <si>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</si>
  <si>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</si>
  <si>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</si>
  <si>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</si>
  <si>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</si>
  <si>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</si>
  <si>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</si>
  <si>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</si>
  <si>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</si>
  <si>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</si>
  <si>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</si>
  <si>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</si>
  <si>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</si>
  <si>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</si>
  <si>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</si>
  <si>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</si>
  <si>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</si>
  <si>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</si>
  <si>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</si>
  <si>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</si>
  <si>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</si>
  <si>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</si>
  <si>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</si>
  <si>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</si>
  <si>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</si>
  <si>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</si>
  <si>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</si>
  <si>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</si>
  <si>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</si>
  <si>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</si>
  <si>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</si>
  <si>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</si>
  <si>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</si>
  <si>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</si>
  <si>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</si>
  <si>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</si>
  <si>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</si>
  <si>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</si>
  <si>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</si>
  <si>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</si>
  <si>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</si>
  <si>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</si>
  <si>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</si>
  <si>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</si>
  <si>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</si>
  <si>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</si>
  <si>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</si>
  <si>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</si>
  <si>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</si>
  <si>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</si>
  <si>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</si>
  <si>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</si>
  <si>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</si>
  <si>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</si>
  <si>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</si>
  <si>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</si>
  <si>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P1-3</t>
  </si>
  <si>
    <t>RUTTO/JOYFRIDA</t>
  </si>
  <si>
    <t>18/07/2016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</si>
  <si>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NLT 1000</t>
    </r>
  </si>
  <si>
    <t>PANALIFE 500 mg TABLETS</t>
  </si>
  <si>
    <t>Average Tablet Weight (mg):</t>
  </si>
  <si>
    <t>Average Normalised Absorbance: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</si>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</sst>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35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0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6" fontId="13" fillId="3" borderId="40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0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2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4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6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11" fillId="2" borderId="50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0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6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13" fillId="3" borderId="16" xfId="0" applyNumberFormat="1" applyFont="1" applyFill="1" applyBorder="1" applyAlignment="1" applyProtection="1">
      <alignment horizontal="center"/>
      <protection locked="0"/>
    </xf>
    <xf numFmtId="0" fontId="5" fillId="2" borderId="57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8" fillId="2" borderId="22" xfId="0" applyFont="1" applyFill="1" applyBorder="1"/>
    <xf numFmtId="10" fontId="15" fillId="2" borderId="24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3" fillId="3" borderId="44" xfId="0" applyFont="1" applyFill="1" applyBorder="1" applyAlignment="1" applyProtection="1">
      <alignment horizontal="center"/>
      <protection locked="0"/>
    </xf>
    <xf numFmtId="0" fontId="13" fillId="3" borderId="58" xfId="0" applyFont="1" applyFill="1" applyBorder="1" applyAlignment="1" applyProtection="1">
      <alignment horizontal="center"/>
      <protection locked="0"/>
    </xf>
    <xf numFmtId="171" fontId="11" fillId="2" borderId="59" xfId="0" applyNumberFormat="1" applyFont="1" applyFill="1" applyBorder="1" applyAlignment="1">
      <alignment horizontal="center"/>
    </xf>
    <xf numFmtId="0" fontId="13" fillId="3" borderId="60" xfId="0" applyFont="1" applyFill="1" applyBorder="1" applyAlignment="1" applyProtection="1">
      <alignment horizontal="center"/>
      <protection locked="0"/>
    </xf>
    <xf numFmtId="171" fontId="11" fillId="2" borderId="61" xfId="0" applyNumberFormat="1" applyFont="1" applyFill="1" applyBorder="1" applyAlignment="1">
      <alignment horizontal="center"/>
    </xf>
    <xf numFmtId="0" fontId="13" fillId="3" borderId="62" xfId="0" applyFont="1" applyFill="1" applyBorder="1" applyAlignment="1" applyProtection="1">
      <alignment horizontal="center"/>
      <protection locked="0"/>
    </xf>
    <xf numFmtId="171" fontId="11" fillId="2" borderId="63" xfId="0" applyNumberFormat="1" applyFont="1" applyFill="1" applyBorder="1" applyAlignment="1">
      <alignment horizontal="center"/>
    </xf>
    <xf numFmtId="1" fontId="12" fillId="6" borderId="64" xfId="0" applyNumberFormat="1" applyFont="1" applyFill="1" applyBorder="1" applyAlignment="1">
      <alignment horizontal="center"/>
    </xf>
    <xf numFmtId="171" fontId="12" fillId="6" borderId="65" xfId="0" applyNumberFormat="1" applyFont="1" applyFill="1" applyBorder="1" applyAlignment="1">
      <alignment horizontal="center"/>
    </xf>
    <xf numFmtId="0" fontId="12" fillId="2" borderId="66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67" xfId="0" applyFont="1" applyFill="1" applyBorder="1" applyAlignment="1">
      <alignment horizontal="center"/>
    </xf>
    <xf numFmtId="0" fontId="12" fillId="2" borderId="63" xfId="0" applyFont="1" applyFill="1" applyBorder="1" applyAlignment="1">
      <alignment horizontal="center"/>
    </xf>
    <xf numFmtId="0" fontId="12" fillId="2" borderId="68" xfId="0" applyFont="1" applyFill="1" applyBorder="1" applyAlignment="1">
      <alignment horizontal="center"/>
    </xf>
    <xf numFmtId="0" fontId="12" fillId="2" borderId="69" xfId="0" applyFont="1" applyFill="1" applyBorder="1" applyAlignment="1">
      <alignment horizontal="center"/>
    </xf>
    <xf numFmtId="0" fontId="12" fillId="2" borderId="70" xfId="0" applyFont="1" applyFill="1" applyBorder="1" applyAlignment="1">
      <alignment horizontal="center"/>
    </xf>
    <xf numFmtId="164" fontId="12" fillId="6" borderId="48" xfId="0" applyNumberFormat="1" applyFont="1" applyFill="1" applyBorder="1" applyAlignment="1">
      <alignment horizontal="center"/>
    </xf>
    <xf numFmtId="164" fontId="12" fillId="6" borderId="49" xfId="0" applyNumberFormat="1" applyFont="1" applyFill="1" applyBorder="1" applyAlignment="1">
      <alignment horizontal="center"/>
    </xf>
    <xf numFmtId="166" fontId="12" fillId="6" borderId="38" xfId="0" applyNumberFormat="1" applyFont="1" applyFill="1" applyBorder="1" applyAlignment="1">
      <alignment horizontal="center"/>
    </xf>
    <xf numFmtId="166" fontId="11" fillId="2" borderId="30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66" fontId="11" fillId="2" borderId="36" xfId="0" applyNumberFormat="1" applyFont="1" applyFill="1" applyBorder="1" applyAlignment="1">
      <alignment horizontal="center"/>
    </xf>
    <xf numFmtId="166" fontId="12" fillId="6" borderId="15" xfId="0" applyNumberFormat="1" applyFont="1" applyFill="1" applyBorder="1" applyAlignment="1">
      <alignment horizontal="center"/>
    </xf>
    <xf numFmtId="166" fontId="12" fillId="7" borderId="16" xfId="0" applyNumberFormat="1" applyFont="1" applyFill="1" applyBorder="1" applyAlignment="1">
      <alignment horizontal="center"/>
    </xf>
    <xf numFmtId="2" fontId="13" fillId="3" borderId="51" xfId="0" applyNumberFormat="1" applyFont="1" applyFill="1" applyBorder="1" applyAlignment="1" applyProtection="1">
      <alignment horizontal="center"/>
      <protection locked="0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  <xf numFmtId="10" fontId="2" fillId="2" borderId="0" xfId="1" applyNumberFormat="1" applyFont="1" applyFill="1"/>
    <xf numFmtId="171" fontId="11" fillId="2" borderId="72" xfId="0" applyNumberFormat="1" applyFont="1" applyFill="1" applyBorder="1" applyAlignment="1">
      <alignment horizontal="right"/>
    </xf>
    <xf numFmtId="0" fontId="11" fillId="2" borderId="73" xfId="0" applyFont="1" applyFill="1" applyBorder="1" applyAlignment="1">
      <alignment horizontal="right"/>
    </xf>
    <xf numFmtId="0" fontId="11" fillId="2" borderId="71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C61" sqref="C61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67" t="s">
        <v>0</v>
      </c>
      <c r="B15" s="267"/>
      <c r="C15" s="267"/>
      <c r="D15" s="267"/>
      <c r="E15" s="26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126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99.84</v>
      </c>
      <c r="C19" s="10"/>
      <c r="D19" s="10"/>
      <c r="E19" s="10"/>
    </row>
    <row r="20" spans="1:6" ht="16.5" customHeight="1" x14ac:dyDescent="0.3">
      <c r="A20" s="7" t="s">
        <v>8</v>
      </c>
      <c r="B20" s="12">
        <v>9.6999999999999993</v>
      </c>
      <c r="C20" s="10"/>
      <c r="D20" s="10"/>
      <c r="E20" s="10"/>
    </row>
    <row r="21" spans="1:6" ht="16.5" customHeight="1" x14ac:dyDescent="0.3">
      <c r="A21" s="7" t="s">
        <v>10</v>
      </c>
      <c r="B21" s="13">
        <f>9.7/100*10/100</f>
        <v>9.6999999999999986E-3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6465739</v>
      </c>
      <c r="C24" s="18">
        <v>8707.18</v>
      </c>
      <c r="D24" s="19">
        <v>1.08</v>
      </c>
      <c r="E24" s="20">
        <v>5.08</v>
      </c>
    </row>
    <row r="25" spans="1:6" ht="16.5" customHeight="1" x14ac:dyDescent="0.3">
      <c r="A25" s="17">
        <v>2</v>
      </c>
      <c r="B25" s="18">
        <v>6434882</v>
      </c>
      <c r="C25" s="18">
        <v>8680.0499999999993</v>
      </c>
      <c r="D25" s="19">
        <v>1.1000000000000001</v>
      </c>
      <c r="E25" s="19">
        <v>5.07</v>
      </c>
    </row>
    <row r="26" spans="1:6" ht="16.5" customHeight="1" x14ac:dyDescent="0.3">
      <c r="A26" s="17">
        <v>3</v>
      </c>
      <c r="B26" s="18">
        <v>6467855</v>
      </c>
      <c r="C26" s="18">
        <v>8639.36</v>
      </c>
      <c r="D26" s="19">
        <v>1.07</v>
      </c>
      <c r="E26" s="19">
        <v>5.07</v>
      </c>
    </row>
    <row r="27" spans="1:6" ht="16.5" customHeight="1" x14ac:dyDescent="0.3">
      <c r="A27" s="17">
        <v>4</v>
      </c>
      <c r="B27" s="18">
        <v>6437517</v>
      </c>
      <c r="C27" s="19">
        <v>8671.1</v>
      </c>
      <c r="D27" s="19">
        <v>1.08</v>
      </c>
      <c r="E27" s="19">
        <v>5.07</v>
      </c>
    </row>
    <row r="28" spans="1:6" ht="16.5" customHeight="1" x14ac:dyDescent="0.3">
      <c r="A28" s="17">
        <v>5</v>
      </c>
      <c r="B28" s="18">
        <v>6462298</v>
      </c>
      <c r="C28" s="18">
        <v>8625.3700000000008</v>
      </c>
      <c r="D28" s="19">
        <v>1.07</v>
      </c>
      <c r="E28" s="19">
        <v>5.07</v>
      </c>
    </row>
    <row r="29" spans="1:6" ht="16.5" customHeight="1" x14ac:dyDescent="0.3">
      <c r="A29" s="17">
        <v>6</v>
      </c>
      <c r="B29" s="21">
        <v>6460792</v>
      </c>
      <c r="C29" s="21">
        <v>8636.06</v>
      </c>
      <c r="D29" s="22">
        <v>1.0900000000000001</v>
      </c>
      <c r="E29" s="22">
        <v>5.07</v>
      </c>
    </row>
    <row r="30" spans="1:6" ht="16.5" customHeight="1" x14ac:dyDescent="0.3">
      <c r="A30" s="23" t="s">
        <v>18</v>
      </c>
      <c r="B30" s="24">
        <f>AVERAGE(B24:B29)</f>
        <v>6454847.166666667</v>
      </c>
      <c r="C30" s="26">
        <f>AVERAGE(C24:C29)</f>
        <v>8659.8533333333344</v>
      </c>
      <c r="D30" s="26">
        <f>AVERAGE(D24:D29)</f>
        <v>1.0816666666666668</v>
      </c>
      <c r="E30" s="26">
        <f>AVERAGE(E24:E29)</f>
        <v>5.0716666666666663</v>
      </c>
    </row>
    <row r="31" spans="1:6" ht="16.5" customHeight="1" x14ac:dyDescent="0.3">
      <c r="A31" s="27" t="s">
        <v>19</v>
      </c>
      <c r="B31" s="28">
        <f>(STDEV(B24:B29)/B30)</f>
        <v>2.274388929650041E-3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125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0.75" customHeight="1" x14ac:dyDescent="0.3">
      <c r="A38" s="5" t="s">
        <v>1</v>
      </c>
      <c r="B38" s="6" t="s">
        <v>25</v>
      </c>
    </row>
    <row r="39" spans="1:6" ht="16.5" hidden="1" customHeight="1" x14ac:dyDescent="0.3">
      <c r="A39" s="11" t="s">
        <v>4</v>
      </c>
      <c r="B39" s="8"/>
      <c r="C39" s="10"/>
      <c r="D39" s="10"/>
      <c r="E39" s="10"/>
    </row>
    <row r="40" spans="1:6" ht="16.5" hidden="1" customHeight="1" x14ac:dyDescent="0.3">
      <c r="A40" s="11" t="s">
        <v>6</v>
      </c>
      <c r="C40" s="10"/>
      <c r="D40" s="10"/>
      <c r="E40" s="10"/>
    </row>
    <row r="41" spans="1:6" ht="16.5" hidden="1" customHeight="1" x14ac:dyDescent="0.3">
      <c r="A41" s="7" t="s">
        <v>8</v>
      </c>
      <c r="B41" s="12"/>
      <c r="C41" s="10"/>
      <c r="D41" s="10"/>
      <c r="E41" s="10"/>
    </row>
    <row r="42" spans="1:6" ht="16.5" hidden="1" customHeight="1" x14ac:dyDescent="0.3">
      <c r="A42" s="7" t="s">
        <v>10</v>
      </c>
      <c r="B42" s="13"/>
      <c r="C42" s="10"/>
      <c r="D42" s="10"/>
      <c r="E42" s="10"/>
    </row>
    <row r="43" spans="1:6" ht="0.75" customHeight="1" x14ac:dyDescent="0.3">
      <c r="A43" s="10"/>
      <c r="B43" s="10"/>
      <c r="C43" s="10"/>
      <c r="D43" s="10"/>
      <c r="E43" s="10"/>
    </row>
    <row r="44" spans="1:6" ht="16.5" hidden="1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hidden="1" customHeight="1" x14ac:dyDescent="0.3">
      <c r="A45" s="17">
        <v>1</v>
      </c>
      <c r="B45" s="18"/>
      <c r="C45" s="18"/>
      <c r="D45" s="19"/>
      <c r="E45" s="20"/>
    </row>
    <row r="46" spans="1:6" ht="16.5" hidden="1" customHeight="1" x14ac:dyDescent="0.3">
      <c r="A46" s="17">
        <v>2</v>
      </c>
      <c r="B46" s="18"/>
      <c r="C46" s="18"/>
      <c r="D46" s="19"/>
      <c r="E46" s="19"/>
    </row>
    <row r="47" spans="1:6" ht="16.5" hidden="1" customHeight="1" x14ac:dyDescent="0.3">
      <c r="A47" s="17">
        <v>3</v>
      </c>
      <c r="B47" s="18"/>
      <c r="C47" s="18"/>
      <c r="D47" s="19"/>
      <c r="E47" s="19"/>
    </row>
    <row r="48" spans="1:6" ht="16.5" hidden="1" customHeight="1" x14ac:dyDescent="0.3">
      <c r="A48" s="17">
        <v>4</v>
      </c>
      <c r="B48" s="18"/>
      <c r="C48" s="18"/>
      <c r="D48" s="19"/>
      <c r="E48" s="19"/>
    </row>
    <row r="49" spans="1:7" ht="16.5" hidden="1" customHeight="1" x14ac:dyDescent="0.3">
      <c r="A49" s="17">
        <v>5</v>
      </c>
      <c r="B49" s="18"/>
      <c r="C49" s="18"/>
      <c r="D49" s="19"/>
      <c r="E49" s="19"/>
    </row>
    <row r="50" spans="1:7" ht="16.5" hidden="1" customHeight="1" x14ac:dyDescent="0.3">
      <c r="A50" s="17">
        <v>6</v>
      </c>
      <c r="B50" s="21"/>
      <c r="C50" s="21"/>
      <c r="D50" s="22"/>
      <c r="E50" s="22"/>
    </row>
    <row r="51" spans="1:7" ht="16.5" hidden="1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hidden="1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hidden="1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hidden="1" customHeight="1" x14ac:dyDescent="0.3">
      <c r="A54" s="10"/>
      <c r="B54" s="10"/>
      <c r="C54" s="10"/>
      <c r="D54" s="10"/>
      <c r="E54" s="36"/>
    </row>
    <row r="55" spans="1:7" s="2" customFormat="1" ht="16.5" hidden="1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hidden="1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hidden="1" customHeight="1" x14ac:dyDescent="0.3">
      <c r="A57" s="11"/>
      <c r="B57" s="40" t="s">
        <v>24</v>
      </c>
      <c r="C57" s="38"/>
      <c r="D57" s="39"/>
      <c r="E57" s="38"/>
    </row>
    <row r="58" spans="1:7" ht="14.25" hidden="1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68" t="s">
        <v>26</v>
      </c>
      <c r="C59" s="26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123</v>
      </c>
      <c r="C60" s="48"/>
      <c r="E60" s="48" t="s">
        <v>124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2" workbookViewId="0">
      <selection activeCell="E45" sqref="E45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72" t="s">
        <v>31</v>
      </c>
      <c r="B11" s="273"/>
      <c r="C11" s="273"/>
      <c r="D11" s="273"/>
      <c r="E11" s="273"/>
      <c r="F11" s="274"/>
      <c r="G11" s="91"/>
    </row>
    <row r="12" spans="1:7" ht="16.5" customHeight="1" x14ac:dyDescent="0.3">
      <c r="A12" s="271" t="s">
        <v>32</v>
      </c>
      <c r="B12" s="271"/>
      <c r="C12" s="271"/>
      <c r="D12" s="271"/>
      <c r="E12" s="271"/>
      <c r="F12" s="271"/>
      <c r="G12" s="90"/>
    </row>
    <row r="14" spans="1:7" ht="16.5" customHeight="1" x14ac:dyDescent="0.3">
      <c r="A14" s="276" t="s">
        <v>33</v>
      </c>
      <c r="B14" s="276"/>
      <c r="C14" s="60" t="s">
        <v>5</v>
      </c>
    </row>
    <row r="15" spans="1:7" ht="16.5" customHeight="1" x14ac:dyDescent="0.3">
      <c r="A15" s="276" t="s">
        <v>34</v>
      </c>
      <c r="B15" s="276"/>
      <c r="C15" s="60" t="s">
        <v>7</v>
      </c>
    </row>
    <row r="16" spans="1:7" ht="16.5" customHeight="1" x14ac:dyDescent="0.3">
      <c r="A16" s="276" t="s">
        <v>35</v>
      </c>
      <c r="B16" s="276"/>
      <c r="C16" s="60" t="s">
        <v>9</v>
      </c>
    </row>
    <row r="17" spans="1:5" ht="16.5" customHeight="1" x14ac:dyDescent="0.3">
      <c r="A17" s="276" t="s">
        <v>36</v>
      </c>
      <c r="B17" s="276"/>
      <c r="C17" s="60" t="s">
        <v>11</v>
      </c>
    </row>
    <row r="18" spans="1:5" ht="16.5" customHeight="1" x14ac:dyDescent="0.3">
      <c r="A18" s="276" t="s">
        <v>37</v>
      </c>
      <c r="B18" s="276"/>
      <c r="C18" s="97" t="s">
        <v>12</v>
      </c>
    </row>
    <row r="19" spans="1:5" ht="16.5" customHeight="1" x14ac:dyDescent="0.3">
      <c r="A19" s="276" t="s">
        <v>38</v>
      </c>
      <c r="B19" s="27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71" t="s">
        <v>1</v>
      </c>
      <c r="B21" s="271"/>
      <c r="C21" s="59" t="s">
        <v>39</v>
      </c>
      <c r="D21" s="66"/>
    </row>
    <row r="22" spans="1:5" ht="15.75" customHeight="1" x14ac:dyDescent="0.3">
      <c r="A22" s="275"/>
      <c r="B22" s="275"/>
      <c r="C22" s="57"/>
      <c r="D22" s="275"/>
      <c r="E22" s="27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649.64</v>
      </c>
      <c r="D24" s="87">
        <f t="shared" ref="D24:D43" si="0">(C24-$C$46)/$C$46</f>
        <v>-2.0507699988477636E-3</v>
      </c>
      <c r="E24" s="53"/>
    </row>
    <row r="25" spans="1:5" ht="15.75" customHeight="1" x14ac:dyDescent="0.3">
      <c r="C25" s="95">
        <v>647.49</v>
      </c>
      <c r="D25" s="88">
        <f t="shared" si="0"/>
        <v>-5.3535081992394495E-3</v>
      </c>
      <c r="E25" s="53"/>
    </row>
    <row r="26" spans="1:5" ht="15.75" customHeight="1" x14ac:dyDescent="0.3">
      <c r="C26" s="95">
        <v>653.59</v>
      </c>
      <c r="D26" s="88">
        <f t="shared" si="0"/>
        <v>4.0170513460580258E-3</v>
      </c>
      <c r="E26" s="53"/>
    </row>
    <row r="27" spans="1:5" ht="15.75" customHeight="1" x14ac:dyDescent="0.3">
      <c r="C27" s="95">
        <v>645.52</v>
      </c>
      <c r="D27" s="88">
        <f t="shared" si="0"/>
        <v>-8.3797380851798123E-3</v>
      </c>
      <c r="E27" s="53"/>
    </row>
    <row r="28" spans="1:5" ht="15.75" customHeight="1" x14ac:dyDescent="0.3">
      <c r="C28" s="95">
        <v>649.25</v>
      </c>
      <c r="D28" s="88">
        <f t="shared" si="0"/>
        <v>-2.6498713468257758E-3</v>
      </c>
      <c r="E28" s="53"/>
    </row>
    <row r="29" spans="1:5" ht="15.75" customHeight="1" x14ac:dyDescent="0.3">
      <c r="C29" s="95">
        <v>646.04999999999995</v>
      </c>
      <c r="D29" s="88">
        <f t="shared" si="0"/>
        <v>-7.5655747148507318E-3</v>
      </c>
      <c r="E29" s="53"/>
    </row>
    <row r="30" spans="1:5" ht="15.75" customHeight="1" x14ac:dyDescent="0.3">
      <c r="C30" s="95">
        <v>649.21</v>
      </c>
      <c r="D30" s="88">
        <f t="shared" si="0"/>
        <v>-2.711317638926031E-3</v>
      </c>
      <c r="E30" s="53"/>
    </row>
    <row r="31" spans="1:5" ht="15.75" customHeight="1" x14ac:dyDescent="0.3">
      <c r="C31" s="95">
        <v>651.37</v>
      </c>
      <c r="D31" s="88">
        <f t="shared" si="0"/>
        <v>6.0678213449071863E-4</v>
      </c>
      <c r="E31" s="53"/>
    </row>
    <row r="32" spans="1:5" ht="15.75" customHeight="1" x14ac:dyDescent="0.3">
      <c r="C32" s="95">
        <v>647.09</v>
      </c>
      <c r="D32" s="88">
        <f t="shared" si="0"/>
        <v>-5.967971120242525E-3</v>
      </c>
      <c r="E32" s="53"/>
    </row>
    <row r="33" spans="1:7" ht="15.75" customHeight="1" x14ac:dyDescent="0.3">
      <c r="C33" s="95">
        <v>652.22</v>
      </c>
      <c r="D33" s="88">
        <f t="shared" si="0"/>
        <v>1.9125158416223641E-3</v>
      </c>
      <c r="E33" s="53"/>
    </row>
    <row r="34" spans="1:7" ht="15.75" customHeight="1" x14ac:dyDescent="0.3">
      <c r="C34" s="95">
        <v>650.71</v>
      </c>
      <c r="D34" s="88">
        <f t="shared" si="0"/>
        <v>-4.0708168516436529E-4</v>
      </c>
      <c r="E34" s="53"/>
    </row>
    <row r="35" spans="1:7" ht="15.75" customHeight="1" x14ac:dyDescent="0.3">
      <c r="C35" s="95">
        <v>651.59</v>
      </c>
      <c r="D35" s="88">
        <f t="shared" si="0"/>
        <v>9.4473674104247147E-4</v>
      </c>
      <c r="E35" s="53"/>
    </row>
    <row r="36" spans="1:7" ht="15.75" customHeight="1" x14ac:dyDescent="0.3">
      <c r="C36" s="95">
        <v>648.6</v>
      </c>
      <c r="D36" s="88">
        <f t="shared" si="0"/>
        <v>-3.6483735934557957E-3</v>
      </c>
      <c r="E36" s="53"/>
    </row>
    <row r="37" spans="1:7" ht="15.75" customHeight="1" x14ac:dyDescent="0.3">
      <c r="C37" s="95">
        <v>653.5</v>
      </c>
      <c r="D37" s="88">
        <f t="shared" si="0"/>
        <v>3.8787971888322769E-3</v>
      </c>
      <c r="E37" s="53"/>
    </row>
    <row r="38" spans="1:7" ht="15.75" customHeight="1" x14ac:dyDescent="0.3">
      <c r="C38" s="95">
        <v>656.56</v>
      </c>
      <c r="D38" s="88">
        <f t="shared" si="0"/>
        <v>8.5794385345059898E-3</v>
      </c>
      <c r="E38" s="53"/>
    </row>
    <row r="39" spans="1:7" ht="15.75" customHeight="1" x14ac:dyDescent="0.3">
      <c r="C39" s="95">
        <v>649.88</v>
      </c>
      <c r="D39" s="88">
        <f t="shared" si="0"/>
        <v>-1.6820922462458831E-3</v>
      </c>
      <c r="E39" s="53"/>
    </row>
    <row r="40" spans="1:7" ht="15.75" customHeight="1" x14ac:dyDescent="0.3">
      <c r="C40" s="95">
        <v>660.99</v>
      </c>
      <c r="D40" s="88">
        <f t="shared" si="0"/>
        <v>1.538461538461554E-2</v>
      </c>
      <c r="E40" s="53"/>
    </row>
    <row r="41" spans="1:7" ht="15.75" customHeight="1" x14ac:dyDescent="0.3">
      <c r="C41" s="95">
        <v>655.56</v>
      </c>
      <c r="D41" s="88">
        <f t="shared" si="0"/>
        <v>7.0432812319982134E-3</v>
      </c>
      <c r="E41" s="53"/>
    </row>
    <row r="42" spans="1:7" ht="15.75" customHeight="1" x14ac:dyDescent="0.3">
      <c r="C42" s="95">
        <v>649.48</v>
      </c>
      <c r="D42" s="88">
        <f t="shared" si="0"/>
        <v>-2.2965551672489591E-3</v>
      </c>
      <c r="E42" s="53"/>
    </row>
    <row r="43" spans="1:7" ht="16.5" customHeight="1" x14ac:dyDescent="0.3">
      <c r="C43" s="96">
        <v>651.20000000000005</v>
      </c>
      <c r="D43" s="89">
        <f t="shared" si="0"/>
        <v>3.4563539306445941E-4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13019.499999999998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650.97499999999991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69">
        <f>C46</f>
        <v>650.97499999999991</v>
      </c>
      <c r="C49" s="93">
        <f>-IF(C46&lt;=80,10%,IF(C46&lt;250,7.5%,5%))</f>
        <v>-0.05</v>
      </c>
      <c r="D49" s="81">
        <f>IF(C46&lt;=80,C46*0.9,IF(C46&lt;250,C46*0.925,C46*0.95))</f>
        <v>618.42624999999987</v>
      </c>
    </row>
    <row r="50" spans="1:6" ht="17.25" customHeight="1" x14ac:dyDescent="0.3">
      <c r="B50" s="270"/>
      <c r="C50" s="94">
        <f>IF(C46&lt;=80, 10%, IF(C46&lt;250, 7.5%, 5%))</f>
        <v>0.05</v>
      </c>
      <c r="D50" s="81">
        <f>IF(C46&lt;=80, C46*1.1, IF(C46&lt;250, C46*1.075, C46*1.05))</f>
        <v>683.52374999999995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90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7" zoomScale="70" zoomScaleNormal="70" zoomScalePageLayoutView="50" workbookViewId="0">
      <selection activeCell="G112" sqref="G112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277" t="s">
        <v>45</v>
      </c>
      <c r="B1" s="277"/>
      <c r="C1" s="277"/>
      <c r="D1" s="277"/>
      <c r="E1" s="277"/>
      <c r="F1" s="277"/>
      <c r="G1" s="277"/>
      <c r="H1" s="277"/>
      <c r="I1" s="277"/>
    </row>
    <row r="2" spans="1:9" ht="18.75" customHeight="1" x14ac:dyDescent="0.3">
      <c r="A2" s="277"/>
      <c r="B2" s="277"/>
      <c r="C2" s="277"/>
      <c r="D2" s="277"/>
      <c r="E2" s="277"/>
      <c r="F2" s="277"/>
      <c r="G2" s="277"/>
      <c r="H2" s="277"/>
      <c r="I2" s="277"/>
    </row>
    <row r="3" spans="1:9" ht="18.75" customHeight="1" x14ac:dyDescent="0.3">
      <c r="A3" s="277"/>
      <c r="B3" s="277"/>
      <c r="C3" s="277"/>
      <c r="D3" s="277"/>
      <c r="E3" s="277"/>
      <c r="F3" s="277"/>
      <c r="G3" s="277"/>
      <c r="H3" s="277"/>
      <c r="I3" s="277"/>
    </row>
    <row r="4" spans="1:9" ht="18.75" customHeight="1" x14ac:dyDescent="0.3">
      <c r="A4" s="277"/>
      <c r="B4" s="277"/>
      <c r="C4" s="277"/>
      <c r="D4" s="277"/>
      <c r="E4" s="277"/>
      <c r="F4" s="277"/>
      <c r="G4" s="277"/>
      <c r="H4" s="277"/>
      <c r="I4" s="277"/>
    </row>
    <row r="5" spans="1:9" ht="18.75" customHeight="1" x14ac:dyDescent="0.3">
      <c r="A5" s="277"/>
      <c r="B5" s="277"/>
      <c r="C5" s="277"/>
      <c r="D5" s="277"/>
      <c r="E5" s="277"/>
      <c r="F5" s="277"/>
      <c r="G5" s="277"/>
      <c r="H5" s="277"/>
      <c r="I5" s="277"/>
    </row>
    <row r="6" spans="1:9" ht="18.75" customHeight="1" x14ac:dyDescent="0.3">
      <c r="A6" s="277"/>
      <c r="B6" s="277"/>
      <c r="C6" s="277"/>
      <c r="D6" s="277"/>
      <c r="E6" s="277"/>
      <c r="F6" s="277"/>
      <c r="G6" s="277"/>
      <c r="H6" s="277"/>
      <c r="I6" s="277"/>
    </row>
    <row r="7" spans="1:9" ht="18.75" customHeight="1" x14ac:dyDescent="0.3">
      <c r="A7" s="277"/>
      <c r="B7" s="277"/>
      <c r="C7" s="277"/>
      <c r="D7" s="277"/>
      <c r="E7" s="277"/>
      <c r="F7" s="277"/>
      <c r="G7" s="277"/>
      <c r="H7" s="277"/>
      <c r="I7" s="277"/>
    </row>
    <row r="8" spans="1:9" x14ac:dyDescent="0.3">
      <c r="A8" s="278" t="s">
        <v>46</v>
      </c>
      <c r="B8" s="278"/>
      <c r="C8" s="278"/>
      <c r="D8" s="278"/>
      <c r="E8" s="278"/>
      <c r="F8" s="278"/>
      <c r="G8" s="278"/>
      <c r="H8" s="278"/>
      <c r="I8" s="278"/>
    </row>
    <row r="9" spans="1:9" x14ac:dyDescent="0.3">
      <c r="A9" s="278"/>
      <c r="B9" s="278"/>
      <c r="C9" s="278"/>
      <c r="D9" s="278"/>
      <c r="E9" s="278"/>
      <c r="F9" s="278"/>
      <c r="G9" s="278"/>
      <c r="H9" s="278"/>
      <c r="I9" s="278"/>
    </row>
    <row r="10" spans="1:9" x14ac:dyDescent="0.3">
      <c r="A10" s="278"/>
      <c r="B10" s="278"/>
      <c r="C10" s="278"/>
      <c r="D10" s="278"/>
      <c r="E10" s="278"/>
      <c r="F10" s="278"/>
      <c r="G10" s="278"/>
      <c r="H10" s="278"/>
      <c r="I10" s="278"/>
    </row>
    <row r="11" spans="1:9" x14ac:dyDescent="0.3">
      <c r="A11" s="278"/>
      <c r="B11" s="278"/>
      <c r="C11" s="278"/>
      <c r="D11" s="278"/>
      <c r="E11" s="278"/>
      <c r="F11" s="278"/>
      <c r="G11" s="278"/>
      <c r="H11" s="278"/>
      <c r="I11" s="278"/>
    </row>
    <row r="12" spans="1:9" x14ac:dyDescent="0.3">
      <c r="A12" s="278"/>
      <c r="B12" s="278"/>
      <c r="C12" s="278"/>
      <c r="D12" s="278"/>
      <c r="E12" s="278"/>
      <c r="F12" s="278"/>
      <c r="G12" s="278"/>
      <c r="H12" s="278"/>
      <c r="I12" s="278"/>
    </row>
    <row r="13" spans="1:9" x14ac:dyDescent="0.3">
      <c r="A13" s="278"/>
      <c r="B13" s="278"/>
      <c r="C13" s="278"/>
      <c r="D13" s="278"/>
      <c r="E13" s="278"/>
      <c r="F13" s="278"/>
      <c r="G13" s="278"/>
      <c r="H13" s="278"/>
      <c r="I13" s="278"/>
    </row>
    <row r="14" spans="1:9" x14ac:dyDescent="0.3">
      <c r="A14" s="278"/>
      <c r="B14" s="278"/>
      <c r="C14" s="278"/>
      <c r="D14" s="278"/>
      <c r="E14" s="278"/>
      <c r="F14" s="278"/>
      <c r="G14" s="278"/>
      <c r="H14" s="278"/>
      <c r="I14" s="278"/>
    </row>
    <row r="15" spans="1:9" ht="19.5" customHeight="1" x14ac:dyDescent="0.35">
      <c r="A15" s="98"/>
    </row>
    <row r="16" spans="1:9" ht="19.5" customHeight="1" x14ac:dyDescent="0.35">
      <c r="A16" s="310" t="s">
        <v>31</v>
      </c>
      <c r="B16" s="311"/>
      <c r="C16" s="311"/>
      <c r="D16" s="311"/>
      <c r="E16" s="311"/>
      <c r="F16" s="311"/>
      <c r="G16" s="311"/>
      <c r="H16" s="312"/>
    </row>
    <row r="17" spans="1:14" ht="20.25" customHeight="1" x14ac:dyDescent="0.3">
      <c r="A17" s="313" t="s">
        <v>47</v>
      </c>
      <c r="B17" s="313"/>
      <c r="C17" s="313"/>
      <c r="D17" s="313"/>
      <c r="E17" s="313"/>
      <c r="F17" s="313"/>
      <c r="G17" s="313"/>
      <c r="H17" s="313"/>
    </row>
    <row r="18" spans="1:14" ht="26.25" customHeight="1" x14ac:dyDescent="0.5">
      <c r="A18" s="100" t="s">
        <v>33</v>
      </c>
      <c r="B18" s="309" t="s">
        <v>126</v>
      </c>
      <c r="C18" s="309"/>
      <c r="D18" s="253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66">
        <v>29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314" t="s">
        <v>9</v>
      </c>
      <c r="C20" s="314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314" t="s">
        <v>11</v>
      </c>
      <c r="C21" s="314"/>
      <c r="D21" s="314"/>
      <c r="E21" s="314"/>
      <c r="F21" s="314"/>
      <c r="G21" s="314"/>
      <c r="H21" s="314"/>
      <c r="I21" s="104"/>
    </row>
    <row r="22" spans="1:14" ht="26.25" customHeight="1" x14ac:dyDescent="0.5">
      <c r="A22" s="100" t="s">
        <v>37</v>
      </c>
      <c r="B22" s="105">
        <v>42565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>
        <v>42566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309" t="s">
        <v>9</v>
      </c>
      <c r="C26" s="309"/>
    </row>
    <row r="27" spans="1:14" ht="26.25" customHeight="1" x14ac:dyDescent="0.5">
      <c r="A27" s="109" t="s">
        <v>48</v>
      </c>
      <c r="B27" s="308" t="s">
        <v>122</v>
      </c>
      <c r="C27" s="308"/>
    </row>
    <row r="28" spans="1:14" ht="27" customHeight="1" x14ac:dyDescent="0.45">
      <c r="A28" s="109" t="s">
        <v>6</v>
      </c>
      <c r="B28" s="110">
        <v>99.84</v>
      </c>
    </row>
    <row r="29" spans="1:14" s="14" customFormat="1" ht="27" customHeight="1" x14ac:dyDescent="0.5">
      <c r="A29" s="109" t="s">
        <v>49</v>
      </c>
      <c r="B29" s="111">
        <v>0</v>
      </c>
      <c r="C29" s="285" t="s">
        <v>50</v>
      </c>
      <c r="D29" s="286"/>
      <c r="E29" s="286"/>
      <c r="F29" s="286"/>
      <c r="G29" s="287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99.84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288" t="s">
        <v>53</v>
      </c>
      <c r="D31" s="289"/>
      <c r="E31" s="289"/>
      <c r="F31" s="289"/>
      <c r="G31" s="289"/>
      <c r="H31" s="290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288" t="s">
        <v>55</v>
      </c>
      <c r="D32" s="289"/>
      <c r="E32" s="289"/>
      <c r="F32" s="289"/>
      <c r="G32" s="289"/>
      <c r="H32" s="290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H34" s="320"/>
      <c r="I34" s="112"/>
      <c r="J34" s="112"/>
      <c r="K34" s="112"/>
      <c r="L34" s="117"/>
      <c r="M34" s="117"/>
      <c r="N34" s="118"/>
    </row>
    <row r="35" spans="1:14" s="14" customFormat="1" ht="19.5" customHeight="1" thickBot="1" x14ac:dyDescent="0.4">
      <c r="A35" s="109"/>
      <c r="B35" s="113"/>
      <c r="C35" s="320"/>
      <c r="D35" s="320"/>
      <c r="E35" s="320"/>
      <c r="F35" s="320"/>
      <c r="G35" s="99"/>
      <c r="H35" s="320"/>
      <c r="I35" s="112"/>
      <c r="J35" s="112"/>
      <c r="K35" s="112"/>
      <c r="L35" s="117"/>
      <c r="M35" s="117"/>
      <c r="N35" s="118"/>
    </row>
    <row r="36" spans="1:14" s="14" customFormat="1" ht="27" customHeight="1" thickBot="1" x14ac:dyDescent="0.5">
      <c r="A36" s="122" t="s">
        <v>58</v>
      </c>
      <c r="B36" s="123">
        <v>100</v>
      </c>
      <c r="C36" s="99"/>
      <c r="D36" s="335" t="s">
        <v>59</v>
      </c>
      <c r="E36" s="336"/>
      <c r="F36" s="335" t="s">
        <v>60</v>
      </c>
      <c r="G36" s="337"/>
      <c r="H36" s="320"/>
      <c r="I36" s="316"/>
      <c r="J36" s="112"/>
      <c r="K36" s="112"/>
      <c r="L36" s="117"/>
      <c r="M36" s="117"/>
      <c r="N36" s="118"/>
    </row>
    <row r="37" spans="1:14" s="14" customFormat="1" ht="27" customHeight="1" thickBot="1" x14ac:dyDescent="0.5">
      <c r="A37" s="124" t="s">
        <v>61</v>
      </c>
      <c r="B37" s="125">
        <v>10</v>
      </c>
      <c r="C37" s="126" t="s">
        <v>62</v>
      </c>
      <c r="D37" s="331" t="s">
        <v>63</v>
      </c>
      <c r="E37" s="332" t="s">
        <v>64</v>
      </c>
      <c r="F37" s="333" t="s">
        <v>63</v>
      </c>
      <c r="G37" s="334" t="s">
        <v>64</v>
      </c>
      <c r="H37" s="320"/>
      <c r="I37" s="317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100</v>
      </c>
      <c r="C38" s="130">
        <v>1</v>
      </c>
      <c r="D38" s="131">
        <v>6429714</v>
      </c>
      <c r="E38" s="132">
        <f>IF(ISBLANK(D38),"-",$D$48/$D$45*D38)</f>
        <v>6639193.8441712921</v>
      </c>
      <c r="F38" s="323">
        <v>7616125</v>
      </c>
      <c r="G38" s="324">
        <f>IF(ISBLANK(F38),"-",$D$48/$F$45*F38)</f>
        <v>6860009.2882424816</v>
      </c>
      <c r="H38" s="320"/>
      <c r="I38" s="318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4">
        <v>2</v>
      </c>
      <c r="D39" s="135">
        <v>6437753</v>
      </c>
      <c r="E39" s="136">
        <f>IF(ISBLANK(D39),"-",$D$48/$D$45*D39)</f>
        <v>6647494.754493787</v>
      </c>
      <c r="F39" s="325">
        <v>7663631</v>
      </c>
      <c r="G39" s="326">
        <f>IF(ISBLANK(F39),"-",$D$48/$F$45*F39)</f>
        <v>6902798.9747624965</v>
      </c>
      <c r="H39" s="320"/>
      <c r="I39" s="319">
        <f>ABS((F43/D43*D42)-F42)/D42</f>
        <v>4.0891135180524334E-2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4">
        <v>3</v>
      </c>
      <c r="D40" s="135">
        <v>6448003</v>
      </c>
      <c r="E40" s="136">
        <f>IF(ISBLANK(D40),"-",$D$48/$D$45*D40)</f>
        <v>6658078.6991144586</v>
      </c>
      <c r="F40" s="325">
        <v>7653171</v>
      </c>
      <c r="G40" s="326">
        <f>IF(ISBLANK(F40),"-",$D$48/$F$45*F40)</f>
        <v>6893377.4254634744</v>
      </c>
      <c r="H40" s="321"/>
      <c r="I40" s="319"/>
      <c r="L40" s="117"/>
      <c r="M40" s="117"/>
      <c r="N40" s="137"/>
    </row>
    <row r="41" spans="1:14" ht="27" customHeight="1" x14ac:dyDescent="0.45">
      <c r="A41" s="124" t="s">
        <v>69</v>
      </c>
      <c r="B41" s="125">
        <v>1</v>
      </c>
      <c r="C41" s="138">
        <v>4</v>
      </c>
      <c r="D41" s="139"/>
      <c r="E41" s="140" t="str">
        <f>IF(ISBLANK(D41),"-",$D$48/$D$45*D41)</f>
        <v>-</v>
      </c>
      <c r="F41" s="327"/>
      <c r="G41" s="328" t="str">
        <f>IF(ISBLANK(F41),"-",$D$48/$F$45*F41)</f>
        <v>-</v>
      </c>
      <c r="I41" s="141"/>
      <c r="L41" s="117"/>
      <c r="M41" s="117"/>
      <c r="N41" s="137"/>
    </row>
    <row r="42" spans="1:14" ht="27" customHeight="1" x14ac:dyDescent="0.45">
      <c r="A42" s="124" t="s">
        <v>70</v>
      </c>
      <c r="B42" s="125">
        <v>1</v>
      </c>
      <c r="C42" s="142" t="s">
        <v>71</v>
      </c>
      <c r="D42" s="143">
        <f>AVERAGE(D38:D41)</f>
        <v>6438490</v>
      </c>
      <c r="E42" s="144">
        <f>AVERAGE(E38:E41)</f>
        <v>6648255.7659265129</v>
      </c>
      <c r="F42" s="329">
        <f>AVERAGE(F38:F41)</f>
        <v>7644309</v>
      </c>
      <c r="G42" s="330">
        <f>AVERAGE(G38:G41)</f>
        <v>6885395.2294894839</v>
      </c>
      <c r="H42" s="145"/>
    </row>
    <row r="43" spans="1:14" ht="26.25" customHeight="1" x14ac:dyDescent="0.45">
      <c r="A43" s="124" t="s">
        <v>72</v>
      </c>
      <c r="B43" s="125">
        <v>1</v>
      </c>
      <c r="C43" s="146" t="s">
        <v>73</v>
      </c>
      <c r="D43" s="315">
        <v>9.6999999999999993</v>
      </c>
      <c r="E43" s="137"/>
      <c r="F43" s="322">
        <v>11.12</v>
      </c>
      <c r="H43" s="145"/>
    </row>
    <row r="44" spans="1:14" ht="26.25" customHeight="1" x14ac:dyDescent="0.45">
      <c r="A44" s="124" t="s">
        <v>74</v>
      </c>
      <c r="B44" s="125">
        <v>1</v>
      </c>
      <c r="C44" s="148" t="s">
        <v>75</v>
      </c>
      <c r="D44" s="149">
        <f>D43*$B$34</f>
        <v>9.6999999999999993</v>
      </c>
      <c r="E44" s="150"/>
      <c r="F44" s="149">
        <f>F43*$B$34</f>
        <v>11.12</v>
      </c>
      <c r="H44" s="145"/>
    </row>
    <row r="45" spans="1:14" ht="19.5" customHeight="1" x14ac:dyDescent="0.35">
      <c r="A45" s="124" t="s">
        <v>76</v>
      </c>
      <c r="B45" s="151">
        <f>(B44/B43)*(B42/B41)*(B40/B39)*(B38/B37)*B36</f>
        <v>1000</v>
      </c>
      <c r="C45" s="148" t="s">
        <v>77</v>
      </c>
      <c r="D45" s="152">
        <f>D44*$B$30/100</f>
        <v>9.6844800000000006</v>
      </c>
      <c r="E45" s="153"/>
      <c r="F45" s="152">
        <f>F44*$B$30/100</f>
        <v>11.102208000000001</v>
      </c>
      <c r="H45" s="145"/>
    </row>
    <row r="46" spans="1:14" ht="19.5" customHeight="1" x14ac:dyDescent="0.35">
      <c r="A46" s="279" t="s">
        <v>78</v>
      </c>
      <c r="B46" s="280"/>
      <c r="C46" s="148" t="s">
        <v>79</v>
      </c>
      <c r="D46" s="154">
        <f>D45/$B$45</f>
        <v>9.6844800000000005E-3</v>
      </c>
      <c r="E46" s="155"/>
      <c r="F46" s="156">
        <f>F45/$B$45</f>
        <v>1.1102208000000001E-2</v>
      </c>
      <c r="H46" s="145"/>
    </row>
    <row r="47" spans="1:14" ht="27" customHeight="1" x14ac:dyDescent="0.45">
      <c r="A47" s="281"/>
      <c r="B47" s="282"/>
      <c r="C47" s="157" t="s">
        <v>80</v>
      </c>
      <c r="D47" s="158">
        <v>0.01</v>
      </c>
      <c r="E47" s="159"/>
      <c r="F47" s="155"/>
      <c r="H47" s="145"/>
    </row>
    <row r="48" spans="1:14" ht="18" x14ac:dyDescent="0.35">
      <c r="C48" s="160" t="s">
        <v>81</v>
      </c>
      <c r="D48" s="152">
        <f>D47*$B$45</f>
        <v>10</v>
      </c>
      <c r="F48" s="161"/>
      <c r="H48" s="145"/>
    </row>
    <row r="49" spans="1:12" ht="19.5" customHeight="1" x14ac:dyDescent="0.35">
      <c r="C49" s="162" t="s">
        <v>82</v>
      </c>
      <c r="D49" s="163">
        <f>D48/B34</f>
        <v>10</v>
      </c>
      <c r="F49" s="161"/>
      <c r="H49" s="145"/>
    </row>
    <row r="50" spans="1:12" ht="18" x14ac:dyDescent="0.35">
      <c r="C50" s="122" t="s">
        <v>83</v>
      </c>
      <c r="D50" s="164">
        <f>AVERAGE(E38:E41,G38:G41)</f>
        <v>6766825.4977079993</v>
      </c>
      <c r="F50" s="165"/>
      <c r="H50" s="145"/>
    </row>
    <row r="51" spans="1:12" ht="18" x14ac:dyDescent="0.35">
      <c r="C51" s="124" t="s">
        <v>84</v>
      </c>
      <c r="D51" s="166">
        <f>STDEV(E38:E41,G38:G41)/D50</f>
        <v>1.9329564720426167E-2</v>
      </c>
      <c r="F51" s="165"/>
      <c r="G51" s="2">
        <f>F62/D50*D47*B68*B69/D60</f>
        <v>99.390583857147121</v>
      </c>
      <c r="H51" s="145"/>
    </row>
    <row r="52" spans="1:12" ht="19.5" customHeight="1" x14ac:dyDescent="0.35">
      <c r="C52" s="167" t="s">
        <v>20</v>
      </c>
      <c r="D52" s="168">
        <f>COUNT(E38:E41,G38:G41)</f>
        <v>6</v>
      </c>
      <c r="F52" s="165"/>
    </row>
    <row r="54" spans="1:12" ht="18" x14ac:dyDescent="0.35">
      <c r="A54" s="169" t="s">
        <v>1</v>
      </c>
      <c r="B54" s="170" t="s">
        <v>85</v>
      </c>
    </row>
    <row r="55" spans="1:12" ht="18" x14ac:dyDescent="0.35">
      <c r="A55" s="99" t="s">
        <v>86</v>
      </c>
      <c r="B55" s="171" t="str">
        <f>B21</f>
        <v>Each tablet contains Paracetamol 500 mg.</v>
      </c>
    </row>
    <row r="56" spans="1:12" ht="26.25" customHeight="1" x14ac:dyDescent="0.45">
      <c r="A56" s="172" t="s">
        <v>87</v>
      </c>
      <c r="B56" s="173">
        <v>500</v>
      </c>
      <c r="C56" s="99" t="str">
        <f>B20</f>
        <v>Paracetamol</v>
      </c>
      <c r="H56" s="174"/>
    </row>
    <row r="57" spans="1:12" ht="18" x14ac:dyDescent="0.35">
      <c r="A57" s="171" t="s">
        <v>127</v>
      </c>
      <c r="B57" s="254">
        <f>Uniformity!C46</f>
        <v>650.97499999999991</v>
      </c>
      <c r="H57" s="174"/>
    </row>
    <row r="58" spans="1:12" ht="19.5" customHeight="1" x14ac:dyDescent="0.35">
      <c r="H58" s="174"/>
    </row>
    <row r="59" spans="1:12" s="14" customFormat="1" ht="27" customHeight="1" x14ac:dyDescent="0.45">
      <c r="A59" s="122" t="s">
        <v>88</v>
      </c>
      <c r="B59" s="123">
        <v>200</v>
      </c>
      <c r="C59" s="99"/>
      <c r="D59" s="175" t="s">
        <v>89</v>
      </c>
      <c r="E59" s="176" t="s">
        <v>62</v>
      </c>
      <c r="F59" s="176" t="s">
        <v>63</v>
      </c>
      <c r="G59" s="176" t="s">
        <v>90</v>
      </c>
      <c r="H59" s="126" t="s">
        <v>91</v>
      </c>
      <c r="L59" s="112"/>
    </row>
    <row r="60" spans="1:12" s="14" customFormat="1" ht="26.25" customHeight="1" x14ac:dyDescent="0.45">
      <c r="A60" s="124" t="s">
        <v>92</v>
      </c>
      <c r="B60" s="125">
        <v>4</v>
      </c>
      <c r="C60" s="296" t="s">
        <v>93</v>
      </c>
      <c r="D60" s="299">
        <v>130.5</v>
      </c>
      <c r="E60" s="177">
        <v>1</v>
      </c>
      <c r="F60" s="178">
        <v>6758028</v>
      </c>
      <c r="G60" s="255">
        <f>IF(ISBLANK(F60),"-",(F60/$D$50*$D$47*$B$68)*($B$57/$D$60))</f>
        <v>498.18289074072362</v>
      </c>
      <c r="H60" s="179">
        <f t="shared" ref="H60:H71" si="0">IF(ISBLANK(F60),"-",G60/$B$56)</f>
        <v>0.99636578148144728</v>
      </c>
      <c r="L60" s="112"/>
    </row>
    <row r="61" spans="1:12" s="14" customFormat="1" ht="26.25" customHeight="1" x14ac:dyDescent="0.45">
      <c r="A61" s="124" t="s">
        <v>94</v>
      </c>
      <c r="B61" s="125">
        <v>200</v>
      </c>
      <c r="C61" s="297"/>
      <c r="D61" s="300"/>
      <c r="E61" s="180">
        <v>2</v>
      </c>
      <c r="F61" s="135">
        <v>6751055</v>
      </c>
      <c r="G61" s="256">
        <f>IF(ISBLANK(F61),"-",(F61/$D$50*$D$47*$B$68)*($B$57/$D$60))</f>
        <v>497.6688607164125</v>
      </c>
      <c r="H61" s="181">
        <f t="shared" si="0"/>
        <v>0.99533772143282495</v>
      </c>
      <c r="L61" s="112"/>
    </row>
    <row r="62" spans="1:12" s="14" customFormat="1" ht="26.25" customHeight="1" x14ac:dyDescent="0.45">
      <c r="A62" s="124" t="s">
        <v>95</v>
      </c>
      <c r="B62" s="125">
        <v>1</v>
      </c>
      <c r="C62" s="297"/>
      <c r="D62" s="300"/>
      <c r="E62" s="180">
        <v>3</v>
      </c>
      <c r="F62" s="182">
        <v>6741343</v>
      </c>
      <c r="G62" s="256">
        <f>IF(ISBLANK(F62),"-",(F62/$D$50*$D$47*$B$68)*($B$57/$D$60))</f>
        <v>496.95291928573567</v>
      </c>
      <c r="H62" s="181">
        <f t="shared" si="0"/>
        <v>0.9939058385714713</v>
      </c>
      <c r="L62" s="112"/>
    </row>
    <row r="63" spans="1:12" ht="27" customHeight="1" x14ac:dyDescent="0.45">
      <c r="A63" s="124" t="s">
        <v>96</v>
      </c>
      <c r="B63" s="125">
        <v>1</v>
      </c>
      <c r="C63" s="307"/>
      <c r="D63" s="301"/>
      <c r="E63" s="183">
        <v>4</v>
      </c>
      <c r="F63" s="184"/>
      <c r="G63" s="256" t="str">
        <f>IF(ISBLANK(F63),"-",(F63/$D$50*$D$47*$B$68)*($B$57/$D$60))</f>
        <v>-</v>
      </c>
      <c r="H63" s="181" t="str">
        <f t="shared" si="0"/>
        <v>-</v>
      </c>
    </row>
    <row r="64" spans="1:12" ht="26.25" customHeight="1" x14ac:dyDescent="0.45">
      <c r="A64" s="124" t="s">
        <v>97</v>
      </c>
      <c r="B64" s="125">
        <v>1</v>
      </c>
      <c r="C64" s="296" t="s">
        <v>98</v>
      </c>
      <c r="D64" s="299">
        <v>131.9</v>
      </c>
      <c r="E64" s="177">
        <v>1</v>
      </c>
      <c r="F64" s="178">
        <v>6663799</v>
      </c>
      <c r="G64" s="257">
        <f>IF(ISBLANK(F64),"-",(F64/$D$50*$D$47*$B$68)*($B$57/$D$64))</f>
        <v>486.0225577521532</v>
      </c>
      <c r="H64" s="185">
        <f t="shared" si="0"/>
        <v>0.97204511550430639</v>
      </c>
    </row>
    <row r="65" spans="1:8" ht="26.25" customHeight="1" x14ac:dyDescent="0.45">
      <c r="A65" s="124" t="s">
        <v>99</v>
      </c>
      <c r="B65" s="125">
        <v>1</v>
      </c>
      <c r="C65" s="297"/>
      <c r="D65" s="300"/>
      <c r="E65" s="180">
        <v>2</v>
      </c>
      <c r="F65" s="135">
        <v>6671895</v>
      </c>
      <c r="G65" s="258">
        <f>IF(ISBLANK(F65),"-",(F65/$D$50*$D$47*$B$68)*($B$57/$D$64))</f>
        <v>486.61303754116864</v>
      </c>
      <c r="H65" s="186">
        <f t="shared" si="0"/>
        <v>0.97322607508233727</v>
      </c>
    </row>
    <row r="66" spans="1:8" ht="26.25" customHeight="1" x14ac:dyDescent="0.45">
      <c r="A66" s="124" t="s">
        <v>100</v>
      </c>
      <c r="B66" s="125">
        <v>1</v>
      </c>
      <c r="C66" s="297"/>
      <c r="D66" s="300"/>
      <c r="E66" s="180">
        <v>3</v>
      </c>
      <c r="F66" s="135">
        <v>6662119</v>
      </c>
      <c r="G66" s="258">
        <f>IF(ISBLANK(F66),"-",(F66/$D$50*$D$47*$B$68)*($B$57/$D$64))</f>
        <v>485.90002736115201</v>
      </c>
      <c r="H66" s="186">
        <f t="shared" si="0"/>
        <v>0.97180005472230402</v>
      </c>
    </row>
    <row r="67" spans="1:8" ht="27" customHeight="1" x14ac:dyDescent="0.45">
      <c r="A67" s="124" t="s">
        <v>101</v>
      </c>
      <c r="B67" s="125">
        <v>1</v>
      </c>
      <c r="C67" s="307"/>
      <c r="D67" s="301"/>
      <c r="E67" s="183">
        <v>4</v>
      </c>
      <c r="F67" s="184"/>
      <c r="G67" s="259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5">
      <c r="A68" s="124" t="s">
        <v>102</v>
      </c>
      <c r="B68" s="188">
        <f>(B67/B66)*(B65/B64)*(B63/B62)*(B61/B60)*B59</f>
        <v>10000</v>
      </c>
      <c r="C68" s="296" t="s">
        <v>103</v>
      </c>
      <c r="D68" s="299">
        <v>129.9</v>
      </c>
      <c r="E68" s="177">
        <v>1</v>
      </c>
      <c r="F68" s="178">
        <v>6700608</v>
      </c>
      <c r="G68" s="257">
        <f>IF(ISBLANK(F68),"-",(F68/$D$50*$D$47*$B$68)*($B$57/$D$68))</f>
        <v>496.23157368640244</v>
      </c>
      <c r="H68" s="181">
        <f t="shared" si="0"/>
        <v>0.99246314737280483</v>
      </c>
    </row>
    <row r="69" spans="1:8" ht="27" customHeight="1" x14ac:dyDescent="0.5">
      <c r="A69" s="167" t="s">
        <v>104</v>
      </c>
      <c r="B69" s="189">
        <f>(D47*B68)/B56*B57</f>
        <v>130.19499999999999</v>
      </c>
      <c r="C69" s="297"/>
      <c r="D69" s="300"/>
      <c r="E69" s="180">
        <v>2</v>
      </c>
      <c r="F69" s="135">
        <v>6717408</v>
      </c>
      <c r="G69" s="258">
        <f>IF(ISBLANK(F69),"-",(F69/$D$50*$D$47*$B$68)*($B$57/$D$68))</f>
        <v>497.47574293760044</v>
      </c>
      <c r="H69" s="181">
        <f t="shared" si="0"/>
        <v>0.99495148587520088</v>
      </c>
    </row>
    <row r="70" spans="1:8" ht="26.25" customHeight="1" x14ac:dyDescent="0.45">
      <c r="A70" s="302" t="s">
        <v>78</v>
      </c>
      <c r="B70" s="303"/>
      <c r="C70" s="297"/>
      <c r="D70" s="300"/>
      <c r="E70" s="180">
        <v>3</v>
      </c>
      <c r="F70" s="135">
        <v>6681943</v>
      </c>
      <c r="G70" s="258">
        <f>IF(ISBLANK(F70),"-",(F70/$D$50*$D$47*$B$68)*($B$57/$D$68))</f>
        <v>494.84928683678265</v>
      </c>
      <c r="H70" s="181">
        <f t="shared" si="0"/>
        <v>0.98969857367356528</v>
      </c>
    </row>
    <row r="71" spans="1:8" ht="27" customHeight="1" x14ac:dyDescent="0.45">
      <c r="A71" s="304"/>
      <c r="B71" s="305"/>
      <c r="C71" s="298"/>
      <c r="D71" s="301"/>
      <c r="E71" s="183">
        <v>4</v>
      </c>
      <c r="F71" s="184"/>
      <c r="G71" s="259" t="str">
        <f>IF(ISBLANK(F71),"-",(F71/$D$50*$D$47*$B$68)*($B$57/$D$68))</f>
        <v>-</v>
      </c>
      <c r="H71" s="190" t="str">
        <f t="shared" si="0"/>
        <v>-</v>
      </c>
    </row>
    <row r="72" spans="1:8" ht="26.25" customHeight="1" x14ac:dyDescent="0.45">
      <c r="A72" s="191"/>
      <c r="B72" s="191"/>
      <c r="C72" s="191"/>
      <c r="D72" s="191"/>
      <c r="E72" s="191"/>
      <c r="F72" s="193" t="s">
        <v>71</v>
      </c>
      <c r="G72" s="264">
        <f>AVERAGE(G60:G71)</f>
        <v>493.32187742868126</v>
      </c>
      <c r="H72" s="194">
        <f>AVERAGE(H60:H71)</f>
        <v>0.98664375485736244</v>
      </c>
    </row>
    <row r="73" spans="1:8" ht="26.25" customHeight="1" x14ac:dyDescent="0.45">
      <c r="C73" s="191"/>
      <c r="D73" s="191"/>
      <c r="E73" s="191"/>
      <c r="F73" s="195" t="s">
        <v>84</v>
      </c>
      <c r="G73" s="260">
        <f>STDEV(G60:G71)/G72</f>
        <v>1.1036309671617613E-2</v>
      </c>
      <c r="H73" s="260">
        <f>STDEV(H60:H71)/H72</f>
        <v>1.1036309671617612E-2</v>
      </c>
    </row>
    <row r="74" spans="1:8" ht="27" customHeight="1" x14ac:dyDescent="0.45">
      <c r="A74" s="191"/>
      <c r="B74" s="191"/>
      <c r="C74" s="192"/>
      <c r="D74" s="192"/>
      <c r="E74" s="196"/>
      <c r="F74" s="197" t="s">
        <v>20</v>
      </c>
      <c r="G74" s="198">
        <f>COUNT(G60:G71)</f>
        <v>9</v>
      </c>
      <c r="H74" s="198">
        <f>COUNT(H60:H71)</f>
        <v>9</v>
      </c>
    </row>
    <row r="76" spans="1:8" ht="26.25" customHeight="1" x14ac:dyDescent="0.45">
      <c r="A76" s="108" t="s">
        <v>105</v>
      </c>
      <c r="B76" s="199" t="s">
        <v>106</v>
      </c>
      <c r="C76" s="283" t="str">
        <f>B20</f>
        <v>Paracetamol</v>
      </c>
      <c r="D76" s="283"/>
      <c r="E76" s="200" t="s">
        <v>107</v>
      </c>
      <c r="F76" s="200"/>
      <c r="G76" s="201">
        <f>H72</f>
        <v>0.98664375485736244</v>
      </c>
      <c r="H76" s="202"/>
    </row>
    <row r="77" spans="1:8" ht="18" x14ac:dyDescent="0.35">
      <c r="A77" s="107" t="s">
        <v>108</v>
      </c>
      <c r="B77" s="107" t="s">
        <v>109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06" t="s">
        <v>9</v>
      </c>
      <c r="C79" s="306"/>
    </row>
    <row r="80" spans="1:8" ht="26.25" customHeight="1" x14ac:dyDescent="0.45">
      <c r="A80" s="109" t="s">
        <v>48</v>
      </c>
      <c r="B80" s="306" t="s">
        <v>122</v>
      </c>
      <c r="C80" s="306"/>
    </row>
    <row r="81" spans="1:12" ht="27" customHeight="1" x14ac:dyDescent="0.45">
      <c r="A81" s="109" t="s">
        <v>6</v>
      </c>
      <c r="B81" s="203">
        <v>99.84</v>
      </c>
    </row>
    <row r="82" spans="1:12" s="14" customFormat="1" ht="27" customHeight="1" x14ac:dyDescent="0.5">
      <c r="A82" s="109" t="s">
        <v>49</v>
      </c>
      <c r="B82" s="111">
        <v>0</v>
      </c>
      <c r="C82" s="285" t="s">
        <v>50</v>
      </c>
      <c r="D82" s="286"/>
      <c r="E82" s="286"/>
      <c r="F82" s="286"/>
      <c r="G82" s="287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99.84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288" t="s">
        <v>110</v>
      </c>
      <c r="D84" s="289"/>
      <c r="E84" s="289"/>
      <c r="F84" s="289"/>
      <c r="G84" s="289"/>
      <c r="H84" s="290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288" t="s">
        <v>111</v>
      </c>
      <c r="D85" s="289"/>
      <c r="E85" s="289"/>
      <c r="F85" s="289"/>
      <c r="G85" s="289"/>
      <c r="H85" s="290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100</v>
      </c>
      <c r="D89" s="204" t="s">
        <v>59</v>
      </c>
      <c r="E89" s="205"/>
      <c r="F89" s="291" t="s">
        <v>60</v>
      </c>
      <c r="G89" s="292"/>
    </row>
    <row r="90" spans="1:12" ht="27" customHeight="1" x14ac:dyDescent="0.45">
      <c r="A90" s="124" t="s">
        <v>61</v>
      </c>
      <c r="B90" s="125">
        <v>10</v>
      </c>
      <c r="C90" s="206" t="s">
        <v>62</v>
      </c>
      <c r="D90" s="127" t="s">
        <v>63</v>
      </c>
      <c r="E90" s="128" t="s">
        <v>64</v>
      </c>
      <c r="F90" s="127" t="s">
        <v>63</v>
      </c>
      <c r="G90" s="207" t="s">
        <v>64</v>
      </c>
      <c r="I90" s="129" t="s">
        <v>65</v>
      </c>
    </row>
    <row r="91" spans="1:12" ht="26.25" customHeight="1" x14ac:dyDescent="0.45">
      <c r="A91" s="124" t="s">
        <v>66</v>
      </c>
      <c r="B91" s="125">
        <v>100</v>
      </c>
      <c r="C91" s="208">
        <v>1</v>
      </c>
      <c r="D91" s="131">
        <v>0.60699999999999998</v>
      </c>
      <c r="E91" s="261">
        <f>IF(ISBLANK(D91),"-",$D$101/$D$98*D91)</f>
        <v>0.69641781948482961</v>
      </c>
      <c r="F91" s="131">
        <v>0.72499999999999998</v>
      </c>
      <c r="G91" s="341">
        <f>IF(ISBLANK(F91),"-",$D$101/$F$98*F91)</f>
        <v>0.72558139385927145</v>
      </c>
      <c r="I91" s="133"/>
    </row>
    <row r="92" spans="1:12" ht="26.25" customHeight="1" x14ac:dyDescent="0.45">
      <c r="A92" s="124" t="s">
        <v>67</v>
      </c>
      <c r="B92" s="125">
        <v>1</v>
      </c>
      <c r="C92" s="192">
        <v>2</v>
      </c>
      <c r="D92" s="135">
        <v>0.60899999999999999</v>
      </c>
      <c r="E92" s="262">
        <f>IF(ISBLANK(D92),"-",$D$101/$D$98*D92)</f>
        <v>0.69871244162481261</v>
      </c>
      <c r="F92" s="135">
        <v>0.72299999999999998</v>
      </c>
      <c r="G92" s="342">
        <f>IF(ISBLANK(F92),"-",$D$101/$F$98*F92)</f>
        <v>0.72357979001414241</v>
      </c>
      <c r="I92" s="293">
        <f>ABS((F96/D96*D95)-F95)/D95</f>
        <v>4.1895056399144488E-2</v>
      </c>
    </row>
    <row r="93" spans="1:12" ht="26.25" customHeight="1" x14ac:dyDescent="0.45">
      <c r="A93" s="124" t="s">
        <v>68</v>
      </c>
      <c r="B93" s="125">
        <v>1</v>
      </c>
      <c r="C93" s="192">
        <v>3</v>
      </c>
      <c r="D93" s="135">
        <v>0.61099999999999999</v>
      </c>
      <c r="E93" s="262">
        <f>IF(ISBLANK(D93),"-",$D$101/$D$98*D93)</f>
        <v>0.7010070637647956</v>
      </c>
      <c r="F93" s="135">
        <v>0.72299999999999998</v>
      </c>
      <c r="G93" s="342">
        <f>IF(ISBLANK(F93),"-",$D$101/$F$98*F93)</f>
        <v>0.72357979001414241</v>
      </c>
      <c r="I93" s="293"/>
    </row>
    <row r="94" spans="1:12" ht="27" customHeight="1" x14ac:dyDescent="0.45">
      <c r="A94" s="124" t="s">
        <v>69</v>
      </c>
      <c r="B94" s="125">
        <v>1</v>
      </c>
      <c r="C94" s="209">
        <v>4</v>
      </c>
      <c r="D94" s="139"/>
      <c r="E94" s="263" t="str">
        <f>IF(ISBLANK(D94),"-",$D$101/$D$98*D94)</f>
        <v>-</v>
      </c>
      <c r="F94" s="210"/>
      <c r="G94" s="343" t="str">
        <f>IF(ISBLANK(F94),"-",$D$101/$F$98*F94)</f>
        <v>-</v>
      </c>
      <c r="I94" s="141"/>
    </row>
    <row r="95" spans="1:12" ht="27" customHeight="1" x14ac:dyDescent="0.45">
      <c r="A95" s="124" t="s">
        <v>70</v>
      </c>
      <c r="B95" s="125">
        <v>1</v>
      </c>
      <c r="C95" s="211" t="s">
        <v>71</v>
      </c>
      <c r="D95" s="338">
        <f>AVERAGE(D91:D94)</f>
        <v>0.60899999999999999</v>
      </c>
      <c r="E95" s="340">
        <f>AVERAGE(E91:E94)</f>
        <v>0.69871244162481272</v>
      </c>
      <c r="F95" s="339">
        <f>AVERAGE(F91:F94)</f>
        <v>0.72366666666666657</v>
      </c>
      <c r="G95" s="344">
        <f>AVERAGE(G91:G94)</f>
        <v>0.72424699129585213</v>
      </c>
    </row>
    <row r="96" spans="1:12" ht="26.25" customHeight="1" x14ac:dyDescent="0.45">
      <c r="A96" s="124" t="s">
        <v>72</v>
      </c>
      <c r="B96" s="110">
        <v>1</v>
      </c>
      <c r="C96" s="212" t="s">
        <v>112</v>
      </c>
      <c r="D96" s="346">
        <v>9.6999999999999993</v>
      </c>
      <c r="E96" s="137"/>
      <c r="F96" s="147">
        <v>11.12</v>
      </c>
    </row>
    <row r="97" spans="1:10" ht="26.25" customHeight="1" x14ac:dyDescent="0.45">
      <c r="A97" s="124" t="s">
        <v>74</v>
      </c>
      <c r="B97" s="110">
        <v>1</v>
      </c>
      <c r="C97" s="213" t="s">
        <v>113</v>
      </c>
      <c r="D97" s="214">
        <f>D96*$B$87</f>
        <v>9.6999999999999993</v>
      </c>
      <c r="E97" s="150"/>
      <c r="F97" s="149">
        <f>F96*$B$87</f>
        <v>11.12</v>
      </c>
    </row>
    <row r="98" spans="1:10" ht="19.5" customHeight="1" x14ac:dyDescent="0.35">
      <c r="A98" s="124" t="s">
        <v>76</v>
      </c>
      <c r="B98" s="215">
        <f>(B97/B96)*(B95/B94)*(B93/B92)*(B91/B90)*B89</f>
        <v>1000</v>
      </c>
      <c r="C98" s="213" t="s">
        <v>114</v>
      </c>
      <c r="D98" s="216">
        <f>D97*$B$83/100</f>
        <v>9.6844800000000006</v>
      </c>
      <c r="E98" s="153"/>
      <c r="F98" s="152">
        <f>F97*$B$83/100</f>
        <v>11.102208000000001</v>
      </c>
    </row>
    <row r="99" spans="1:10" ht="19.5" customHeight="1" x14ac:dyDescent="0.35">
      <c r="A99" s="279" t="s">
        <v>78</v>
      </c>
      <c r="B99" s="294"/>
      <c r="C99" s="213" t="s">
        <v>115</v>
      </c>
      <c r="D99" s="217">
        <f>D98/$B$98</f>
        <v>9.6844800000000005E-3</v>
      </c>
      <c r="E99" s="153"/>
      <c r="F99" s="156">
        <f>F98/$B$98</f>
        <v>1.1102208000000001E-2</v>
      </c>
      <c r="G99" s="218"/>
      <c r="H99" s="145"/>
    </row>
    <row r="100" spans="1:10" ht="19.5" customHeight="1" x14ac:dyDescent="0.35">
      <c r="A100" s="281"/>
      <c r="B100" s="295"/>
      <c r="C100" s="213" t="s">
        <v>80</v>
      </c>
      <c r="D100" s="219">
        <f>$B$56/$B$116</f>
        <v>1.1111111111111112E-2</v>
      </c>
      <c r="F100" s="161"/>
      <c r="G100" s="220"/>
      <c r="H100" s="145"/>
    </row>
    <row r="101" spans="1:10" ht="18" x14ac:dyDescent="0.35">
      <c r="C101" s="213" t="s">
        <v>81</v>
      </c>
      <c r="D101" s="214">
        <f>D100*$B$98</f>
        <v>11.111111111111111</v>
      </c>
      <c r="F101" s="161"/>
      <c r="G101" s="218"/>
      <c r="H101" s="145"/>
    </row>
    <row r="102" spans="1:10" ht="19.5" customHeight="1" x14ac:dyDescent="0.35">
      <c r="C102" s="221" t="s">
        <v>82</v>
      </c>
      <c r="D102" s="222">
        <f>D101/B34</f>
        <v>11.111111111111111</v>
      </c>
      <c r="E102" s="349"/>
      <c r="F102" s="165"/>
      <c r="G102" s="218"/>
      <c r="H102" s="145"/>
      <c r="J102" s="223"/>
    </row>
    <row r="103" spans="1:10" ht="18" x14ac:dyDescent="0.35">
      <c r="C103" s="224" t="s">
        <v>128</v>
      </c>
      <c r="D103" s="345">
        <f>AVERAGE(E91:E94,G91:G94)</f>
        <v>0.71147971646033248</v>
      </c>
      <c r="F103" s="165"/>
      <c r="G103" s="225"/>
      <c r="H103" s="145"/>
      <c r="J103" s="226"/>
    </row>
    <row r="104" spans="1:10" ht="18" x14ac:dyDescent="0.35">
      <c r="C104" s="195" t="s">
        <v>84</v>
      </c>
      <c r="D104" s="227">
        <f>STDEV(E91:E94,G91:G94)/D103</f>
        <v>1.9789635820829925E-2</v>
      </c>
      <c r="F104" s="165"/>
      <c r="G104" s="218"/>
      <c r="H104" s="145"/>
      <c r="J104" s="226"/>
    </row>
    <row r="105" spans="1:10" ht="19.5" customHeight="1" x14ac:dyDescent="0.35">
      <c r="C105" s="197" t="s">
        <v>20</v>
      </c>
      <c r="D105" s="228">
        <f>COUNT(E91:E94,G91:G94)</f>
        <v>6</v>
      </c>
      <c r="F105" s="165"/>
      <c r="G105" s="218"/>
      <c r="H105" s="145"/>
      <c r="J105" s="226"/>
    </row>
    <row r="106" spans="1:10" ht="19.5" customHeight="1" x14ac:dyDescent="0.35">
      <c r="A106" s="169"/>
      <c r="B106" s="169"/>
      <c r="C106" s="169"/>
      <c r="D106" s="169"/>
      <c r="E106" s="169"/>
    </row>
    <row r="107" spans="1:10" ht="26.25" customHeight="1" x14ac:dyDescent="0.45">
      <c r="A107" s="122" t="s">
        <v>116</v>
      </c>
      <c r="B107" s="123">
        <v>900</v>
      </c>
      <c r="C107" s="229" t="s">
        <v>129</v>
      </c>
      <c r="D107" s="230" t="s">
        <v>63</v>
      </c>
      <c r="E107" s="231" t="s">
        <v>117</v>
      </c>
      <c r="F107" s="232" t="s">
        <v>118</v>
      </c>
    </row>
    <row r="108" spans="1:10" ht="26.25" customHeight="1" x14ac:dyDescent="0.45">
      <c r="A108" s="124" t="s">
        <v>119</v>
      </c>
      <c r="B108" s="125">
        <v>4</v>
      </c>
      <c r="C108" s="233">
        <v>1</v>
      </c>
      <c r="D108" s="347">
        <v>0.65100000000000002</v>
      </c>
      <c r="E108" s="261">
        <f t="shared" ref="E108:E113" si="1">IF(ISBLANK(D108),"-",D108/$D$103*$D$100*$B$116)</f>
        <v>457.49723072835883</v>
      </c>
      <c r="F108" s="234">
        <f t="shared" ref="F108:F113" si="2">IF(ISBLANK(D108), "-", E108/$B$56)</f>
        <v>0.9149944614567177</v>
      </c>
    </row>
    <row r="109" spans="1:10" ht="26.25" customHeight="1" x14ac:dyDescent="0.45">
      <c r="A109" s="124" t="s">
        <v>94</v>
      </c>
      <c r="B109" s="125">
        <v>200</v>
      </c>
      <c r="C109" s="233">
        <v>2</v>
      </c>
      <c r="D109" s="347">
        <v>0.64800000000000002</v>
      </c>
      <c r="E109" s="262">
        <f t="shared" si="1"/>
        <v>455.38894855910371</v>
      </c>
      <c r="F109" s="235">
        <f t="shared" si="2"/>
        <v>0.91077789711820745</v>
      </c>
    </row>
    <row r="110" spans="1:10" ht="26.25" customHeight="1" x14ac:dyDescent="0.45">
      <c r="A110" s="124" t="s">
        <v>95</v>
      </c>
      <c r="B110" s="125">
        <v>1</v>
      </c>
      <c r="C110" s="233">
        <v>3</v>
      </c>
      <c r="D110" s="347">
        <v>0.65100000000000002</v>
      </c>
      <c r="E110" s="262">
        <f t="shared" si="1"/>
        <v>457.49723072835883</v>
      </c>
      <c r="F110" s="235">
        <f t="shared" si="2"/>
        <v>0.9149944614567177</v>
      </c>
    </row>
    <row r="111" spans="1:10" ht="26.25" customHeight="1" x14ac:dyDescent="0.45">
      <c r="A111" s="124" t="s">
        <v>96</v>
      </c>
      <c r="B111" s="125">
        <v>1</v>
      </c>
      <c r="C111" s="233">
        <v>4</v>
      </c>
      <c r="D111" s="347">
        <v>0.65300000000000002</v>
      </c>
      <c r="E111" s="262">
        <f t="shared" si="1"/>
        <v>458.90275217452893</v>
      </c>
      <c r="F111" s="235">
        <f t="shared" si="2"/>
        <v>0.91780550434905783</v>
      </c>
    </row>
    <row r="112" spans="1:10" ht="26.25" customHeight="1" x14ac:dyDescent="0.45">
      <c r="A112" s="124" t="s">
        <v>97</v>
      </c>
      <c r="B112" s="125">
        <v>1</v>
      </c>
      <c r="C112" s="233">
        <v>5</v>
      </c>
      <c r="D112" s="347">
        <v>0.65400000000000003</v>
      </c>
      <c r="E112" s="262">
        <f t="shared" si="1"/>
        <v>459.60551289761389</v>
      </c>
      <c r="F112" s="235">
        <f t="shared" si="2"/>
        <v>0.91921102579522773</v>
      </c>
    </row>
    <row r="113" spans="1:10" ht="26.25" customHeight="1" x14ac:dyDescent="0.45">
      <c r="A113" s="124" t="s">
        <v>99</v>
      </c>
      <c r="B113" s="125">
        <v>1</v>
      </c>
      <c r="C113" s="236">
        <v>6</v>
      </c>
      <c r="D113" s="348">
        <v>0.65</v>
      </c>
      <c r="E113" s="263">
        <f t="shared" si="1"/>
        <v>456.79447000527381</v>
      </c>
      <c r="F113" s="237">
        <f t="shared" si="2"/>
        <v>0.91358894001054758</v>
      </c>
    </row>
    <row r="114" spans="1:10" ht="26.25" customHeight="1" x14ac:dyDescent="0.45">
      <c r="A114" s="124" t="s">
        <v>100</v>
      </c>
      <c r="B114" s="125">
        <v>1</v>
      </c>
      <c r="C114" s="233"/>
      <c r="D114" s="192"/>
      <c r="E114" s="98"/>
      <c r="F114" s="238"/>
    </row>
    <row r="115" spans="1:10" ht="26.25" customHeight="1" x14ac:dyDescent="0.45">
      <c r="A115" s="124" t="s">
        <v>101</v>
      </c>
      <c r="B115" s="125">
        <v>1</v>
      </c>
      <c r="C115" s="233"/>
      <c r="D115" s="350" t="s">
        <v>71</v>
      </c>
      <c r="E115" s="265">
        <f>AVERAGE(E108:E113)</f>
        <v>457.61435751553972</v>
      </c>
      <c r="F115" s="239">
        <f>AVERAGE(F108:F113)</f>
        <v>0.91522871503107928</v>
      </c>
    </row>
    <row r="116" spans="1:10" ht="27" customHeight="1" x14ac:dyDescent="0.45">
      <c r="A116" s="124" t="s">
        <v>102</v>
      </c>
      <c r="B116" s="151">
        <f>(B115/B114)*(B113/B112)*(B111/B110)*(B109/B108)*B107</f>
        <v>45000</v>
      </c>
      <c r="C116" s="240"/>
      <c r="D116" s="351" t="s">
        <v>84</v>
      </c>
      <c r="E116" s="241">
        <f>STDEV(E108:E113)/E115</f>
        <v>3.2817651241002365E-3</v>
      </c>
      <c r="F116" s="241">
        <f>STDEV(F108:F113)/F115</f>
        <v>3.2817651241002117E-3</v>
      </c>
      <c r="I116" s="98"/>
    </row>
    <row r="117" spans="1:10" ht="27" customHeight="1" x14ac:dyDescent="0.45">
      <c r="A117" s="279" t="s">
        <v>78</v>
      </c>
      <c r="B117" s="280"/>
      <c r="C117" s="242"/>
      <c r="D117" s="352" t="s">
        <v>20</v>
      </c>
      <c r="E117" s="243">
        <f>COUNT(E108:E113)</f>
        <v>6</v>
      </c>
      <c r="F117" s="243">
        <f>COUNT(F108:F113)</f>
        <v>6</v>
      </c>
      <c r="I117" s="98"/>
      <c r="J117" s="226"/>
    </row>
    <row r="118" spans="1:10" ht="19.5" customHeight="1" x14ac:dyDescent="0.35">
      <c r="A118" s="281"/>
      <c r="B118" s="282"/>
      <c r="C118" s="98"/>
      <c r="D118" s="98"/>
      <c r="E118" s="98"/>
      <c r="F118" s="192"/>
      <c r="G118" s="98"/>
      <c r="H118" s="98"/>
      <c r="I118" s="98"/>
    </row>
    <row r="119" spans="1:10" ht="18" x14ac:dyDescent="0.35">
      <c r="A119" s="252"/>
      <c r="B119" s="120"/>
      <c r="C119" s="98"/>
      <c r="D119" s="98"/>
      <c r="E119" s="98"/>
      <c r="F119" s="192"/>
      <c r="G119" s="98"/>
      <c r="H119" s="98"/>
      <c r="I119" s="98"/>
    </row>
    <row r="120" spans="1:10" ht="26.25" customHeight="1" x14ac:dyDescent="0.45">
      <c r="A120" s="108" t="s">
        <v>105</v>
      </c>
      <c r="B120" s="199" t="s">
        <v>120</v>
      </c>
      <c r="C120" s="283" t="str">
        <f>B20</f>
        <v>Paracetamol</v>
      </c>
      <c r="D120" s="283"/>
      <c r="E120" s="200" t="s">
        <v>121</v>
      </c>
      <c r="F120" s="200"/>
      <c r="G120" s="201">
        <f>F115</f>
        <v>0.91522871503107928</v>
      </c>
      <c r="H120" s="98"/>
      <c r="I120" s="98"/>
    </row>
    <row r="121" spans="1:10" ht="19.5" customHeight="1" x14ac:dyDescent="0.35">
      <c r="A121" s="244"/>
      <c r="B121" s="244"/>
      <c r="C121" s="245"/>
      <c r="D121" s="245"/>
      <c r="E121" s="245"/>
      <c r="F121" s="245"/>
      <c r="G121" s="245"/>
      <c r="H121" s="245"/>
    </row>
    <row r="122" spans="1:10" ht="18" x14ac:dyDescent="0.35">
      <c r="B122" s="284" t="s">
        <v>26</v>
      </c>
      <c r="C122" s="284"/>
      <c r="E122" s="206" t="s">
        <v>27</v>
      </c>
      <c r="F122" s="246"/>
      <c r="G122" s="284" t="s">
        <v>28</v>
      </c>
      <c r="H122" s="284"/>
    </row>
    <row r="123" spans="1:10" ht="69.900000000000006" customHeight="1" x14ac:dyDescent="0.35">
      <c r="A123" s="247" t="s">
        <v>29</v>
      </c>
      <c r="B123" s="248"/>
      <c r="C123" s="248"/>
      <c r="E123" s="248"/>
      <c r="F123" s="98"/>
      <c r="G123" s="249"/>
      <c r="H123" s="249"/>
    </row>
    <row r="124" spans="1:10" ht="69.900000000000006" customHeight="1" x14ac:dyDescent="0.35">
      <c r="A124" s="247" t="s">
        <v>30</v>
      </c>
      <c r="B124" s="250"/>
      <c r="C124" s="250"/>
      <c r="E124" s="250"/>
      <c r="F124" s="98"/>
      <c r="G124" s="251"/>
      <c r="H124" s="251"/>
    </row>
    <row r="125" spans="1:10" ht="18" x14ac:dyDescent="0.35">
      <c r="A125" s="191"/>
      <c r="B125" s="191"/>
      <c r="C125" s="192"/>
      <c r="D125" s="192"/>
      <c r="E125" s="192"/>
      <c r="F125" s="196"/>
      <c r="G125" s="192"/>
      <c r="H125" s="192"/>
      <c r="I125" s="98"/>
    </row>
    <row r="126" spans="1:10" ht="18" x14ac:dyDescent="0.35">
      <c r="A126" s="191"/>
      <c r="B126" s="191"/>
      <c r="C126" s="192"/>
      <c r="D126" s="192"/>
      <c r="E126" s="192"/>
      <c r="F126" s="196"/>
      <c r="G126" s="192"/>
      <c r="H126" s="192"/>
      <c r="I126" s="98"/>
    </row>
    <row r="127" spans="1:10" ht="18" x14ac:dyDescent="0.35">
      <c r="A127" s="191"/>
      <c r="B127" s="191"/>
      <c r="C127" s="192"/>
      <c r="D127" s="192"/>
      <c r="E127" s="192"/>
      <c r="F127" s="196"/>
      <c r="G127" s="192"/>
      <c r="H127" s="192"/>
      <c r="I127" s="98"/>
    </row>
    <row r="128" spans="1:10" ht="18" x14ac:dyDescent="0.35">
      <c r="A128" s="191"/>
      <c r="B128" s="191"/>
      <c r="C128" s="192"/>
      <c r="D128" s="192"/>
      <c r="E128" s="192"/>
      <c r="F128" s="196"/>
      <c r="G128" s="192"/>
      <c r="H128" s="192"/>
      <c r="I128" s="98"/>
    </row>
    <row r="129" spans="1:9" ht="18" x14ac:dyDescent="0.35">
      <c r="A129" s="191"/>
      <c r="B129" s="191"/>
      <c r="C129" s="192"/>
      <c r="D129" s="192"/>
      <c r="E129" s="192"/>
      <c r="F129" s="196"/>
      <c r="G129" s="192"/>
      <c r="H129" s="192"/>
      <c r="I129" s="98"/>
    </row>
    <row r="130" spans="1:9" ht="18" x14ac:dyDescent="0.35">
      <c r="A130" s="191"/>
      <c r="B130" s="191"/>
      <c r="C130" s="192"/>
      <c r="D130" s="192"/>
      <c r="E130" s="192"/>
      <c r="F130" s="196"/>
      <c r="G130" s="192"/>
      <c r="H130" s="192"/>
      <c r="I130" s="98"/>
    </row>
    <row r="131" spans="1:9" ht="18" x14ac:dyDescent="0.35">
      <c r="A131" s="191"/>
      <c r="B131" s="191"/>
      <c r="C131" s="192"/>
      <c r="D131" s="192"/>
      <c r="E131" s="192"/>
      <c r="F131" s="196"/>
      <c r="G131" s="192"/>
      <c r="H131" s="192"/>
      <c r="I131" s="98"/>
    </row>
    <row r="132" spans="1:9" ht="18" x14ac:dyDescent="0.35">
      <c r="A132" s="191"/>
      <c r="B132" s="191"/>
      <c r="C132" s="192"/>
      <c r="D132" s="192"/>
      <c r="E132" s="192"/>
      <c r="F132" s="196"/>
      <c r="G132" s="192"/>
      <c r="H132" s="192"/>
      <c r="I132" s="98"/>
    </row>
    <row r="133" spans="1:9" ht="18" x14ac:dyDescent="0.35">
      <c r="A133" s="191"/>
      <c r="B133" s="191"/>
      <c r="C133" s="192"/>
      <c r="D133" s="192"/>
      <c r="E133" s="192"/>
      <c r="F133" s="196"/>
      <c r="G133" s="192"/>
      <c r="H133" s="192"/>
      <c r="I133" s="98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Paracetamol</vt:lpstr>
      <vt:lpstr>Paracetamol!Print_Area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2016-07-18T05:56:58Z</cp:lastPrinted>
  <dcterms:created xsi:type="dcterms:W3CDTF">2005-07-05T10:19:27Z</dcterms:created>
  <dcterms:modified xsi:type="dcterms:W3CDTF">2016-10-11T08:22:08Z</dcterms:modified>
</cp:coreProperties>
</file>