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firstSheet="3" activeTab="8"/>
  </bookViews>
  <sheets>
    <sheet name="SST S1" sheetId="1" r:id="rId1"/>
    <sheet name="SST S2" sheetId="5" r:id="rId2"/>
    <sheet name="Uniformity" sheetId="2" r:id="rId3"/>
    <sheet name="Aceclofenac S1 ASSAY" sheetId="4" r:id="rId4"/>
    <sheet name="Aceclofenac S2 ASSAY" sheetId="6" r:id="rId5"/>
    <sheet name="Aceclofenac S2" sheetId="7" r:id="rId6"/>
    <sheet name="SST 3" sheetId="8" r:id="rId7"/>
    <sheet name="Uniformity 3" sheetId="9" r:id="rId8"/>
    <sheet name="Aceclofenac 3 " sheetId="10" r:id="rId9"/>
  </sheets>
  <definedNames>
    <definedName name="_xlnm.Print_Area" localSheetId="8">'Aceclofenac 3 '!$A$1:$J$129</definedName>
    <definedName name="_xlnm.Print_Area" localSheetId="3">'Aceclofenac S1 ASSAY'!$A$1:$I$124</definedName>
    <definedName name="_xlnm.Print_Area" localSheetId="5">'Aceclofenac S2'!$A$1:$H$172</definedName>
    <definedName name="_xlnm.Print_Area" localSheetId="4">'Aceclofenac S2 ASSAY'!$A$1:$I$124</definedName>
    <definedName name="_xlnm.Print_Area" localSheetId="0">'SST S1'!$A$15:$G$61</definedName>
    <definedName name="_xlnm.Print_Area" localSheetId="1">'SST S2'!$A$14:$G$61</definedName>
    <definedName name="_xlnm.Print_Area" localSheetId="2">Uniformity!$A$1:$F$54</definedName>
    <definedName name="_xlnm.Print_Area" localSheetId="7">'Uniformity 3'!$A$1:$F$54</definedName>
  </definedNames>
  <calcPr calcId="145621"/>
</workbook>
</file>

<file path=xl/calcChain.xml><?xml version="1.0" encoding="utf-8"?>
<calcChain xmlns="http://schemas.openxmlformats.org/spreadsheetml/2006/main">
  <c r="F125" i="10" l="1"/>
  <c r="D125" i="10"/>
  <c r="G124" i="10"/>
  <c r="G117" i="10"/>
  <c r="G116" i="10"/>
  <c r="G115" i="10"/>
  <c r="F115" i="10"/>
  <c r="F113" i="10"/>
  <c r="F112" i="10"/>
  <c r="F111" i="10"/>
  <c r="F110" i="10"/>
  <c r="F109" i="10"/>
  <c r="F108" i="10"/>
  <c r="J74" i="10"/>
  <c r="J73" i="10"/>
  <c r="J72" i="10"/>
  <c r="H61" i="10"/>
  <c r="H62" i="10"/>
  <c r="H63" i="10"/>
  <c r="H72" i="10" s="1"/>
  <c r="H64" i="10"/>
  <c r="H65" i="10"/>
  <c r="H66" i="10"/>
  <c r="H67" i="10"/>
  <c r="H68" i="10"/>
  <c r="H69" i="10"/>
  <c r="H70" i="10"/>
  <c r="H71" i="10"/>
  <c r="C124" i="10"/>
  <c r="B116" i="10"/>
  <c r="D101" i="10"/>
  <c r="E91" i="10" s="1"/>
  <c r="D100" i="10"/>
  <c r="B98" i="10"/>
  <c r="D97" i="10"/>
  <c r="D98" i="10" s="1"/>
  <c r="F95" i="10"/>
  <c r="D95" i="10"/>
  <c r="I92" i="10" s="1"/>
  <c r="G94" i="10"/>
  <c r="E94" i="10"/>
  <c r="B87" i="10"/>
  <c r="F97" i="10" s="1"/>
  <c r="F98" i="10" s="1"/>
  <c r="B81" i="10"/>
  <c r="B83" i="10" s="1"/>
  <c r="B80" i="10"/>
  <c r="B79" i="10"/>
  <c r="C76" i="10"/>
  <c r="G71" i="10"/>
  <c r="B68" i="10"/>
  <c r="G67" i="10"/>
  <c r="G63" i="10"/>
  <c r="C56" i="10"/>
  <c r="B55" i="10"/>
  <c r="D48" i="10"/>
  <c r="B45" i="10"/>
  <c r="F44" i="10"/>
  <c r="F45" i="10" s="1"/>
  <c r="F46" i="10" s="1"/>
  <c r="F42" i="10"/>
  <c r="D42" i="10"/>
  <c r="G41" i="10"/>
  <c r="E41" i="10"/>
  <c r="I39" i="10"/>
  <c r="B34" i="10"/>
  <c r="D44" i="10" s="1"/>
  <c r="D45" i="10" s="1"/>
  <c r="B30" i="10"/>
  <c r="C46" i="9"/>
  <c r="B57" i="10" s="1"/>
  <c r="C45" i="9"/>
  <c r="D29" i="9"/>
  <c r="D25" i="9"/>
  <c r="C19" i="9"/>
  <c r="B53" i="8"/>
  <c r="E51" i="8"/>
  <c r="D51" i="8"/>
  <c r="C51" i="8"/>
  <c r="B51" i="8"/>
  <c r="B52" i="8" s="1"/>
  <c r="B32" i="8"/>
  <c r="E30" i="8"/>
  <c r="D30" i="8"/>
  <c r="C30" i="8"/>
  <c r="B30" i="8"/>
  <c r="B31" i="8" s="1"/>
  <c r="E95" i="10" l="1"/>
  <c r="G39" i="10"/>
  <c r="F99" i="10"/>
  <c r="G91" i="10"/>
  <c r="B69" i="10"/>
  <c r="D99" i="10"/>
  <c r="E93" i="10"/>
  <c r="D46" i="10"/>
  <c r="E38" i="10"/>
  <c r="D37" i="9"/>
  <c r="D33" i="9"/>
  <c r="D41" i="9"/>
  <c r="D26" i="9"/>
  <c r="D30" i="9"/>
  <c r="D34" i="9"/>
  <c r="D38" i="9"/>
  <c r="D42" i="9"/>
  <c r="B49" i="9"/>
  <c r="D50" i="9"/>
  <c r="G38" i="10"/>
  <c r="E40" i="10"/>
  <c r="D49" i="10"/>
  <c r="E92" i="10"/>
  <c r="D103" i="10" s="1"/>
  <c r="G93" i="10"/>
  <c r="D102" i="10"/>
  <c r="D27" i="9"/>
  <c r="D43" i="9"/>
  <c r="G40" i="10"/>
  <c r="G92" i="10"/>
  <c r="D105" i="10" s="1"/>
  <c r="C50" i="9"/>
  <c r="D31" i="9"/>
  <c r="D35" i="9"/>
  <c r="D39" i="9"/>
  <c r="C49" i="9"/>
  <c r="E39" i="10"/>
  <c r="D24" i="9"/>
  <c r="D28" i="9"/>
  <c r="D32" i="9"/>
  <c r="D36" i="9"/>
  <c r="D40" i="9"/>
  <c r="D49" i="9"/>
  <c r="E113" i="10" l="1"/>
  <c r="E111" i="10"/>
  <c r="E109" i="10"/>
  <c r="D104" i="10"/>
  <c r="E112" i="10"/>
  <c r="E110" i="10"/>
  <c r="E108" i="10"/>
  <c r="E42" i="10"/>
  <c r="D50" i="10"/>
  <c r="D52" i="10"/>
  <c r="G42" i="10"/>
  <c r="G95" i="10"/>
  <c r="D51" i="10" l="1"/>
  <c r="G60" i="10"/>
  <c r="G70" i="10"/>
  <c r="G65" i="10"/>
  <c r="G61" i="10"/>
  <c r="G68" i="10"/>
  <c r="G69" i="10"/>
  <c r="G66" i="10"/>
  <c r="G62" i="10"/>
  <c r="G64" i="10"/>
  <c r="E120" i="10"/>
  <c r="E117" i="10"/>
  <c r="E115" i="10"/>
  <c r="E116" i="10" s="1"/>
  <c r="E119" i="10"/>
  <c r="G74" i="10" l="1"/>
  <c r="G72" i="10"/>
  <c r="G73" i="10" s="1"/>
  <c r="H60" i="10"/>
  <c r="F120" i="10"/>
  <c r="F117" i="10"/>
  <c r="F119" i="10"/>
  <c r="H74" i="10" l="1"/>
  <c r="F116" i="10"/>
  <c r="G76" i="10" l="1"/>
  <c r="H73" i="10"/>
  <c r="B57" i="7" l="1"/>
  <c r="C168" i="7" l="1"/>
  <c r="B159" i="7"/>
  <c r="D143" i="7" s="1"/>
  <c r="B141" i="7"/>
  <c r="F140" i="7"/>
  <c r="F141" i="7" s="1"/>
  <c r="F142" i="7" s="1"/>
  <c r="F138" i="7"/>
  <c r="D138" i="7"/>
  <c r="G137" i="7"/>
  <c r="E137" i="7"/>
  <c r="B130" i="7"/>
  <c r="D140" i="7" s="1"/>
  <c r="D141" i="7" s="1"/>
  <c r="B126" i="7"/>
  <c r="B125" i="7"/>
  <c r="B116" i="7"/>
  <c r="D100" i="7" s="1"/>
  <c r="D101" i="7" s="1"/>
  <c r="B98" i="7"/>
  <c r="F97" i="7"/>
  <c r="F98" i="7" s="1"/>
  <c r="F95" i="7"/>
  <c r="D95" i="7"/>
  <c r="G94" i="7"/>
  <c r="E94" i="7"/>
  <c r="B87" i="7"/>
  <c r="D97" i="7" s="1"/>
  <c r="D98" i="7" s="1"/>
  <c r="B83" i="7"/>
  <c r="B82" i="7"/>
  <c r="B80" i="7"/>
  <c r="B79" i="7"/>
  <c r="C76" i="7"/>
  <c r="H71" i="7"/>
  <c r="G71" i="7"/>
  <c r="B68" i="7"/>
  <c r="B69" i="7" s="1"/>
  <c r="H67" i="7"/>
  <c r="G67" i="7"/>
  <c r="H63" i="7"/>
  <c r="G63" i="7"/>
  <c r="C56" i="7"/>
  <c r="B55" i="7"/>
  <c r="B45" i="7"/>
  <c r="D48" i="7" s="1"/>
  <c r="F44" i="7"/>
  <c r="F45" i="7" s="1"/>
  <c r="D44" i="7"/>
  <c r="D45" i="7" s="1"/>
  <c r="F42" i="7"/>
  <c r="D42" i="7"/>
  <c r="G41" i="7"/>
  <c r="E41" i="7"/>
  <c r="B34" i="7"/>
  <c r="B30" i="7"/>
  <c r="C120" i="6"/>
  <c r="B116" i="6"/>
  <c r="D100" i="6"/>
  <c r="B98" i="6"/>
  <c r="D101" i="6" s="1"/>
  <c r="D102" i="6" s="1"/>
  <c r="F95" i="6"/>
  <c r="D95" i="6"/>
  <c r="B87" i="6"/>
  <c r="F97" i="6" s="1"/>
  <c r="B81" i="6"/>
  <c r="B83" i="6" s="1"/>
  <c r="B80" i="6"/>
  <c r="B79" i="6"/>
  <c r="C76" i="6"/>
  <c r="H71" i="6"/>
  <c r="G71" i="6"/>
  <c r="B68" i="6"/>
  <c r="B69" i="6" s="1"/>
  <c r="H67" i="6"/>
  <c r="G67" i="6"/>
  <c r="H63" i="6"/>
  <c r="G63" i="6"/>
  <c r="B57" i="6"/>
  <c r="C56" i="6"/>
  <c r="B55" i="6"/>
  <c r="B45" i="6"/>
  <c r="D48" i="6" s="1"/>
  <c r="F42" i="6"/>
  <c r="D42" i="6"/>
  <c r="G41" i="6"/>
  <c r="E41" i="6"/>
  <c r="B34" i="6"/>
  <c r="D44" i="6" s="1"/>
  <c r="D45" i="6" s="1"/>
  <c r="D46" i="6" s="1"/>
  <c r="B30" i="6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1"/>
  <c r="C120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D44" i="4" s="1"/>
  <c r="D45" i="4" s="1"/>
  <c r="D46" i="4" s="1"/>
  <c r="B30" i="4"/>
  <c r="D50" i="2"/>
  <c r="C49" i="2"/>
  <c r="B49" i="2"/>
  <c r="C46" i="2"/>
  <c r="D49" i="2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7" l="1"/>
  <c r="I92" i="6"/>
  <c r="D97" i="6"/>
  <c r="D97" i="4"/>
  <c r="D98" i="4" s="1"/>
  <c r="D99" i="4" s="1"/>
  <c r="D101" i="4"/>
  <c r="I92" i="4"/>
  <c r="F46" i="7"/>
  <c r="D144" i="7"/>
  <c r="E136" i="7" s="1"/>
  <c r="D142" i="7"/>
  <c r="D99" i="7"/>
  <c r="F99" i="7"/>
  <c r="D49" i="7"/>
  <c r="E40" i="7"/>
  <c r="E38" i="7"/>
  <c r="G38" i="7"/>
  <c r="G39" i="7"/>
  <c r="E39" i="7"/>
  <c r="G40" i="7"/>
  <c r="D102" i="7"/>
  <c r="G93" i="7"/>
  <c r="G91" i="7"/>
  <c r="E93" i="7"/>
  <c r="E91" i="7"/>
  <c r="G92" i="7"/>
  <c r="E92" i="7"/>
  <c r="I39" i="6"/>
  <c r="D49" i="6"/>
  <c r="E40" i="6"/>
  <c r="E38" i="6"/>
  <c r="E39" i="6"/>
  <c r="D98" i="6"/>
  <c r="E92" i="6" s="1"/>
  <c r="F98" i="6"/>
  <c r="G93" i="6" s="1"/>
  <c r="F44" i="6"/>
  <c r="F45" i="6" s="1"/>
  <c r="F46" i="6" s="1"/>
  <c r="E94" i="6"/>
  <c r="E91" i="6"/>
  <c r="G94" i="6"/>
  <c r="B69" i="4"/>
  <c r="I39" i="4"/>
  <c r="D102" i="4"/>
  <c r="E94" i="4"/>
  <c r="D49" i="4"/>
  <c r="E40" i="4"/>
  <c r="E38" i="4"/>
  <c r="E41" i="4"/>
  <c r="E39" i="4"/>
  <c r="F98" i="4"/>
  <c r="F99" i="4" s="1"/>
  <c r="C50" i="2"/>
  <c r="F44" i="4"/>
  <c r="F45" i="4" s="1"/>
  <c r="F46" i="4" s="1"/>
  <c r="D24" i="2"/>
  <c r="D28" i="2"/>
  <c r="D32" i="2"/>
  <c r="D36" i="2"/>
  <c r="D40" i="2"/>
  <c r="E92" i="4" l="1"/>
  <c r="E91" i="4"/>
  <c r="E93" i="4"/>
  <c r="G42" i="7"/>
  <c r="G134" i="7"/>
  <c r="G135" i="7"/>
  <c r="E135" i="7"/>
  <c r="E134" i="7"/>
  <c r="D145" i="7"/>
  <c r="G136" i="7"/>
  <c r="E95" i="7"/>
  <c r="D105" i="7"/>
  <c r="D103" i="7"/>
  <c r="D52" i="7"/>
  <c r="E42" i="7"/>
  <c r="D50" i="7"/>
  <c r="G95" i="7"/>
  <c r="D99" i="6"/>
  <c r="E93" i="6"/>
  <c r="E95" i="6" s="1"/>
  <c r="E42" i="6"/>
  <c r="G40" i="6"/>
  <c r="G91" i="6"/>
  <c r="F99" i="6"/>
  <c r="G39" i="6"/>
  <c r="G92" i="6"/>
  <c r="G38" i="6"/>
  <c r="G38" i="4"/>
  <c r="G92" i="4"/>
  <c r="G39" i="4"/>
  <c r="E42" i="4"/>
  <c r="G40" i="4"/>
  <c r="G41" i="4"/>
  <c r="G91" i="4"/>
  <c r="G93" i="4"/>
  <c r="G94" i="4"/>
  <c r="G68" i="7" l="1"/>
  <c r="H68" i="7" s="1"/>
  <c r="G70" i="7"/>
  <c r="H70" i="7" s="1"/>
  <c r="G69" i="7"/>
  <c r="H69" i="7" s="1"/>
  <c r="G95" i="6"/>
  <c r="E95" i="4"/>
  <c r="E138" i="7"/>
  <c r="D148" i="7"/>
  <c r="G138" i="7"/>
  <c r="D146" i="7"/>
  <c r="E151" i="7" s="1"/>
  <c r="F151" i="7" s="1"/>
  <c r="G61" i="7"/>
  <c r="H61" i="7" s="1"/>
  <c r="G66" i="7"/>
  <c r="H66" i="7" s="1"/>
  <c r="G64" i="7"/>
  <c r="H64" i="7" s="1"/>
  <c r="G62" i="7"/>
  <c r="H62" i="7" s="1"/>
  <c r="G60" i="7"/>
  <c r="H60" i="7" s="1"/>
  <c r="G65" i="7"/>
  <c r="H65" i="7" s="1"/>
  <c r="D51" i="7"/>
  <c r="E112" i="7"/>
  <c r="F112" i="7" s="1"/>
  <c r="E110" i="7"/>
  <c r="F110" i="7" s="1"/>
  <c r="E108" i="7"/>
  <c r="F108" i="7" s="1"/>
  <c r="E113" i="7"/>
  <c r="F113" i="7" s="1"/>
  <c r="E111" i="7"/>
  <c r="F111" i="7" s="1"/>
  <c r="E109" i="7"/>
  <c r="F109" i="7" s="1"/>
  <c r="D104" i="7"/>
  <c r="G42" i="6"/>
  <c r="D105" i="6"/>
  <c r="D50" i="6"/>
  <c r="D103" i="6"/>
  <c r="D52" i="6"/>
  <c r="G42" i="4"/>
  <c r="D52" i="4"/>
  <c r="D103" i="4"/>
  <c r="E112" i="4" s="1"/>
  <c r="F112" i="4" s="1"/>
  <c r="D50" i="4"/>
  <c r="G95" i="4"/>
  <c r="D105" i="4"/>
  <c r="D147" i="7" l="1"/>
  <c r="E154" i="7"/>
  <c r="F154" i="7" s="1"/>
  <c r="E156" i="7"/>
  <c r="F156" i="7" s="1"/>
  <c r="E153" i="7"/>
  <c r="F153" i="7" s="1"/>
  <c r="E152" i="7"/>
  <c r="F152" i="7" s="1"/>
  <c r="E155" i="7"/>
  <c r="F155" i="7" s="1"/>
  <c r="H74" i="7"/>
  <c r="H72" i="7"/>
  <c r="F115" i="7"/>
  <c r="F116" i="7" s="1"/>
  <c r="F117" i="7"/>
  <c r="G68" i="6"/>
  <c r="H68" i="6" s="1"/>
  <c r="G69" i="6"/>
  <c r="H69" i="6" s="1"/>
  <c r="G66" i="6"/>
  <c r="H66" i="6" s="1"/>
  <c r="G64" i="6"/>
  <c r="H64" i="6" s="1"/>
  <c r="G62" i="6"/>
  <c r="H62" i="6" s="1"/>
  <c r="G60" i="6"/>
  <c r="D51" i="6"/>
  <c r="G70" i="6"/>
  <c r="H70" i="6" s="1"/>
  <c r="G65" i="6"/>
  <c r="H65" i="6" s="1"/>
  <c r="G61" i="6"/>
  <c r="H61" i="6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D104" i="4"/>
  <c r="E109" i="4"/>
  <c r="F109" i="4" s="1"/>
  <c r="E108" i="4"/>
  <c r="E111" i="4"/>
  <c r="F111" i="4" s="1"/>
  <c r="E110" i="4"/>
  <c r="F110" i="4" s="1"/>
  <c r="E113" i="4"/>
  <c r="F113" i="4" s="1"/>
  <c r="G68" i="4"/>
  <c r="H68" i="4" s="1"/>
  <c r="D51" i="4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7" i="4"/>
  <c r="H67" i="4" s="1"/>
  <c r="G65" i="4"/>
  <c r="H65" i="4" s="1"/>
  <c r="G63" i="4"/>
  <c r="H63" i="4" s="1"/>
  <c r="G61" i="4"/>
  <c r="H61" i="4" s="1"/>
  <c r="E115" i="4" l="1"/>
  <c r="E116" i="4" s="1"/>
  <c r="E117" i="4"/>
  <c r="B165" i="7"/>
  <c r="G168" i="7" s="1"/>
  <c r="B167" i="7"/>
  <c r="F158" i="7"/>
  <c r="F159" i="7" s="1"/>
  <c r="F160" i="7"/>
  <c r="G76" i="7"/>
  <c r="H73" i="7"/>
  <c r="E115" i="6"/>
  <c r="E116" i="6" s="1"/>
  <c r="E117" i="6"/>
  <c r="F108" i="6"/>
  <c r="H60" i="6"/>
  <c r="G74" i="6"/>
  <c r="G72" i="6"/>
  <c r="G73" i="6" s="1"/>
  <c r="F108" i="4"/>
  <c r="F117" i="4" s="1"/>
  <c r="H60" i="4"/>
  <c r="G74" i="4"/>
  <c r="G72" i="4"/>
  <c r="G73" i="4" s="1"/>
  <c r="F115" i="4" l="1"/>
  <c r="G120" i="4" s="1"/>
  <c r="B166" i="7"/>
  <c r="H74" i="6"/>
  <c r="H72" i="6"/>
  <c r="F117" i="6"/>
  <c r="F115" i="6"/>
  <c r="H72" i="4"/>
  <c r="H74" i="4"/>
  <c r="F116" i="4" l="1"/>
  <c r="G76" i="6"/>
  <c r="H73" i="6"/>
  <c r="G120" i="6"/>
  <c r="F116" i="6"/>
  <c r="G76" i="4"/>
  <c r="H73" i="4"/>
</calcChain>
</file>

<file path=xl/sharedStrings.xml><?xml version="1.0" encoding="utf-8"?>
<sst xmlns="http://schemas.openxmlformats.org/spreadsheetml/2006/main" count="909" uniqueCount="175">
  <si>
    <t>HPLC System Suitability Report</t>
  </si>
  <si>
    <t>Analysis Data</t>
  </si>
  <si>
    <t>Assay</t>
  </si>
  <si>
    <t>Sample(s)</t>
  </si>
  <si>
    <t>Reference Substance:</t>
  </si>
  <si>
    <t>DORFEN TABLETS</t>
  </si>
  <si>
    <t>% age Purity:</t>
  </si>
  <si>
    <t>NDQD201605932</t>
  </si>
  <si>
    <t>Weight (mg):</t>
  </si>
  <si>
    <t xml:space="preserve">Aceclofenac </t>
  </si>
  <si>
    <t>Standard Conc (mg/mL):</t>
  </si>
  <si>
    <t>Each tablet contains Aceclofenac 100 mg</t>
  </si>
  <si>
    <t>2016-05-13 09:32:31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</si>
  <si>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</si>
  <si>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</si>
  <si>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</si>
  <si>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</si>
  <si>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</si>
  <si>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</si>
  <si>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</si>
  <si>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</si>
  <si>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</si>
  <si>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</si>
  <si>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</si>
  <si>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</si>
  <si>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</si>
  <si>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</si>
  <si>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</si>
  <si>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</si>
  <si>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</si>
  <si>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</si>
  <si>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</si>
  <si>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</si>
  <si>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</si>
  <si>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</si>
  <si>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</si>
  <si>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</si>
  <si>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</si>
  <si>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</si>
  <si>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</si>
  <si>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</si>
  <si>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</si>
  <si>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</si>
  <si>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</si>
  <si>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</si>
  <si>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</si>
  <si>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</si>
  <si>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</si>
  <si>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</si>
  <si>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</si>
  <si>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</si>
  <si>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</si>
  <si>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</si>
  <si>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</si>
  <si>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</si>
  <si>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</si>
  <si>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</si>
  <si>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</si>
  <si>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</si>
  <si>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</si>
  <si>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</si>
  <si>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</si>
  <si>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</si>
  <si>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</si>
  <si>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</si>
  <si>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</si>
  <si>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</si>
  <si>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</si>
  <si>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</si>
  <si>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</si>
  <si>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</si>
  <si>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</si>
  <si>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</si>
  <si>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</si>
  <si>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</si>
  <si>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</si>
  <si>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</si>
  <si>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</si>
  <si>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</si>
  <si>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</si>
  <si>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</si>
  <si>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</si>
  <si>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</si>
  <si>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</si>
  <si>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</si>
  <si>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</si>
  <si>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</si>
  <si>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</si>
  <si>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</si>
  <si>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</si>
  <si>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</si>
  <si>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</si>
  <si>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</si>
  <si>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</si>
  <si>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</si>
  <si>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</si>
  <si>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</si>
  <si>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</si>
  <si>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</si>
  <si>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</si>
  <si>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</si>
  <si>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</si>
  <si>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</si>
  <si>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</si>
  <si>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</t>
  </si>
  <si>
    <t>Comment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</si>
  <si>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</si>
  <si>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</si>
  <si>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</si>
  <si>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</si>
  <si>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</si>
  <si>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</si>
  <si>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tablet No.</t>
  </si>
  <si>
    <t>Amt Released (mg):</t>
  </si>
  <si>
    <t>%age Released:</t>
  </si>
  <si>
    <t>Analysis Data:</t>
  </si>
  <si>
    <t>Repeat Determination of Active Ingredient Dissolved</t>
  </si>
  <si>
    <t>If correction for water content is not needed please enter 0</t>
  </si>
  <si>
    <t>Inj</t>
  </si>
  <si>
    <t>Amt of RS (mg):</t>
  </si>
  <si>
    <t>Amt of RS as free base (mg):</t>
  </si>
  <si>
    <t>Purity correction:</t>
  </si>
  <si>
    <t>Conc (mg/mL):</t>
  </si>
  <si>
    <t>Dissolution Result Summary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</si>
  <si>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</si>
  <si>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</si>
  <si>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</si>
  <si>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</si>
  <si>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</si>
  <si>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</si>
  <si>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</si>
  <si>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</si>
  <si>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</si>
  <si>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</si>
  <si>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</si>
  <si>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</si>
  <si>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Aceclofenac</t>
  </si>
  <si>
    <t>A52-7</t>
  </si>
  <si>
    <t>RUTTO/LORNA</t>
  </si>
  <si>
    <t>Each Tablet contains: Aceclofenac BP 100mg</t>
  </si>
  <si>
    <r>
      <t>A52-</t>
    </r>
    <r>
      <rPr>
        <vertAlign val="subscript"/>
        <sz val="20"/>
        <color rgb="FF000000"/>
        <rFont val="Book Antiqua"/>
        <family val="1"/>
      </rPr>
      <t>7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</si>
  <si>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</si>
  <si>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</si>
  <si>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</si>
  <si>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DORFEN ACECLOFENAC BP TABLETS 100 MG</t>
  </si>
  <si>
    <t>ACECLOFENAC</t>
  </si>
  <si>
    <t>EACH TABLET CONTAINS 100 MG ACECLOFENAC</t>
  </si>
  <si>
    <t>27/10/2016</t>
  </si>
  <si>
    <t>15/11/2016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</si>
  <si>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</si>
  <si>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</si>
  <si>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</si>
  <si>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</si>
  <si>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</si>
  <si>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</si>
  <si>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</si>
  <si>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</si>
  <si>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</si>
  <si>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</si>
  <si>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</si>
  <si>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</si>
  <si>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</si>
  <si>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</si>
  <si>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</si>
  <si>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</si>
  <si>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Unit No.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</si>
  <si>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</si>
  <si>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</si>
  <si>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</si>
  <si>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</si>
  <si>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>Range:</t>
  </si>
  <si>
    <t>Minimum</t>
  </si>
  <si>
    <t>Maximum</t>
  </si>
  <si>
    <t>SUMMARY OF 3 ANALYSES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</si>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</sst>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  <numFmt numFmtId="173" formatCode="0.00\ &quot;%&quot;"/>
    <numFmt numFmtId="174" formatCode="0.0\ &quot;%&quot;"/>
  </numFmts>
  <fonts count="5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Calibri"/>
      <family val="2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vertAlign val="subscript"/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b/>
      <sz val="36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9" fontId="26" fillId="0" borderId="0" applyFont="0" applyFill="0" applyBorder="0" applyAlignment="0" applyProtection="0"/>
    <xf numFmtId="0" fontId="26" fillId="2" borderId="0"/>
  </cellStyleXfs>
  <cellXfs count="9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3" fillId="2" borderId="0" xfId="0" applyFont="1" applyFill="1"/>
    <xf numFmtId="0" fontId="17" fillId="2" borderId="0" xfId="0" applyFont="1" applyFill="1" applyAlignment="1" applyProtection="1">
      <alignment horizontal="left"/>
      <protection locked="0"/>
    </xf>
    <xf numFmtId="0" fontId="16" fillId="2" borderId="0" xfId="0" applyFont="1" applyFill="1"/>
    <xf numFmtId="0" fontId="16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7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8" fillId="2" borderId="0" xfId="0" applyFont="1" applyFill="1"/>
    <xf numFmtId="0" fontId="19" fillId="2" borderId="0" xfId="0" applyFont="1" applyFill="1"/>
    <xf numFmtId="2" fontId="17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right"/>
    </xf>
    <xf numFmtId="0" fontId="17" fillId="3" borderId="21" xfId="0" applyFont="1" applyFill="1" applyBorder="1" applyAlignment="1" applyProtection="1">
      <alignment horizontal="center"/>
      <protection locked="0"/>
    </xf>
    <xf numFmtId="0" fontId="11" fillId="2" borderId="26" xfId="0" applyFont="1" applyFill="1" applyBorder="1" applyAlignment="1">
      <alignment horizontal="right"/>
    </xf>
    <xf numFmtId="0" fontId="17" fillId="3" borderId="22" xfId="0" applyFont="1" applyFill="1" applyBorder="1" applyAlignment="1" applyProtection="1">
      <alignment horizontal="center"/>
      <protection locked="0"/>
    </xf>
    <xf numFmtId="0" fontId="13" fillId="2" borderId="21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28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7" fillId="3" borderId="45" xfId="0" applyFont="1" applyFill="1" applyBorder="1" applyAlignment="1" applyProtection="1">
      <alignment horizontal="center"/>
      <protection locked="0"/>
    </xf>
    <xf numFmtId="168" fontId="11" fillId="2" borderId="28" xfId="0" applyNumberFormat="1" applyFont="1" applyFill="1" applyBorder="1" applyAlignment="1">
      <alignment horizontal="center"/>
    </xf>
    <xf numFmtId="168" fontId="11" fillId="2" borderId="29" xfId="0" applyNumberFormat="1" applyFont="1" applyFill="1" applyBorder="1" applyAlignment="1">
      <alignment horizontal="center"/>
    </xf>
    <xf numFmtId="0" fontId="14" fillId="2" borderId="13" xfId="0" applyFont="1" applyFill="1" applyBorder="1"/>
    <xf numFmtId="0" fontId="11" fillId="2" borderId="22" xfId="0" applyFont="1" applyFill="1" applyBorder="1" applyAlignment="1">
      <alignment horizontal="center"/>
    </xf>
    <xf numFmtId="0" fontId="17" fillId="3" borderId="26" xfId="0" applyFont="1" applyFill="1" applyBorder="1" applyAlignment="1" applyProtection="1">
      <alignment horizontal="center"/>
      <protection locked="0"/>
    </xf>
    <xf numFmtId="168" fontId="11" fillId="2" borderId="46" xfId="0" applyNumberFormat="1" applyFont="1" applyFill="1" applyBorder="1" applyAlignment="1">
      <alignment horizontal="center"/>
    </xf>
    <xf numFmtId="168" fontId="11" fillId="2" borderId="47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7" fillId="3" borderId="48" xfId="0" applyFont="1" applyFill="1" applyBorder="1" applyAlignment="1" applyProtection="1">
      <alignment horizontal="center"/>
      <protection locked="0"/>
    </xf>
    <xf numFmtId="168" fontId="11" fillId="2" borderId="49" xfId="0" applyNumberFormat="1" applyFont="1" applyFill="1" applyBorder="1" applyAlignment="1">
      <alignment horizontal="center"/>
    </xf>
    <xf numFmtId="168" fontId="11" fillId="2" borderId="50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2" xfId="0" applyFont="1" applyFill="1" applyBorder="1" applyAlignment="1">
      <alignment horizontal="right"/>
    </xf>
    <xf numFmtId="1" fontId="13" fillId="6" borderId="57" xfId="0" applyNumberFormat="1" applyFont="1" applyFill="1" applyBorder="1" applyAlignment="1">
      <alignment horizontal="center"/>
    </xf>
    <xf numFmtId="168" fontId="13" fillId="6" borderId="34" xfId="0" applyNumberFormat="1" applyFont="1" applyFill="1" applyBorder="1" applyAlignment="1">
      <alignment horizontal="center"/>
    </xf>
    <xf numFmtId="168" fontId="13" fillId="6" borderId="3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7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65" xfId="0" applyFont="1" applyFill="1" applyBorder="1" applyAlignment="1">
      <alignment horizontal="right"/>
    </xf>
    <xf numFmtId="166" fontId="17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5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68" fontId="13" fillId="7" borderId="13" xfId="0" applyNumberFormat="1" applyFont="1" applyFill="1" applyBorder="1" applyAlignment="1">
      <alignment horizontal="center"/>
    </xf>
    <xf numFmtId="168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7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7" fillId="3" borderId="25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7" fillId="3" borderId="26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7" fillId="3" borderId="41" xfId="0" applyFont="1" applyFill="1" applyBorder="1" applyAlignment="1" applyProtection="1">
      <alignment horizontal="center"/>
      <protection locked="0"/>
    </xf>
    <xf numFmtId="10" fontId="11" fillId="2" borderId="21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3" xfId="0" applyNumberFormat="1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/>
    </xf>
    <xf numFmtId="2" fontId="16" fillId="2" borderId="2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2" xfId="0" applyFont="1" applyFill="1" applyBorder="1" applyAlignment="1">
      <alignment horizontal="right"/>
    </xf>
    <xf numFmtId="10" fontId="17" fillId="7" borderId="33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7" fillId="7" borderId="61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7" fillId="3" borderId="0" xfId="0" applyFont="1" applyFill="1" applyAlignment="1" applyProtection="1">
      <alignment horizontal="center"/>
      <protection locked="0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68" fontId="17" fillId="3" borderId="48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3" fillId="6" borderId="31" xfId="0" applyNumberFormat="1" applyFont="1" applyFill="1" applyBorder="1" applyAlignment="1">
      <alignment horizontal="center"/>
    </xf>
    <xf numFmtId="1" fontId="13" fillId="6" borderId="35" xfId="0" applyNumberFormat="1" applyFont="1" applyFill="1" applyBorder="1" applyAlignment="1">
      <alignment horizontal="center"/>
    </xf>
    <xf numFmtId="168" fontId="13" fillId="6" borderId="15" xfId="0" applyNumberFormat="1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7" fillId="3" borderId="37" xfId="0" applyFont="1" applyFill="1" applyBorder="1" applyAlignment="1" applyProtection="1">
      <alignment horizontal="center"/>
      <protection locked="0"/>
    </xf>
    <xf numFmtId="0" fontId="11" fillId="2" borderId="38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27" xfId="0" applyFont="1" applyFill="1" applyBorder="1" applyAlignment="1">
      <alignment horizontal="right"/>
    </xf>
    <xf numFmtId="2" fontId="11" fillId="7" borderId="29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68" fontId="13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3" fillId="6" borderId="40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/>
    </xf>
    <xf numFmtId="0" fontId="13" fillId="2" borderId="52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 wrapText="1"/>
    </xf>
    <xf numFmtId="0" fontId="11" fillId="2" borderId="26" xfId="0" applyFont="1" applyFill="1" applyBorder="1" applyAlignment="1">
      <alignment horizontal="center"/>
    </xf>
    <xf numFmtId="10" fontId="11" fillId="2" borderId="29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10" fontId="11" fillId="2" borderId="50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68" fontId="11" fillId="2" borderId="2" xfId="0" applyNumberFormat="1" applyFont="1" applyFill="1" applyBorder="1" applyAlignment="1">
      <alignment horizontal="right"/>
    </xf>
    <xf numFmtId="10" fontId="17" fillId="7" borderId="39" xfId="0" applyNumberFormat="1" applyFont="1" applyFill="1" applyBorder="1" applyAlignment="1">
      <alignment horizontal="center"/>
    </xf>
    <xf numFmtId="0" fontId="11" fillId="2" borderId="26" xfId="0" applyFont="1" applyFill="1" applyBorder="1"/>
    <xf numFmtId="10" fontId="17" fillId="6" borderId="39" xfId="0" applyNumberFormat="1" applyFont="1" applyFill="1" applyBorder="1" applyAlignment="1">
      <alignment horizontal="center"/>
    </xf>
    <xf numFmtId="0" fontId="11" fillId="2" borderId="41" xfId="0" applyFont="1" applyFill="1" applyBorder="1"/>
    <xf numFmtId="0" fontId="11" fillId="2" borderId="54" xfId="0" applyFont="1" applyFill="1" applyBorder="1" applyAlignment="1">
      <alignment horizontal="right"/>
    </xf>
    <xf numFmtId="0" fontId="17" fillId="7" borderId="17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3" fillId="2" borderId="11" xfId="0" applyFont="1" applyFill="1" applyBorder="1"/>
    <xf numFmtId="0" fontId="11" fillId="2" borderId="11" xfId="0" applyFont="1" applyFill="1" applyBorder="1"/>
    <xf numFmtId="0" fontId="15" fillId="2" borderId="0" xfId="0" applyFont="1" applyFill="1" applyAlignment="1">
      <alignment horizontal="right" vertical="center" wrapText="1"/>
    </xf>
    <xf numFmtId="0" fontId="17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66" fontId="11" fillId="2" borderId="2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7" fillId="6" borderId="62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166" fontId="11" fillId="2" borderId="49" xfId="0" applyNumberFormat="1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vertical="center" wrapText="1"/>
    </xf>
    <xf numFmtId="2" fontId="17" fillId="7" borderId="33" xfId="0" applyNumberFormat="1" applyFont="1" applyFill="1" applyBorder="1" applyAlignment="1">
      <alignment horizontal="center"/>
    </xf>
    <xf numFmtId="2" fontId="17" fillId="7" borderId="39" xfId="0" applyNumberFormat="1" applyFont="1" applyFill="1" applyBorder="1" applyAlignment="1">
      <alignment horizontal="center"/>
    </xf>
    <xf numFmtId="0" fontId="16" fillId="2" borderId="0" xfId="0" applyFont="1" applyFill="1"/>
    <xf numFmtId="0" fontId="1" fillId="2" borderId="0" xfId="1" applyFont="1" applyFill="1"/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24" fillId="2" borderId="0" xfId="1" applyFill="1"/>
    <xf numFmtId="0" fontId="13" fillId="2" borderId="0" xfId="1" applyFont="1" applyFill="1" applyAlignment="1">
      <alignment vertical="center"/>
    </xf>
    <xf numFmtId="0" fontId="13" fillId="3" borderId="0" xfId="1" applyFont="1" applyFill="1" applyAlignment="1" applyProtection="1">
      <alignment horizontal="left" vertical="center"/>
      <protection locked="0"/>
    </xf>
    <xf numFmtId="0" fontId="16" fillId="3" borderId="0" xfId="2" applyFont="1" applyFill="1" applyAlignment="1" applyProtection="1">
      <alignment horizontal="left"/>
      <protection locked="0"/>
    </xf>
    <xf numFmtId="0" fontId="11" fillId="2" borderId="0" xfId="1" applyFont="1" applyFill="1" applyAlignment="1">
      <alignment vertical="center"/>
    </xf>
    <xf numFmtId="169" fontId="16" fillId="3" borderId="0" xfId="1" applyNumberFormat="1" applyFont="1" applyFill="1" applyAlignment="1" applyProtection="1">
      <alignment horizontal="left" vertical="center"/>
      <protection locked="0"/>
    </xf>
    <xf numFmtId="169" fontId="11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3" fillId="2" borderId="0" xfId="1" applyFont="1" applyFill="1" applyAlignment="1">
      <alignment horizontal="right" vertical="center"/>
    </xf>
    <xf numFmtId="0" fontId="11" fillId="2" borderId="0" xfId="1" applyFont="1" applyFill="1" applyAlignment="1">
      <alignment horizontal="right" vertical="center"/>
    </xf>
    <xf numFmtId="0" fontId="17" fillId="3" borderId="0" xfId="1" applyFont="1" applyFill="1" applyAlignment="1" applyProtection="1">
      <alignment horizontal="center" vertical="center"/>
      <protection locked="0"/>
    </xf>
    <xf numFmtId="0" fontId="16" fillId="3" borderId="0" xfId="1" applyFont="1" applyFill="1" applyAlignment="1" applyProtection="1">
      <alignment horizontal="center" vertical="center"/>
      <protection locked="0"/>
    </xf>
    <xf numFmtId="0" fontId="14" fillId="2" borderId="0" xfId="1" applyFont="1" applyFill="1" applyAlignment="1">
      <alignment vertical="center"/>
    </xf>
    <xf numFmtId="0" fontId="12" fillId="2" borderId="0" xfId="1" applyFont="1" applyFill="1" applyAlignment="1">
      <alignment vertical="center" wrapText="1"/>
    </xf>
    <xf numFmtId="0" fontId="2" fillId="2" borderId="0" xfId="1" applyFont="1" applyFill="1"/>
    <xf numFmtId="0" fontId="13" fillId="2" borderId="0" xfId="1" applyFont="1" applyFill="1" applyAlignment="1">
      <alignment horizontal="center" vertical="center"/>
    </xf>
    <xf numFmtId="0" fontId="18" fillId="2" borderId="0" xfId="1" applyFont="1" applyFill="1" applyAlignment="1">
      <alignment vertical="center"/>
    </xf>
    <xf numFmtId="0" fontId="19" fillId="2" borderId="0" xfId="1" applyFont="1" applyFill="1" applyAlignment="1">
      <alignment vertical="center"/>
    </xf>
    <xf numFmtId="2" fontId="17" fillId="3" borderId="0" xfId="1" applyNumberFormat="1" applyFont="1" applyFill="1" applyAlignment="1" applyProtection="1">
      <alignment horizontal="center" vertical="center"/>
      <protection locked="0"/>
    </xf>
    <xf numFmtId="0" fontId="13" fillId="2" borderId="0" xfId="1" applyFont="1" applyFill="1" applyAlignment="1">
      <alignment vertical="center" wrapText="1"/>
    </xf>
    <xf numFmtId="0" fontId="14" fillId="2" borderId="0" xfId="1" applyFont="1" applyFill="1"/>
    <xf numFmtId="2" fontId="13" fillId="2" borderId="0" xfId="1" applyNumberFormat="1" applyFont="1" applyFill="1" applyAlignment="1">
      <alignment horizontal="center" vertical="center"/>
    </xf>
    <xf numFmtId="0" fontId="15" fillId="2" borderId="0" xfId="1" applyFont="1" applyFill="1" applyAlignment="1">
      <alignment horizontal="left" vertical="center" wrapText="1"/>
    </xf>
    <xf numFmtId="170" fontId="13" fillId="2" borderId="0" xfId="1" applyNumberFormat="1" applyFont="1" applyFill="1" applyAlignment="1">
      <alignment horizontal="center" vertical="center"/>
    </xf>
    <xf numFmtId="0" fontId="11" fillId="2" borderId="25" xfId="1" applyFont="1" applyFill="1" applyBorder="1" applyAlignment="1">
      <alignment horizontal="right" vertical="center"/>
    </xf>
    <xf numFmtId="0" fontId="17" fillId="3" borderId="21" xfId="1" applyFont="1" applyFill="1" applyBorder="1" applyAlignment="1" applyProtection="1">
      <alignment horizontal="center" vertical="center"/>
      <protection locked="0"/>
    </xf>
    <xf numFmtId="0" fontId="11" fillId="2" borderId="26" xfId="1" applyFont="1" applyFill="1" applyBorder="1" applyAlignment="1">
      <alignment horizontal="right" vertical="center"/>
    </xf>
    <xf numFmtId="0" fontId="17" fillId="3" borderId="22" xfId="1" applyFont="1" applyFill="1" applyBorder="1" applyAlignment="1" applyProtection="1">
      <alignment horizontal="center" vertical="center"/>
      <protection locked="0"/>
    </xf>
    <xf numFmtId="0" fontId="13" fillId="2" borderId="10" xfId="1" applyFont="1" applyFill="1" applyBorder="1" applyAlignment="1">
      <alignment horizontal="center" vertical="center"/>
    </xf>
    <xf numFmtId="0" fontId="13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center" vertical="center"/>
    </xf>
    <xf numFmtId="0" fontId="13" fillId="2" borderId="29" xfId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/>
    </xf>
    <xf numFmtId="0" fontId="17" fillId="3" borderId="27" xfId="1" applyFont="1" applyFill="1" applyBorder="1" applyAlignment="1" applyProtection="1">
      <alignment horizontal="center" vertical="center"/>
      <protection locked="0"/>
    </xf>
    <xf numFmtId="168" fontId="11" fillId="2" borderId="24" xfId="1" applyNumberFormat="1" applyFont="1" applyFill="1" applyBorder="1" applyAlignment="1">
      <alignment horizontal="center" vertical="center"/>
    </xf>
    <xf numFmtId="168" fontId="11" fillId="2" borderId="30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7" fillId="3" borderId="31" xfId="1" applyFont="1" applyFill="1" applyBorder="1" applyAlignment="1" applyProtection="1">
      <alignment horizontal="center" vertical="center"/>
      <protection locked="0"/>
    </xf>
    <xf numFmtId="168" fontId="11" fillId="2" borderId="0" xfId="1" applyNumberFormat="1" applyFont="1" applyFill="1" applyAlignment="1">
      <alignment horizontal="center" vertical="center"/>
    </xf>
    <xf numFmtId="168" fontId="11" fillId="2" borderId="22" xfId="1" applyNumberFormat="1" applyFont="1" applyFill="1" applyBorder="1" applyAlignment="1">
      <alignment horizontal="center" vertical="center"/>
    </xf>
    <xf numFmtId="0" fontId="11" fillId="2" borderId="0" xfId="1" applyFont="1" applyFill="1"/>
    <xf numFmtId="0" fontId="11" fillId="2" borderId="7" xfId="1" applyFont="1" applyFill="1" applyBorder="1" applyAlignment="1">
      <alignment horizontal="center" vertical="center"/>
    </xf>
    <xf numFmtId="0" fontId="17" fillId="3" borderId="32" xfId="1" applyFont="1" applyFill="1" applyBorder="1" applyAlignment="1" applyProtection="1">
      <alignment horizontal="center" vertical="center"/>
      <protection locked="0"/>
    </xf>
    <xf numFmtId="168" fontId="11" fillId="2" borderId="7" xfId="1" applyNumberFormat="1" applyFont="1" applyFill="1" applyBorder="1" applyAlignment="1">
      <alignment horizontal="center" vertical="center"/>
    </xf>
    <xf numFmtId="168" fontId="11" fillId="2" borderId="33" xfId="1" applyNumberFormat="1" applyFont="1" applyFill="1" applyBorder="1" applyAlignment="1">
      <alignment horizontal="center" vertical="center"/>
    </xf>
    <xf numFmtId="168" fontId="13" fillId="6" borderId="31" xfId="1" applyNumberFormat="1" applyFont="1" applyFill="1" applyBorder="1" applyAlignment="1">
      <alignment horizontal="center" vertical="center"/>
    </xf>
    <xf numFmtId="168" fontId="13" fillId="6" borderId="34" xfId="1" applyNumberFormat="1" applyFont="1" applyFill="1" applyBorder="1" applyAlignment="1">
      <alignment horizontal="center" vertical="center"/>
    </xf>
    <xf numFmtId="1" fontId="13" fillId="6" borderId="35" xfId="1" applyNumberFormat="1" applyFont="1" applyFill="1" applyBorder="1" applyAlignment="1">
      <alignment horizontal="center" vertical="center"/>
    </xf>
    <xf numFmtId="168" fontId="13" fillId="6" borderId="36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11" fillId="2" borderId="44" xfId="1" applyFont="1" applyFill="1" applyBorder="1" applyAlignment="1">
      <alignment horizontal="right"/>
    </xf>
    <xf numFmtId="0" fontId="17" fillId="3" borderId="37" xfId="1" applyFont="1" applyFill="1" applyBorder="1" applyAlignment="1" applyProtection="1">
      <alignment horizontal="center" vertical="center"/>
      <protection locked="0"/>
    </xf>
    <xf numFmtId="0" fontId="17" fillId="3" borderId="16" xfId="1" applyFont="1" applyFill="1" applyBorder="1" applyAlignment="1" applyProtection="1">
      <alignment horizontal="center" vertic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 vertical="center"/>
    </xf>
    <xf numFmtId="2" fontId="11" fillId="6" borderId="40" xfId="1" applyNumberFormat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/>
    </xf>
    <xf numFmtId="2" fontId="11" fillId="7" borderId="39" xfId="1" applyNumberFormat="1" applyFont="1" applyFill="1" applyBorder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2" fontId="11" fillId="7" borderId="40" xfId="1" applyNumberFormat="1" applyFont="1" applyFill="1" applyBorder="1" applyAlignment="1">
      <alignment horizontal="center" vertical="center"/>
    </xf>
    <xf numFmtId="2" fontId="11" fillId="6" borderId="17" xfId="1" applyNumberFormat="1" applyFont="1" applyFill="1" applyBorder="1" applyAlignment="1">
      <alignment horizontal="center" vertical="center"/>
    </xf>
    <xf numFmtId="0" fontId="11" fillId="2" borderId="55" xfId="1" applyFont="1" applyFill="1" applyBorder="1" applyAlignment="1">
      <alignment horizontal="right" vertical="center"/>
    </xf>
    <xf numFmtId="166" fontId="17" fillId="3" borderId="39" xfId="1" applyNumberFormat="1" applyFont="1" applyFill="1" applyBorder="1" applyAlignment="1" applyProtection="1">
      <alignment horizontal="center" vertical="center"/>
      <protection locked="0"/>
    </xf>
    <xf numFmtId="1" fontId="11" fillId="2" borderId="0" xfId="1" applyNumberFormat="1" applyFont="1" applyFill="1" applyAlignment="1">
      <alignment horizontal="center" vertical="center"/>
    </xf>
    <xf numFmtId="0" fontId="11" fillId="2" borderId="38" xfId="1" applyFont="1" applyFill="1" applyBorder="1" applyAlignment="1">
      <alignment horizontal="right" vertical="center"/>
    </xf>
    <xf numFmtId="0" fontId="11" fillId="2" borderId="27" xfId="1" applyFont="1" applyFill="1" applyBorder="1" applyAlignment="1">
      <alignment horizontal="right" vertical="center"/>
    </xf>
    <xf numFmtId="2" fontId="11" fillId="6" borderId="29" xfId="1" applyNumberFormat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right" vertical="center"/>
    </xf>
    <xf numFmtId="168" fontId="13" fillId="7" borderId="16" xfId="1" applyNumberFormat="1" applyFont="1" applyFill="1" applyBorder="1" applyAlignment="1">
      <alignment horizontal="center" vertical="center"/>
    </xf>
    <xf numFmtId="0" fontId="11" fillId="2" borderId="40" xfId="1" applyFont="1" applyFill="1" applyBorder="1" applyAlignment="1">
      <alignment horizontal="right" vertical="center"/>
    </xf>
    <xf numFmtId="10" fontId="11" fillId="6" borderId="40" xfId="1" applyNumberFormat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right" vertical="center"/>
    </xf>
    <xf numFmtId="0" fontId="11" fillId="7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13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left" vertical="center"/>
    </xf>
    <xf numFmtId="166" fontId="13" fillId="2" borderId="0" xfId="1" applyNumberFormat="1" applyFont="1" applyFill="1" applyAlignment="1" applyProtection="1">
      <alignment horizontal="center" vertical="center"/>
      <protection locked="0"/>
    </xf>
    <xf numFmtId="2" fontId="13" fillId="2" borderId="13" xfId="1" applyNumberFormat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17" fillId="3" borderId="25" xfId="1" applyFont="1" applyFill="1" applyBorder="1" applyAlignment="1" applyProtection="1">
      <alignment horizontal="center" vertical="center"/>
      <protection locked="0"/>
    </xf>
    <xf numFmtId="2" fontId="11" fillId="2" borderId="25" xfId="1" applyNumberFormat="1" applyFont="1" applyFill="1" applyBorder="1" applyAlignment="1">
      <alignment horizontal="center" vertic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 vertical="center"/>
    </xf>
    <xf numFmtId="0" fontId="17" fillId="3" borderId="26" xfId="1" applyFont="1" applyFill="1" applyBorder="1" applyAlignment="1" applyProtection="1">
      <alignment horizontal="center" vertical="center"/>
      <protection locked="0"/>
    </xf>
    <xf numFmtId="2" fontId="11" fillId="2" borderId="26" xfId="1" applyNumberFormat="1" applyFont="1" applyFill="1" applyBorder="1" applyAlignment="1">
      <alignment horizontal="center" vertical="center"/>
    </xf>
    <xf numFmtId="10" fontId="11" fillId="2" borderId="14" xfId="1" applyNumberFormat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17" fillId="3" borderId="41" xfId="1" applyFont="1" applyFill="1" applyBorder="1" applyAlignment="1" applyProtection="1">
      <alignment horizontal="center" vertical="center"/>
      <protection locked="0"/>
    </xf>
    <xf numFmtId="2" fontId="11" fillId="2" borderId="13" xfId="1" applyNumberFormat="1" applyFont="1" applyFill="1" applyBorder="1" applyAlignment="1">
      <alignment horizontal="center" vertical="center"/>
    </xf>
    <xf numFmtId="10" fontId="11" fillId="2" borderId="21" xfId="1" applyNumberFormat="1" applyFont="1" applyFill="1" applyBorder="1" applyAlignment="1">
      <alignment horizontal="center" vertical="center"/>
    </xf>
    <xf numFmtId="2" fontId="11" fillId="2" borderId="14" xfId="1" applyNumberFormat="1" applyFont="1" applyFill="1" applyBorder="1" applyAlignment="1">
      <alignment horizontal="center" vertical="center"/>
    </xf>
    <xf numFmtId="10" fontId="11" fillId="2" borderId="22" xfId="1" applyNumberFormat="1" applyFont="1" applyFill="1" applyBorder="1" applyAlignment="1">
      <alignment horizontal="center" vertical="center"/>
    </xf>
    <xf numFmtId="2" fontId="11" fillId="2" borderId="15" xfId="1" applyNumberFormat="1" applyFont="1" applyFill="1" applyBorder="1" applyAlignment="1">
      <alignment horizontal="center" vertical="center"/>
    </xf>
    <xf numFmtId="10" fontId="11" fillId="2" borderId="23" xfId="1" applyNumberFormat="1" applyFont="1" applyFill="1" applyBorder="1" applyAlignment="1">
      <alignment horizontal="center" vertical="center"/>
    </xf>
    <xf numFmtId="0" fontId="11" fillId="2" borderId="41" xfId="1" applyFont="1" applyFill="1" applyBorder="1" applyAlignment="1">
      <alignment horizontal="right" vertical="center"/>
    </xf>
    <xf numFmtId="2" fontId="13" fillId="2" borderId="23" xfId="1" applyNumberFormat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2" xfId="1" applyFont="1" applyFill="1" applyBorder="1" applyAlignment="1">
      <alignment horizontal="right" vertical="center"/>
    </xf>
    <xf numFmtId="10" fontId="17" fillId="7" borderId="33" xfId="1" applyNumberFormat="1" applyFont="1" applyFill="1" applyBorder="1" applyAlignment="1">
      <alignment horizontal="center" vertical="center"/>
    </xf>
    <xf numFmtId="10" fontId="17" fillId="6" borderId="62" xfId="1" applyNumberFormat="1" applyFont="1" applyFill="1" applyBorder="1" applyAlignment="1">
      <alignment horizontal="center" vertical="center"/>
    </xf>
    <xf numFmtId="0" fontId="17" fillId="7" borderId="61" xfId="1" applyFont="1" applyFill="1" applyBorder="1" applyAlignment="1">
      <alignment horizontal="center" vertical="center"/>
    </xf>
    <xf numFmtId="165" fontId="17" fillId="2" borderId="0" xfId="1" applyNumberFormat="1" applyFont="1" applyFill="1" applyAlignment="1">
      <alignment horizontal="center" vertical="center"/>
    </xf>
    <xf numFmtId="0" fontId="13" fillId="2" borderId="43" xfId="1" applyFont="1" applyFill="1" applyBorder="1" applyAlignment="1">
      <alignment horizontal="center" vertical="center"/>
    </xf>
    <xf numFmtId="0" fontId="13" fillId="2" borderId="44" xfId="1" applyFont="1" applyFill="1" applyBorder="1" applyAlignment="1">
      <alignment horizontal="center" vertical="center"/>
    </xf>
    <xf numFmtId="0" fontId="13" fillId="2" borderId="38" xfId="1" applyFont="1" applyFill="1" applyBorder="1" applyAlignment="1">
      <alignment horizontal="center" vertical="center"/>
    </xf>
    <xf numFmtId="0" fontId="17" fillId="3" borderId="45" xfId="1" applyFont="1" applyFill="1" applyBorder="1" applyAlignment="1" applyProtection="1">
      <alignment horizontal="center"/>
      <protection locked="0"/>
    </xf>
    <xf numFmtId="168" fontId="11" fillId="2" borderId="28" xfId="1" applyNumberFormat="1" applyFont="1" applyFill="1" applyBorder="1" applyAlignment="1">
      <alignment horizontal="center" vertical="center"/>
    </xf>
    <xf numFmtId="168" fontId="11" fillId="2" borderId="29" xfId="1" applyNumberFormat="1" applyFont="1" applyFill="1" applyBorder="1" applyAlignment="1">
      <alignment horizontal="center" vertical="center"/>
    </xf>
    <xf numFmtId="0" fontId="17" fillId="3" borderId="26" xfId="1" applyFont="1" applyFill="1" applyBorder="1" applyAlignment="1" applyProtection="1">
      <alignment horizontal="center"/>
      <protection locked="0"/>
    </xf>
    <xf numFmtId="168" fontId="11" fillId="2" borderId="46" xfId="1" applyNumberFormat="1" applyFont="1" applyFill="1" applyBorder="1" applyAlignment="1">
      <alignment horizontal="center" vertical="center"/>
    </xf>
    <xf numFmtId="168" fontId="11" fillId="2" borderId="47" xfId="1" applyNumberFormat="1" applyFont="1" applyFill="1" applyBorder="1" applyAlignment="1">
      <alignment horizontal="center" vertical="center"/>
    </xf>
    <xf numFmtId="0" fontId="17" fillId="3" borderId="48" xfId="1" applyFont="1" applyFill="1" applyBorder="1" applyAlignment="1" applyProtection="1">
      <alignment horizontal="center" vertical="center"/>
      <protection locked="0"/>
    </xf>
    <xf numFmtId="168" fontId="11" fillId="2" borderId="49" xfId="1" applyNumberFormat="1" applyFont="1" applyFill="1" applyBorder="1" applyAlignment="1">
      <alignment horizontal="center" vertical="center"/>
    </xf>
    <xf numFmtId="1" fontId="17" fillId="3" borderId="48" xfId="1" applyNumberFormat="1" applyFont="1" applyFill="1" applyBorder="1" applyAlignment="1" applyProtection="1">
      <alignment horizontal="center" vertical="center"/>
      <protection locked="0"/>
    </xf>
    <xf numFmtId="168" fontId="11" fillId="2" borderId="50" xfId="1" applyNumberFormat="1" applyFont="1" applyFill="1" applyBorder="1" applyAlignment="1">
      <alignment horizontal="center" vertical="center"/>
    </xf>
    <xf numFmtId="168" fontId="13" fillId="6" borderId="35" xfId="1" applyNumberFormat="1" applyFont="1" applyFill="1" applyBorder="1" applyAlignment="1">
      <alignment horizontal="center" vertical="center"/>
    </xf>
    <xf numFmtId="168" fontId="13" fillId="6" borderId="15" xfId="1" applyNumberFormat="1" applyFont="1" applyFill="1" applyBorder="1" applyAlignment="1">
      <alignment horizontal="center" vertical="center"/>
    </xf>
    <xf numFmtId="0" fontId="11" fillId="2" borderId="23" xfId="1" applyFont="1" applyFill="1" applyBorder="1" applyAlignment="1">
      <alignment horizontal="center" vertical="center"/>
    </xf>
    <xf numFmtId="164" fontId="11" fillId="6" borderId="39" xfId="1" applyNumberFormat="1" applyFont="1" applyFill="1" applyBorder="1" applyAlignment="1">
      <alignment horizontal="center" vertical="center"/>
    </xf>
    <xf numFmtId="164" fontId="11" fillId="2" borderId="0" xfId="1" applyNumberFormat="1" applyFont="1" applyFill="1" applyAlignment="1">
      <alignment horizontal="center" vertical="center"/>
    </xf>
    <xf numFmtId="164" fontId="11" fillId="6" borderId="17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6" fontId="11" fillId="7" borderId="39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11" fillId="7" borderId="29" xfId="1" applyNumberFormat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wrapText="1"/>
    </xf>
    <xf numFmtId="10" fontId="11" fillId="2" borderId="0" xfId="1" applyNumberFormat="1" applyFont="1" applyFill="1" applyAlignment="1">
      <alignment horizontal="center"/>
    </xf>
    <xf numFmtId="10" fontId="13" fillId="6" borderId="40" xfId="1" applyNumberFormat="1" applyFont="1" applyFill="1" applyBorder="1" applyAlignment="1">
      <alignment horizontal="center" vertical="center"/>
    </xf>
    <xf numFmtId="0" fontId="13" fillId="7" borderId="17" xfId="1" applyFont="1" applyFill="1" applyBorder="1" applyAlignment="1">
      <alignment horizontal="center" vertical="center"/>
    </xf>
    <xf numFmtId="0" fontId="13" fillId="2" borderId="51" xfId="1" applyFont="1" applyFill="1" applyBorder="1" applyAlignment="1">
      <alignment horizontal="center" vertical="center"/>
    </xf>
    <xf numFmtId="0" fontId="13" fillId="2" borderId="52" xfId="1" applyFont="1" applyFill="1" applyBorder="1" applyAlignment="1">
      <alignment vertical="center"/>
    </xf>
    <xf numFmtId="0" fontId="13" fillId="2" borderId="21" xfId="1" applyFont="1" applyFill="1" applyBorder="1" applyAlignment="1">
      <alignment horizontal="center" vertical="center" wrapText="1"/>
    </xf>
    <xf numFmtId="0" fontId="11" fillId="2" borderId="26" xfId="1" applyFont="1" applyFill="1" applyBorder="1" applyAlignment="1">
      <alignment horizontal="center" vertical="center"/>
    </xf>
    <xf numFmtId="1" fontId="17" fillId="3" borderId="46" xfId="1" applyNumberFormat="1" applyFont="1" applyFill="1" applyBorder="1" applyAlignment="1" applyProtection="1">
      <alignment horizontal="center"/>
      <protection locked="0"/>
    </xf>
    <xf numFmtId="2" fontId="11" fillId="2" borderId="28" xfId="1" applyNumberFormat="1" applyFont="1" applyFill="1" applyBorder="1" applyAlignment="1">
      <alignment horizontal="center" vertical="center"/>
    </xf>
    <xf numFmtId="2" fontId="11" fillId="2" borderId="46" xfId="1" applyNumberFormat="1" applyFont="1" applyFill="1" applyBorder="1" applyAlignment="1">
      <alignment horizontal="center" vertical="center"/>
    </xf>
    <xf numFmtId="0" fontId="11" fillId="2" borderId="48" xfId="1" applyFont="1" applyFill="1" applyBorder="1" applyAlignment="1">
      <alignment horizontal="center" vertical="center"/>
    </xf>
    <xf numFmtId="1" fontId="17" fillId="3" borderId="49" xfId="1" applyNumberFormat="1" applyFont="1" applyFill="1" applyBorder="1" applyAlignment="1" applyProtection="1">
      <alignment horizontal="center"/>
      <protection locked="0"/>
    </xf>
    <xf numFmtId="2" fontId="11" fillId="2" borderId="49" xfId="1" applyNumberFormat="1" applyFont="1" applyFill="1" applyBorder="1" applyAlignment="1">
      <alignment horizontal="center" vertical="center"/>
    </xf>
    <xf numFmtId="2" fontId="11" fillId="2" borderId="22" xfId="1" applyNumberFormat="1" applyFont="1" applyFill="1" applyBorder="1" applyAlignment="1">
      <alignment horizontal="center" vertical="center"/>
    </xf>
    <xf numFmtId="168" fontId="13" fillId="2" borderId="0" xfId="1" applyNumberFormat="1" applyFont="1" applyFill="1" applyAlignment="1">
      <alignment horizontal="center" vertical="center"/>
    </xf>
    <xf numFmtId="168" fontId="11" fillId="2" borderId="2" xfId="1" applyNumberFormat="1" applyFont="1" applyFill="1" applyBorder="1" applyAlignment="1">
      <alignment horizontal="right" vertical="center"/>
    </xf>
    <xf numFmtId="10" fontId="17" fillId="7" borderId="39" xfId="1" applyNumberFormat="1" applyFont="1" applyFill="1" applyBorder="1" applyAlignment="1">
      <alignment horizontal="center" vertical="center"/>
    </xf>
    <xf numFmtId="0" fontId="11" fillId="2" borderId="26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0" fontId="17" fillId="6" borderId="39" xfId="1" applyNumberFormat="1" applyFont="1" applyFill="1" applyBorder="1" applyAlignment="1">
      <alignment horizontal="center" vertical="center"/>
    </xf>
    <xf numFmtId="0" fontId="11" fillId="2" borderId="41" xfId="1" applyFont="1" applyFill="1" applyBorder="1" applyAlignment="1">
      <alignment vertical="center"/>
    </xf>
    <xf numFmtId="0" fontId="11" fillId="2" borderId="53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right" vertical="center"/>
    </xf>
    <xf numFmtId="0" fontId="17" fillId="7" borderId="17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13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1" fillId="2" borderId="0" xfId="1" applyFont="1" applyFill="1" applyAlignment="1">
      <alignment horizontal="right"/>
    </xf>
    <xf numFmtId="0" fontId="13" fillId="2" borderId="0" xfId="1" applyFont="1" applyFill="1" applyAlignment="1">
      <alignment horizontal="center"/>
    </xf>
    <xf numFmtId="0" fontId="18" fillId="2" borderId="0" xfId="1" applyFont="1" applyFill="1"/>
    <xf numFmtId="0" fontId="19" fillId="2" borderId="0" xfId="1" applyFont="1" applyFill="1"/>
    <xf numFmtId="0" fontId="11" fillId="2" borderId="25" xfId="1" applyFont="1" applyFill="1" applyBorder="1" applyAlignment="1">
      <alignment horizontal="right"/>
    </xf>
    <xf numFmtId="0" fontId="17" fillId="3" borderId="59" xfId="1" applyFont="1" applyFill="1" applyBorder="1" applyAlignment="1" applyProtection="1">
      <alignment horizontal="center" vertical="center"/>
      <protection locked="0"/>
    </xf>
    <xf numFmtId="0" fontId="11" fillId="2" borderId="26" xfId="1" applyFont="1" applyFill="1" applyBorder="1" applyAlignment="1">
      <alignment horizontal="right"/>
    </xf>
    <xf numFmtId="0" fontId="17" fillId="3" borderId="47" xfId="1" applyFont="1" applyFill="1" applyBorder="1" applyAlignment="1" applyProtection="1">
      <alignment horizontal="center" vertical="center"/>
      <protection locked="0"/>
    </xf>
    <xf numFmtId="0" fontId="13" fillId="2" borderId="10" xfId="1" applyFont="1" applyFill="1" applyBorder="1" applyAlignment="1">
      <alignment horizontal="center"/>
    </xf>
    <xf numFmtId="0" fontId="13" fillId="2" borderId="27" xfId="1" applyFont="1" applyFill="1" applyBorder="1" applyAlignment="1">
      <alignment horizontal="center"/>
    </xf>
    <xf numFmtId="0" fontId="13" fillId="2" borderId="29" xfId="1" applyFont="1" applyFill="1" applyBorder="1" applyAlignment="1">
      <alignment horizontal="center"/>
    </xf>
    <xf numFmtId="0" fontId="11" fillId="2" borderId="24" xfId="1" applyFont="1" applyFill="1" applyBorder="1" applyAlignment="1">
      <alignment horizontal="center"/>
    </xf>
    <xf numFmtId="0" fontId="17" fillId="3" borderId="45" xfId="1" applyFont="1" applyFill="1" applyBorder="1" applyAlignment="1" applyProtection="1">
      <alignment horizontal="center" vertical="center"/>
      <protection locked="0"/>
    </xf>
    <xf numFmtId="168" fontId="11" fillId="2" borderId="29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68" fontId="11" fillId="2" borderId="47" xfId="1" applyNumberFormat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68" fontId="11" fillId="2" borderId="50" xfId="1" applyNumberFormat="1" applyFont="1" applyFill="1" applyBorder="1" applyAlignment="1">
      <alignment horizontal="center"/>
    </xf>
    <xf numFmtId="1" fontId="13" fillId="6" borderId="35" xfId="1" applyNumberFormat="1" applyFont="1" applyFill="1" applyBorder="1" applyAlignment="1">
      <alignment horizontal="center"/>
    </xf>
    <xf numFmtId="168" fontId="13" fillId="6" borderId="36" xfId="1" applyNumberFormat="1" applyFont="1" applyFill="1" applyBorder="1" applyAlignment="1">
      <alignment horizontal="center"/>
    </xf>
    <xf numFmtId="1" fontId="13" fillId="6" borderId="23" xfId="1" applyNumberFormat="1" applyFont="1" applyFill="1" applyBorder="1" applyAlignment="1">
      <alignment horizontal="center"/>
    </xf>
    <xf numFmtId="0" fontId="11" fillId="2" borderId="56" xfId="1" applyFont="1" applyFill="1" applyBorder="1" applyAlignment="1">
      <alignment horizontal="right"/>
    </xf>
    <xf numFmtId="0" fontId="17" fillId="3" borderId="13" xfId="1" applyFont="1" applyFill="1" applyBorder="1" applyAlignment="1" applyProtection="1">
      <alignment horizontal="center" vertical="center"/>
      <protection locked="0"/>
    </xf>
    <xf numFmtId="0" fontId="11" fillId="2" borderId="38" xfId="1" applyFont="1" applyFill="1" applyBorder="1" applyAlignment="1">
      <alignment horizontal="right"/>
    </xf>
    <xf numFmtId="2" fontId="11" fillId="6" borderId="39" xfId="1" applyNumberFormat="1" applyFont="1" applyFill="1" applyBorder="1" applyAlignment="1">
      <alignment horizontal="center"/>
    </xf>
    <xf numFmtId="2" fontId="11" fillId="6" borderId="40" xfId="1" applyNumberFormat="1" applyFont="1" applyFill="1" applyBorder="1" applyAlignment="1">
      <alignment horizontal="center"/>
    </xf>
    <xf numFmtId="168" fontId="11" fillId="2" borderId="36" xfId="1" applyNumberFormat="1" applyFont="1" applyFill="1" applyBorder="1" applyAlignment="1">
      <alignment horizontal="center"/>
    </xf>
    <xf numFmtId="2" fontId="11" fillId="7" borderId="39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7" borderId="40" xfId="1" applyNumberFormat="1" applyFont="1" applyFill="1" applyBorder="1" applyAlignment="1">
      <alignment horizontal="center"/>
    </xf>
    <xf numFmtId="2" fontId="11" fillId="6" borderId="17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" fontId="1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7" xfId="1" applyFont="1" applyFill="1" applyBorder="1" applyAlignment="1">
      <alignment horizontal="right"/>
    </xf>
    <xf numFmtId="2" fontId="11" fillId="7" borderId="58" xfId="1" applyNumberFormat="1" applyFont="1" applyFill="1" applyBorder="1" applyAlignment="1">
      <alignment horizontal="center"/>
    </xf>
    <xf numFmtId="168" fontId="11" fillId="2" borderId="0" xfId="1" applyNumberFormat="1" applyFont="1" applyFill="1" applyAlignment="1">
      <alignment horizontal="center"/>
    </xf>
    <xf numFmtId="0" fontId="11" fillId="2" borderId="42" xfId="1" applyFont="1" applyFill="1" applyBorder="1" applyAlignment="1">
      <alignment horizontal="right"/>
    </xf>
    <xf numFmtId="168" fontId="13" fillId="7" borderId="42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10" fontId="13" fillId="6" borderId="40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3" fillId="2" borderId="0" xfId="1" applyFont="1" applyFill="1"/>
    <xf numFmtId="0" fontId="13" fillId="2" borderId="43" xfId="1" applyFont="1" applyFill="1" applyBorder="1" applyAlignment="1">
      <alignment horizontal="center"/>
    </xf>
    <xf numFmtId="0" fontId="13" fillId="2" borderId="52" xfId="1" applyFont="1" applyFill="1" applyBorder="1" applyAlignment="1">
      <alignment horizontal="center"/>
    </xf>
    <xf numFmtId="0" fontId="13" fillId="2" borderId="52" xfId="1" applyFont="1" applyFill="1" applyBorder="1"/>
    <xf numFmtId="0" fontId="13" fillId="2" borderId="21" xfId="1" applyFont="1" applyFill="1" applyBorder="1" applyAlignment="1">
      <alignment horizontal="center" wrapText="1"/>
    </xf>
    <xf numFmtId="0" fontId="11" fillId="2" borderId="26" xfId="1" applyFont="1" applyFill="1" applyBorder="1" applyAlignment="1">
      <alignment horizontal="center"/>
    </xf>
    <xf numFmtId="0" fontId="17" fillId="3" borderId="28" xfId="1" applyFont="1" applyFill="1" applyBorder="1" applyAlignment="1" applyProtection="1">
      <alignment horizontal="center" vertical="center"/>
      <protection locked="0"/>
    </xf>
    <xf numFmtId="2" fontId="11" fillId="2" borderId="4" xfId="1" applyNumberFormat="1" applyFont="1" applyFill="1" applyBorder="1" applyAlignment="1">
      <alignment horizontal="center"/>
    </xf>
    <xf numFmtId="0" fontId="17" fillId="3" borderId="46" xfId="1" applyFont="1" applyFill="1" applyBorder="1" applyAlignment="1" applyProtection="1">
      <alignment horizontal="center" vertical="center"/>
      <protection locked="0"/>
    </xf>
    <xf numFmtId="2" fontId="11" fillId="2" borderId="3" xfId="1" applyNumberFormat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7" fillId="3" borderId="49" xfId="1" applyFont="1" applyFill="1" applyBorder="1" applyAlignment="1" applyProtection="1">
      <alignment horizontal="center" vertical="center"/>
      <protection locked="0"/>
    </xf>
    <xf numFmtId="2" fontId="11" fillId="2" borderId="5" xfId="1" applyNumberFormat="1" applyFont="1" applyFill="1" applyBorder="1" applyAlignment="1">
      <alignment horizontal="center"/>
    </xf>
    <xf numFmtId="2" fontId="11" fillId="2" borderId="22" xfId="1" applyNumberFormat="1" applyFont="1" applyFill="1" applyBorder="1" applyAlignment="1">
      <alignment horizontal="center"/>
    </xf>
    <xf numFmtId="168" fontId="13" fillId="2" borderId="0" xfId="1" applyNumberFormat="1" applyFont="1" applyFill="1" applyAlignment="1">
      <alignment horizontal="center"/>
    </xf>
    <xf numFmtId="168" fontId="11" fillId="2" borderId="1" xfId="1" applyNumberFormat="1" applyFont="1" applyFill="1" applyBorder="1" applyAlignment="1">
      <alignment horizontal="right"/>
    </xf>
    <xf numFmtId="10" fontId="17" fillId="7" borderId="62" xfId="1" applyNumberFormat="1" applyFont="1" applyFill="1" applyBorder="1" applyAlignment="1">
      <alignment horizontal="center"/>
    </xf>
    <xf numFmtId="0" fontId="11" fillId="2" borderId="26" xfId="1" applyFont="1" applyFill="1" applyBorder="1"/>
    <xf numFmtId="0" fontId="11" fillId="2" borderId="1" xfId="1" applyFont="1" applyFill="1" applyBorder="1" applyAlignment="1">
      <alignment horizontal="right"/>
    </xf>
    <xf numFmtId="10" fontId="17" fillId="6" borderId="62" xfId="1" applyNumberFormat="1" applyFont="1" applyFill="1" applyBorder="1" applyAlignment="1">
      <alignment horizontal="center"/>
    </xf>
    <xf numFmtId="0" fontId="11" fillId="2" borderId="41" xfId="1" applyFont="1" applyFill="1" applyBorder="1"/>
    <xf numFmtId="0" fontId="11" fillId="2" borderId="9" xfId="1" applyFont="1" applyFill="1" applyBorder="1" applyAlignment="1">
      <alignment horizontal="center"/>
    </xf>
    <xf numFmtId="0" fontId="11" fillId="2" borderId="63" xfId="1" applyFont="1" applyFill="1" applyBorder="1" applyAlignment="1">
      <alignment horizontal="right"/>
    </xf>
    <xf numFmtId="0" fontId="17" fillId="7" borderId="61" xfId="1" applyFont="1" applyFill="1" applyBorder="1" applyAlignment="1">
      <alignment horizontal="center"/>
    </xf>
    <xf numFmtId="168" fontId="11" fillId="2" borderId="43" xfId="1" applyNumberFormat="1" applyFont="1" applyFill="1" applyBorder="1" applyAlignment="1">
      <alignment horizontal="right"/>
    </xf>
    <xf numFmtId="165" fontId="17" fillId="7" borderId="37" xfId="1" applyNumberFormat="1" applyFont="1" applyFill="1" applyBorder="1" applyAlignment="1">
      <alignment horizontal="center"/>
    </xf>
    <xf numFmtId="165" fontId="17" fillId="6" borderId="39" xfId="1" applyNumberFormat="1" applyFont="1" applyFill="1" applyBorder="1" applyAlignment="1">
      <alignment horizontal="center"/>
    </xf>
    <xf numFmtId="0" fontId="11" fillId="2" borderId="60" xfId="1" applyFont="1" applyFill="1" applyBorder="1" applyAlignment="1">
      <alignment horizontal="right"/>
    </xf>
    <xf numFmtId="0" fontId="17" fillId="7" borderId="58" xfId="1" applyFont="1" applyFill="1" applyBorder="1" applyAlignment="1">
      <alignment horizontal="center"/>
    </xf>
    <xf numFmtId="0" fontId="15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 applyAlignment="1">
      <alignment vertical="center"/>
    </xf>
    <xf numFmtId="0" fontId="11" fillId="2" borderId="10" xfId="1" applyFont="1" applyFill="1" applyBorder="1" applyAlignment="1">
      <alignment horizontal="center" vertical="center"/>
    </xf>
    <xf numFmtId="0" fontId="11" fillId="2" borderId="7" xfId="1" applyFont="1" applyFill="1" applyBorder="1" applyAlignment="1" applyProtection="1">
      <alignment vertical="center"/>
      <protection locked="0"/>
    </xf>
    <xf numFmtId="0" fontId="11" fillId="2" borderId="7" xfId="1" applyFont="1" applyFill="1" applyBorder="1" applyAlignment="1">
      <alignment vertical="center"/>
    </xf>
    <xf numFmtId="0" fontId="13" fillId="2" borderId="11" xfId="1" applyFont="1" applyFill="1" applyBorder="1" applyAlignment="1" applyProtection="1">
      <alignment vertical="center"/>
      <protection locked="0"/>
    </xf>
    <xf numFmtId="0" fontId="13" fillId="2" borderId="11" xfId="1" applyFont="1" applyFill="1" applyBorder="1" applyAlignment="1">
      <alignment vertical="center"/>
    </xf>
    <xf numFmtId="0" fontId="11" fillId="2" borderId="11" xfId="1" applyFont="1" applyFill="1" applyBorder="1" applyAlignment="1">
      <alignment vertical="center"/>
    </xf>
    <xf numFmtId="168" fontId="17" fillId="3" borderId="46" xfId="0" applyNumberFormat="1" applyFont="1" applyFill="1" applyBorder="1" applyAlignment="1" applyProtection="1">
      <alignment horizontal="center"/>
      <protection locked="0"/>
    </xf>
    <xf numFmtId="168" fontId="17" fillId="3" borderId="49" xfId="0" applyNumberFormat="1" applyFont="1" applyFill="1" applyBorder="1" applyAlignment="1" applyProtection="1">
      <alignment horizontal="center"/>
      <protection locked="0"/>
    </xf>
    <xf numFmtId="168" fontId="17" fillId="3" borderId="45" xfId="0" applyNumberFormat="1" applyFont="1" applyFill="1" applyBorder="1" applyAlignment="1" applyProtection="1">
      <alignment horizontal="center"/>
      <protection locked="0"/>
    </xf>
    <xf numFmtId="168" fontId="17" fillId="3" borderId="26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5" fillId="2" borderId="25" xfId="0" applyFont="1" applyFill="1" applyBorder="1" applyAlignment="1">
      <alignment horizontal="left"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justify" vertical="center" wrapText="1"/>
    </xf>
    <xf numFmtId="0" fontId="15" fillId="2" borderId="19" xfId="0" applyFont="1" applyFill="1" applyBorder="1" applyAlignment="1">
      <alignment horizontal="justify" vertical="center" wrapText="1"/>
    </xf>
    <xf numFmtId="0" fontId="15" fillId="2" borderId="20" xfId="0" applyFont="1" applyFill="1" applyBorder="1" applyAlignment="1">
      <alignment horizontal="justify" vertical="center" wrapText="1"/>
    </xf>
    <xf numFmtId="0" fontId="15" fillId="2" borderId="18" xfId="0" applyFont="1" applyFill="1" applyBorder="1" applyAlignment="1">
      <alignment horizontal="left" vertical="center" wrapText="1"/>
    </xf>
    <xf numFmtId="0" fontId="15" fillId="2" borderId="19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center"/>
    </xf>
    <xf numFmtId="0" fontId="13" fillId="2" borderId="6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2" fontId="17" fillId="3" borderId="13" xfId="0" applyNumberFormat="1" applyFont="1" applyFill="1" applyBorder="1" applyAlignment="1" applyProtection="1">
      <alignment horizontal="center" vertical="center"/>
      <protection locked="0"/>
    </xf>
    <xf numFmtId="2" fontId="17" fillId="3" borderId="14" xfId="0" applyNumberFormat="1" applyFont="1" applyFill="1" applyBorder="1" applyAlignment="1" applyProtection="1">
      <alignment horizontal="center" vertical="center"/>
      <protection locked="0"/>
    </xf>
    <xf numFmtId="2" fontId="1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7" fillId="3" borderId="0" xfId="0" applyFont="1" applyFill="1" applyAlignment="1" applyProtection="1">
      <alignment horizontal="left"/>
      <protection locked="0"/>
    </xf>
    <xf numFmtId="0" fontId="13" fillId="2" borderId="9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/>
      <protection locked="0"/>
    </xf>
    <xf numFmtId="0" fontId="13" fillId="2" borderId="44" xfId="0" applyFont="1" applyFill="1" applyBorder="1" applyAlignment="1">
      <alignment horizontal="center"/>
    </xf>
    <xf numFmtId="0" fontId="17" fillId="3" borderId="0" xfId="0" applyFont="1" applyFill="1" applyAlignment="1" applyProtection="1">
      <alignment horizontal="left" wrapText="1"/>
      <protection locked="0"/>
    </xf>
    <xf numFmtId="0" fontId="15" fillId="2" borderId="18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6" fillId="3" borderId="0" xfId="0" applyFont="1" applyFill="1" applyAlignment="1" applyProtection="1">
      <alignment horizontal="left" wrapText="1"/>
      <protection locked="0"/>
    </xf>
    <xf numFmtId="0" fontId="16" fillId="3" borderId="0" xfId="3" applyFont="1" applyFill="1" applyAlignment="1" applyProtection="1">
      <alignment horizontal="left" wrapText="1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5" fillId="2" borderId="18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center" vertical="center"/>
    </xf>
    <xf numFmtId="0" fontId="17" fillId="3" borderId="0" xfId="2" applyFont="1" applyFill="1" applyAlignment="1" applyProtection="1">
      <alignment horizontal="left" wrapText="1"/>
      <protection locked="0"/>
    </xf>
    <xf numFmtId="0" fontId="13" fillId="2" borderId="10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3" fillId="2" borderId="9" xfId="1" applyFont="1" applyFill="1" applyBorder="1" applyAlignment="1">
      <alignment horizontal="center" vertical="center"/>
    </xf>
    <xf numFmtId="2" fontId="17" fillId="3" borderId="13" xfId="1" applyNumberFormat="1" applyFont="1" applyFill="1" applyBorder="1" applyAlignment="1" applyProtection="1">
      <alignment horizontal="center" vertical="center"/>
      <protection locked="0"/>
    </xf>
    <xf numFmtId="2" fontId="17" fillId="3" borderId="14" xfId="1" applyNumberFormat="1" applyFont="1" applyFill="1" applyBorder="1" applyAlignment="1" applyProtection="1">
      <alignment horizontal="center" vertical="center"/>
      <protection locked="0"/>
    </xf>
    <xf numFmtId="2" fontId="17" fillId="3" borderId="15" xfId="1" applyNumberFormat="1" applyFont="1" applyFill="1" applyBorder="1" applyAlignment="1" applyProtection="1">
      <alignment horizontal="center" vertical="center"/>
      <protection locked="0"/>
    </xf>
    <xf numFmtId="0" fontId="17" fillId="3" borderId="0" xfId="1" applyFont="1" applyFill="1" applyAlignment="1" applyProtection="1">
      <alignment horizontal="left" vertical="center"/>
      <protection locked="0"/>
    </xf>
    <xf numFmtId="0" fontId="16" fillId="3" borderId="0" xfId="1" applyFont="1" applyFill="1" applyAlignment="1" applyProtection="1">
      <alignment horizontal="left" vertical="center"/>
      <protection locked="0"/>
    </xf>
    <xf numFmtId="0" fontId="15" fillId="2" borderId="18" xfId="1" applyFont="1" applyFill="1" applyBorder="1" applyAlignment="1">
      <alignment horizontal="justify" vertical="center" wrapText="1"/>
    </xf>
    <xf numFmtId="0" fontId="15" fillId="2" borderId="19" xfId="1" applyFont="1" applyFill="1" applyBorder="1" applyAlignment="1">
      <alignment horizontal="justify" vertical="center" wrapText="1"/>
    </xf>
    <xf numFmtId="0" fontId="15" fillId="2" borderId="20" xfId="1" applyFont="1" applyFill="1" applyBorder="1" applyAlignment="1">
      <alignment horizontal="justify" vertical="center" wrapText="1"/>
    </xf>
    <xf numFmtId="0" fontId="15" fillId="2" borderId="18" xfId="1" applyFont="1" applyFill="1" applyBorder="1" applyAlignment="1">
      <alignment horizontal="left" vertical="center" wrapText="1"/>
    </xf>
    <xf numFmtId="0" fontId="15" fillId="2" borderId="19" xfId="1" applyFont="1" applyFill="1" applyBorder="1" applyAlignment="1">
      <alignment horizontal="left" vertical="center" wrapText="1"/>
    </xf>
    <xf numFmtId="0" fontId="15" fillId="2" borderId="20" xfId="1" applyFont="1" applyFill="1" applyBorder="1" applyAlignment="1">
      <alignment horizontal="left" vertical="center" wrapText="1"/>
    </xf>
    <xf numFmtId="0" fontId="13" fillId="2" borderId="43" xfId="1" applyFont="1" applyFill="1" applyBorder="1" applyAlignment="1">
      <alignment horizontal="center" vertical="center"/>
    </xf>
    <xf numFmtId="0" fontId="13" fillId="2" borderId="44" xfId="1" applyFont="1" applyFill="1" applyBorder="1" applyAlignment="1">
      <alignment horizontal="center" vertical="center"/>
    </xf>
    <xf numFmtId="0" fontId="13" fillId="2" borderId="64" xfId="1" applyFont="1" applyFill="1" applyBorder="1" applyAlignment="1">
      <alignment horizontal="center" vertical="center"/>
    </xf>
    <xf numFmtId="0" fontId="15" fillId="2" borderId="25" xfId="1" applyFont="1" applyFill="1" applyBorder="1" applyAlignment="1">
      <alignment horizontal="left" vertical="center" wrapText="1"/>
    </xf>
    <xf numFmtId="0" fontId="15" fillId="2" borderId="21" xfId="1" applyFont="1" applyFill="1" applyBorder="1" applyAlignment="1">
      <alignment horizontal="left" vertical="center" wrapText="1"/>
    </xf>
    <xf numFmtId="0" fontId="15" fillId="2" borderId="41" xfId="1" applyFont="1" applyFill="1" applyBorder="1" applyAlignment="1">
      <alignment horizontal="left" vertical="center" wrapText="1"/>
    </xf>
    <xf numFmtId="0" fontId="15" fillId="2" borderId="23" xfId="1" applyFont="1" applyFill="1" applyBorder="1" applyAlignment="1">
      <alignment horizontal="left" vertical="center" wrapText="1"/>
    </xf>
    <xf numFmtId="0" fontId="13" fillId="2" borderId="41" xfId="1" applyFont="1" applyFill="1" applyBorder="1" applyAlignment="1">
      <alignment horizontal="center" vertical="center"/>
    </xf>
    <xf numFmtId="0" fontId="13" fillId="2" borderId="43" xfId="1" applyFont="1" applyFill="1" applyBorder="1" applyAlignment="1">
      <alignment horizontal="center"/>
    </xf>
    <xf numFmtId="0" fontId="13" fillId="2" borderId="64" xfId="1" applyFont="1" applyFill="1" applyBorder="1" applyAlignment="1">
      <alignment horizontal="center"/>
    </xf>
    <xf numFmtId="0" fontId="15" fillId="2" borderId="10" xfId="1" applyFont="1" applyFill="1" applyBorder="1" applyAlignment="1">
      <alignment horizontal="left" vertical="center" wrapText="1"/>
    </xf>
    <xf numFmtId="0" fontId="15" fillId="2" borderId="9" xfId="1" applyFont="1" applyFill="1" applyBorder="1" applyAlignment="1">
      <alignment horizontal="left" vertical="center" wrapText="1"/>
    </xf>
    <xf numFmtId="0" fontId="27" fillId="2" borderId="0" xfId="8" applyFont="1" applyFill="1"/>
    <xf numFmtId="0" fontId="28" fillId="2" borderId="0" xfId="8" applyFont="1" applyFill="1"/>
    <xf numFmtId="0" fontId="28" fillId="2" borderId="0" xfId="8" applyFont="1" applyFill="1" applyAlignment="1">
      <alignment horizontal="right"/>
    </xf>
    <xf numFmtId="0" fontId="29" fillId="2" borderId="0" xfId="8" applyFont="1" applyFill="1" applyAlignment="1">
      <alignment horizontal="center"/>
    </xf>
    <xf numFmtId="0" fontId="30" fillId="2" borderId="0" xfId="8" applyFont="1" applyFill="1"/>
    <xf numFmtId="0" fontId="30" fillId="2" borderId="0" xfId="8" applyFont="1" applyFill="1" applyAlignment="1">
      <alignment horizontal="left"/>
    </xf>
    <xf numFmtId="0" fontId="31" fillId="2" borderId="0" xfId="8" applyFont="1" applyFill="1" applyAlignment="1">
      <alignment horizontal="left"/>
    </xf>
    <xf numFmtId="0" fontId="31" fillId="2" borderId="0" xfId="8" applyFont="1" applyFill="1" applyAlignment="1">
      <alignment horizontal="center"/>
    </xf>
    <xf numFmtId="0" fontId="32" fillId="2" borderId="0" xfId="8" applyFont="1" applyFill="1"/>
    <xf numFmtId="0" fontId="31" fillId="2" borderId="0" xfId="8" applyFont="1" applyFill="1"/>
    <xf numFmtId="2" fontId="31" fillId="2" borderId="0" xfId="8" applyNumberFormat="1" applyFont="1" applyFill="1" applyAlignment="1">
      <alignment horizontal="center"/>
    </xf>
    <xf numFmtId="164" fontId="31" fillId="2" borderId="0" xfId="8" applyNumberFormat="1" applyFont="1" applyFill="1" applyAlignment="1">
      <alignment horizontal="center"/>
    </xf>
    <xf numFmtId="0" fontId="31" fillId="2" borderId="1" xfId="8" applyFont="1" applyFill="1" applyBorder="1" applyAlignment="1">
      <alignment horizontal="center"/>
    </xf>
    <xf numFmtId="0" fontId="31" fillId="2" borderId="2" xfId="8" applyFont="1" applyFill="1" applyBorder="1" applyAlignment="1">
      <alignment horizontal="center"/>
    </xf>
    <xf numFmtId="0" fontId="32" fillId="2" borderId="3" xfId="8" applyFont="1" applyFill="1" applyBorder="1" applyAlignment="1">
      <alignment horizontal="center"/>
    </xf>
    <xf numFmtId="0" fontId="33" fillId="3" borderId="3" xfId="8" applyFont="1" applyFill="1" applyBorder="1" applyAlignment="1" applyProtection="1">
      <alignment horizontal="center"/>
      <protection locked="0"/>
    </xf>
    <xf numFmtId="2" fontId="33" fillId="3" borderId="3" xfId="8" applyNumberFormat="1" applyFont="1" applyFill="1" applyBorder="1" applyAlignment="1" applyProtection="1">
      <alignment horizontal="center"/>
      <protection locked="0"/>
    </xf>
    <xf numFmtId="2" fontId="33" fillId="3" borderId="4" xfId="8" applyNumberFormat="1" applyFont="1" applyFill="1" applyBorder="1" applyAlignment="1" applyProtection="1">
      <alignment horizontal="center"/>
      <protection locked="0"/>
    </xf>
    <xf numFmtId="0" fontId="33" fillId="3" borderId="5" xfId="8" applyFont="1" applyFill="1" applyBorder="1" applyAlignment="1" applyProtection="1">
      <alignment horizontal="center"/>
      <protection locked="0"/>
    </xf>
    <xf numFmtId="2" fontId="33" fillId="3" borderId="5" xfId="8" applyNumberFormat="1" applyFont="1" applyFill="1" applyBorder="1" applyAlignment="1" applyProtection="1">
      <alignment horizontal="center"/>
      <protection locked="0"/>
    </xf>
    <xf numFmtId="0" fontId="32" fillId="2" borderId="4" xfId="8" applyFont="1" applyFill="1" applyBorder="1"/>
    <xf numFmtId="1" fontId="31" fillId="4" borderId="2" xfId="8" applyNumberFormat="1" applyFont="1" applyFill="1" applyBorder="1" applyAlignment="1">
      <alignment horizontal="center"/>
    </xf>
    <xf numFmtId="1" fontId="31" fillId="4" borderId="1" xfId="8" applyNumberFormat="1" applyFont="1" applyFill="1" applyBorder="1" applyAlignment="1">
      <alignment horizontal="center"/>
    </xf>
    <xf numFmtId="2" fontId="31" fillId="4" borderId="1" xfId="8" applyNumberFormat="1" applyFont="1" applyFill="1" applyBorder="1" applyAlignment="1">
      <alignment horizontal="center"/>
    </xf>
    <xf numFmtId="0" fontId="32" fillId="2" borderId="3" xfId="8" applyFont="1" applyFill="1" applyBorder="1"/>
    <xf numFmtId="10" fontId="31" fillId="5" borderId="1" xfId="8" applyNumberFormat="1" applyFont="1" applyFill="1" applyBorder="1" applyAlignment="1">
      <alignment horizontal="center"/>
    </xf>
    <xf numFmtId="165" fontId="31" fillId="2" borderId="0" xfId="8" applyNumberFormat="1" applyFont="1" applyFill="1" applyAlignment="1">
      <alignment horizontal="center"/>
    </xf>
    <xf numFmtId="0" fontId="32" fillId="2" borderId="6" xfId="8" applyFont="1" applyFill="1" applyBorder="1"/>
    <xf numFmtId="0" fontId="32" fillId="2" borderId="5" xfId="8" applyFont="1" applyFill="1" applyBorder="1"/>
    <xf numFmtId="0" fontId="31" fillId="4" borderId="1" xfId="8" applyFont="1" applyFill="1" applyBorder="1" applyAlignment="1">
      <alignment horizontal="center"/>
    </xf>
    <xf numFmtId="0" fontId="31" fillId="2" borderId="7" xfId="8" applyFont="1" applyFill="1" applyBorder="1" applyAlignment="1">
      <alignment horizontal="center"/>
    </xf>
    <xf numFmtId="0" fontId="32" fillId="2" borderId="7" xfId="8" applyFont="1" applyFill="1" applyBorder="1"/>
    <xf numFmtId="0" fontId="32" fillId="2" borderId="8" xfId="8" applyFont="1" applyFill="1" applyBorder="1"/>
    <xf numFmtId="0" fontId="32" fillId="2" borderId="0" xfId="8" applyFont="1" applyFill="1" applyAlignment="1" applyProtection="1">
      <alignment horizontal="left"/>
      <protection locked="0"/>
    </xf>
    <xf numFmtId="0" fontId="32" fillId="2" borderId="0" xfId="8" applyFont="1" applyFill="1" applyProtection="1">
      <protection locked="0"/>
    </xf>
    <xf numFmtId="0" fontId="28" fillId="2" borderId="9" xfId="8" applyFont="1" applyFill="1" applyBorder="1"/>
    <xf numFmtId="0" fontId="28" fillId="2" borderId="0" xfId="8" applyFont="1" applyFill="1" applyAlignment="1">
      <alignment horizontal="center"/>
    </xf>
    <xf numFmtId="10" fontId="28" fillId="2" borderId="9" xfId="8" applyNumberFormat="1" applyFont="1" applyFill="1" applyBorder="1"/>
    <xf numFmtId="0" fontId="26" fillId="2" borderId="0" xfId="8" applyFill="1"/>
    <xf numFmtId="0" fontId="27" fillId="2" borderId="10" xfId="8" applyFont="1" applyFill="1" applyBorder="1" applyAlignment="1">
      <alignment horizontal="center"/>
    </xf>
    <xf numFmtId="0" fontId="27" fillId="2" borderId="10" xfId="8" applyFont="1" applyFill="1" applyBorder="1" applyAlignment="1">
      <alignment horizontal="center"/>
    </xf>
    <xf numFmtId="0" fontId="28" fillId="2" borderId="10" xfId="8" applyFont="1" applyFill="1" applyBorder="1" applyAlignment="1">
      <alignment horizontal="center"/>
    </xf>
    <xf numFmtId="0" fontId="27" fillId="2" borderId="0" xfId="8" applyFont="1" applyFill="1" applyAlignment="1">
      <alignment horizontal="right"/>
    </xf>
    <xf numFmtId="0" fontId="28" fillId="2" borderId="7" xfId="8" applyFont="1" applyFill="1" applyBorder="1"/>
    <xf numFmtId="0" fontId="27" fillId="2" borderId="11" xfId="8" applyFont="1" applyFill="1" applyBorder="1"/>
    <xf numFmtId="0" fontId="28" fillId="2" borderId="11" xfId="8" applyFont="1" applyFill="1" applyBorder="1"/>
    <xf numFmtId="0" fontId="34" fillId="2" borderId="18" xfId="8" applyFont="1" applyFill="1" applyBorder="1" applyAlignment="1">
      <alignment horizontal="center" wrapText="1"/>
    </xf>
    <xf numFmtId="0" fontId="34" fillId="2" borderId="19" xfId="8" applyFont="1" applyFill="1" applyBorder="1" applyAlignment="1">
      <alignment horizontal="center" wrapText="1"/>
    </xf>
    <xf numFmtId="0" fontId="34" fillId="2" borderId="20" xfId="8" applyFont="1" applyFill="1" applyBorder="1" applyAlignment="1">
      <alignment horizontal="center" wrapText="1"/>
    </xf>
    <xf numFmtId="0" fontId="34" fillId="2" borderId="0" xfId="8" applyFont="1" applyFill="1" applyAlignment="1">
      <alignment wrapText="1"/>
    </xf>
    <xf numFmtId="0" fontId="30" fillId="2" borderId="0" xfId="8" applyFont="1" applyFill="1" applyAlignment="1">
      <alignment horizontal="center"/>
    </xf>
    <xf numFmtId="0" fontId="31" fillId="2" borderId="0" xfId="8" applyFont="1" applyFill="1" applyAlignment="1">
      <alignment horizontal="right"/>
    </xf>
    <xf numFmtId="167" fontId="32" fillId="2" borderId="0" xfId="8" applyNumberFormat="1" applyFont="1" applyFill="1" applyAlignment="1">
      <alignment horizontal="center"/>
    </xf>
    <xf numFmtId="0" fontId="31" fillId="2" borderId="0" xfId="8" applyFont="1" applyFill="1" applyAlignment="1">
      <alignment horizontal="right"/>
    </xf>
    <xf numFmtId="167" fontId="32" fillId="2" borderId="0" xfId="8" applyNumberFormat="1" applyFont="1" applyFill="1"/>
    <xf numFmtId="0" fontId="35" fillId="2" borderId="0" xfId="8" applyFont="1" applyFill="1"/>
    <xf numFmtId="164" fontId="27" fillId="2" borderId="0" xfId="8" applyNumberFormat="1" applyFont="1" applyFill="1" applyAlignment="1">
      <alignment horizontal="center"/>
    </xf>
    <xf numFmtId="164" fontId="27" fillId="2" borderId="0" xfId="8" applyNumberFormat="1" applyFont="1" applyFill="1"/>
    <xf numFmtId="164" fontId="31" fillId="2" borderId="12" xfId="8" applyNumberFormat="1" applyFont="1" applyFill="1" applyBorder="1" applyAlignment="1">
      <alignment horizontal="center" wrapText="1"/>
    </xf>
    <xf numFmtId="0" fontId="31" fillId="2" borderId="12" xfId="8" applyFont="1" applyFill="1" applyBorder="1" applyAlignment="1">
      <alignment horizontal="center" wrapText="1"/>
    </xf>
    <xf numFmtId="2" fontId="32" fillId="3" borderId="14" xfId="8" applyNumberFormat="1" applyFont="1" applyFill="1" applyBorder="1" applyProtection="1">
      <protection locked="0"/>
    </xf>
    <xf numFmtId="10" fontId="32" fillId="2" borderId="13" xfId="8" applyNumberFormat="1" applyFont="1" applyFill="1" applyBorder="1" applyAlignment="1">
      <alignment horizontal="center"/>
    </xf>
    <xf numFmtId="10" fontId="32" fillId="2" borderId="0" xfId="8" applyNumberFormat="1" applyFont="1" applyFill="1" applyAlignment="1">
      <alignment horizontal="center"/>
    </xf>
    <xf numFmtId="10" fontId="32" fillId="2" borderId="14" xfId="8" applyNumberFormat="1" applyFont="1" applyFill="1" applyBorder="1" applyAlignment="1">
      <alignment horizontal="center"/>
    </xf>
    <xf numFmtId="2" fontId="32" fillId="3" borderId="15" xfId="8" applyNumberFormat="1" applyFont="1" applyFill="1" applyBorder="1" applyProtection="1">
      <protection locked="0"/>
    </xf>
    <xf numFmtId="10" fontId="32" fillId="2" borderId="15" xfId="8" applyNumberFormat="1" applyFont="1" applyFill="1" applyBorder="1" applyAlignment="1">
      <alignment horizontal="center"/>
    </xf>
    <xf numFmtId="166" fontId="28" fillId="2" borderId="0" xfId="8" applyNumberFormat="1" applyFont="1" applyFill="1" applyAlignment="1">
      <alignment horizontal="center"/>
    </xf>
    <xf numFmtId="10" fontId="28" fillId="2" borderId="0" xfId="8" applyNumberFormat="1" applyFont="1" applyFill="1" applyAlignment="1">
      <alignment horizontal="center"/>
    </xf>
    <xf numFmtId="0" fontId="32" fillId="2" borderId="12" xfId="8" applyFont="1" applyFill="1" applyBorder="1" applyAlignment="1">
      <alignment horizontal="right" vertical="center"/>
    </xf>
    <xf numFmtId="166" fontId="32" fillId="2" borderId="12" xfId="8" applyNumberFormat="1" applyFont="1" applyFill="1" applyBorder="1" applyAlignment="1">
      <alignment horizontal="center" vertical="center"/>
    </xf>
    <xf numFmtId="166" fontId="32" fillId="2" borderId="0" xfId="8" applyNumberFormat="1" applyFont="1" applyFill="1" applyAlignment="1">
      <alignment horizontal="center"/>
    </xf>
    <xf numFmtId="164" fontId="31" fillId="2" borderId="12" xfId="8" applyNumberFormat="1" applyFont="1" applyFill="1" applyBorder="1" applyAlignment="1">
      <alignment horizontal="center" vertical="center"/>
    </xf>
    <xf numFmtId="2" fontId="36" fillId="2" borderId="0" xfId="8" applyNumberFormat="1" applyFont="1" applyFill="1" applyAlignment="1">
      <alignment horizontal="right"/>
    </xf>
    <xf numFmtId="2" fontId="31" fillId="2" borderId="0" xfId="8" applyNumberFormat="1" applyFont="1" applyFill="1"/>
    <xf numFmtId="2" fontId="36" fillId="2" borderId="0" xfId="8" applyNumberFormat="1" applyFont="1" applyFill="1"/>
    <xf numFmtId="0" fontId="31" fillId="2" borderId="12" xfId="8" applyFont="1" applyFill="1" applyBorder="1" applyAlignment="1">
      <alignment horizontal="center" vertical="center"/>
    </xf>
    <xf numFmtId="10" fontId="28" fillId="2" borderId="0" xfId="8" applyNumberFormat="1" applyFont="1" applyFill="1"/>
    <xf numFmtId="166" fontId="31" fillId="2" borderId="13" xfId="8" applyNumberFormat="1" applyFont="1" applyFill="1" applyBorder="1" applyAlignment="1">
      <alignment horizontal="center" vertical="center"/>
    </xf>
    <xf numFmtId="165" fontId="31" fillId="2" borderId="16" xfId="8" applyNumberFormat="1" applyFont="1" applyFill="1" applyBorder="1" applyAlignment="1">
      <alignment horizontal="center"/>
    </xf>
    <xf numFmtId="2" fontId="31" fillId="2" borderId="12" xfId="8" applyNumberFormat="1" applyFont="1" applyFill="1" applyBorder="1" applyAlignment="1">
      <alignment horizontal="center" vertical="center"/>
    </xf>
    <xf numFmtId="166" fontId="31" fillId="2" borderId="15" xfId="8" applyNumberFormat="1" applyFont="1" applyFill="1" applyBorder="1" applyAlignment="1">
      <alignment horizontal="center" vertical="center"/>
    </xf>
    <xf numFmtId="165" fontId="31" fillId="2" borderId="17" xfId="8" applyNumberFormat="1" applyFont="1" applyFill="1" applyBorder="1" applyAlignment="1">
      <alignment horizontal="center"/>
    </xf>
    <xf numFmtId="0" fontId="32" fillId="2" borderId="9" xfId="8" applyFont="1" applyFill="1" applyBorder="1"/>
    <xf numFmtId="0" fontId="32" fillId="2" borderId="0" xfId="8" applyFont="1" applyFill="1" applyAlignment="1">
      <alignment horizontal="center"/>
    </xf>
    <xf numFmtId="10" fontId="32" fillId="2" borderId="9" xfId="8" applyNumberFormat="1" applyFont="1" applyFill="1" applyBorder="1"/>
    <xf numFmtId="0" fontId="31" fillId="2" borderId="10" xfId="8" applyFont="1" applyFill="1" applyBorder="1"/>
    <xf numFmtId="0" fontId="31" fillId="2" borderId="10" xfId="8" applyFont="1" applyFill="1" applyBorder="1" applyAlignment="1">
      <alignment horizontal="center"/>
    </xf>
    <xf numFmtId="0" fontId="32" fillId="2" borderId="10" xfId="8" applyFont="1" applyFill="1" applyBorder="1" applyAlignment="1">
      <alignment horizontal="center"/>
    </xf>
    <xf numFmtId="0" fontId="31" fillId="2" borderId="11" xfId="8" applyFont="1" applyFill="1" applyBorder="1"/>
    <xf numFmtId="0" fontId="32" fillId="2" borderId="11" xfId="8" applyFont="1" applyFill="1" applyBorder="1"/>
    <xf numFmtId="0" fontId="37" fillId="2" borderId="0" xfId="8" applyFont="1" applyFill="1" applyAlignment="1">
      <alignment horizontal="center" vertical="center"/>
    </xf>
    <xf numFmtId="0" fontId="38" fillId="2" borderId="0" xfId="8" applyFont="1" applyFill="1" applyAlignment="1">
      <alignment horizontal="center" vertical="center"/>
    </xf>
    <xf numFmtId="0" fontId="39" fillId="2" borderId="0" xfId="8" applyFont="1" applyFill="1"/>
    <xf numFmtId="0" fontId="40" fillId="2" borderId="18" xfId="8" applyFont="1" applyFill="1" applyBorder="1" applyAlignment="1">
      <alignment horizontal="center"/>
    </xf>
    <xf numFmtId="0" fontId="40" fillId="2" borderId="19" xfId="8" applyFont="1" applyFill="1" applyBorder="1" applyAlignment="1">
      <alignment horizontal="center"/>
    </xf>
    <xf numFmtId="0" fontId="40" fillId="2" borderId="20" xfId="8" applyFont="1" applyFill="1" applyBorder="1" applyAlignment="1">
      <alignment horizontal="center"/>
    </xf>
    <xf numFmtId="0" fontId="41" fillId="2" borderId="10" xfId="8" applyFont="1" applyFill="1" applyBorder="1" applyAlignment="1">
      <alignment horizontal="center" vertical="center"/>
    </xf>
    <xf numFmtId="0" fontId="42" fillId="2" borderId="0" xfId="8" applyFont="1" applyFill="1"/>
    <xf numFmtId="0" fontId="43" fillId="3" borderId="0" xfId="8" applyFont="1" applyFill="1" applyAlignment="1" applyProtection="1">
      <alignment horizontal="left" wrapText="1"/>
      <protection locked="0"/>
    </xf>
    <xf numFmtId="0" fontId="43" fillId="2" borderId="0" xfId="8" applyFont="1" applyFill="1" applyAlignment="1" applyProtection="1">
      <alignment horizontal="right"/>
      <protection locked="0"/>
    </xf>
    <xf numFmtId="0" fontId="43" fillId="2" borderId="0" xfId="8" applyFont="1" applyFill="1" applyAlignment="1" applyProtection="1">
      <alignment horizontal="left"/>
      <protection locked="0"/>
    </xf>
    <xf numFmtId="0" fontId="44" fillId="2" borderId="0" xfId="8" applyFont="1" applyFill="1"/>
    <xf numFmtId="0" fontId="44" fillId="3" borderId="0" xfId="8" applyFont="1" applyFill="1" applyAlignment="1" applyProtection="1">
      <alignment horizontal="left"/>
      <protection locked="0"/>
    </xf>
    <xf numFmtId="0" fontId="44" fillId="3" borderId="0" xfId="8" applyFont="1" applyFill="1" applyAlignment="1" applyProtection="1">
      <alignment horizontal="left" wrapText="1"/>
      <protection locked="0"/>
    </xf>
    <xf numFmtId="0" fontId="39" fillId="3" borderId="0" xfId="8" applyFont="1" applyFill="1" applyProtection="1">
      <protection locked="0"/>
    </xf>
    <xf numFmtId="171" fontId="44" fillId="3" borderId="0" xfId="8" applyNumberFormat="1" applyFont="1" applyFill="1" applyAlignment="1" applyProtection="1">
      <alignment horizontal="center"/>
      <protection locked="0"/>
    </xf>
    <xf numFmtId="169" fontId="39" fillId="2" borderId="0" xfId="8" applyNumberFormat="1" applyFont="1" applyFill="1" applyAlignment="1">
      <alignment horizontal="left"/>
    </xf>
    <xf numFmtId="0" fontId="29" fillId="2" borderId="0" xfId="8" applyFont="1" applyFill="1" applyAlignment="1">
      <alignment horizontal="left"/>
    </xf>
    <xf numFmtId="0" fontId="42" fillId="2" borderId="0" xfId="8" applyFont="1" applyFill="1" applyAlignment="1">
      <alignment horizontal="right"/>
    </xf>
    <xf numFmtId="0" fontId="39" fillId="2" borderId="0" xfId="8" applyFont="1" applyFill="1" applyAlignment="1">
      <alignment horizontal="right"/>
    </xf>
    <xf numFmtId="0" fontId="44" fillId="3" borderId="0" xfId="8" applyFont="1" applyFill="1" applyAlignment="1" applyProtection="1">
      <alignment horizontal="left"/>
      <protection locked="0"/>
    </xf>
    <xf numFmtId="0" fontId="43" fillId="3" borderId="0" xfId="8" applyFont="1" applyFill="1" applyAlignment="1" applyProtection="1">
      <alignment horizontal="center"/>
      <protection locked="0"/>
    </xf>
    <xf numFmtId="0" fontId="44" fillId="3" borderId="0" xfId="8" applyFont="1" applyFill="1" applyAlignment="1" applyProtection="1">
      <alignment horizontal="center"/>
      <protection locked="0"/>
    </xf>
    <xf numFmtId="0" fontId="40" fillId="2" borderId="18" xfId="8" applyFont="1" applyFill="1" applyBorder="1" applyAlignment="1">
      <alignment horizontal="justify" vertical="center" wrapText="1"/>
    </xf>
    <xf numFmtId="0" fontId="40" fillId="2" borderId="19" xfId="8" applyFont="1" applyFill="1" applyBorder="1" applyAlignment="1">
      <alignment horizontal="justify" vertical="center" wrapText="1"/>
    </xf>
    <xf numFmtId="0" fontId="40" fillId="2" borderId="20" xfId="8" applyFont="1" applyFill="1" applyBorder="1" applyAlignment="1">
      <alignment horizontal="justify" vertical="center" wrapText="1"/>
    </xf>
    <xf numFmtId="0" fontId="45" fillId="2" borderId="0" xfId="8" applyFont="1" applyFill="1" applyAlignment="1">
      <alignment vertical="center" wrapText="1"/>
    </xf>
    <xf numFmtId="0" fontId="42" fillId="2" borderId="0" xfId="8" applyFont="1" applyFill="1" applyAlignment="1">
      <alignment horizontal="center"/>
    </xf>
    <xf numFmtId="0" fontId="46" fillId="2" borderId="0" xfId="8" applyFont="1" applyFill="1"/>
    <xf numFmtId="0" fontId="47" fillId="2" borderId="0" xfId="8" applyFont="1" applyFill="1"/>
    <xf numFmtId="2" fontId="43" fillId="3" borderId="0" xfId="8" applyNumberFormat="1" applyFont="1" applyFill="1" applyAlignment="1" applyProtection="1">
      <alignment horizontal="center"/>
      <protection locked="0"/>
    </xf>
    <xf numFmtId="0" fontId="40" fillId="2" borderId="18" xfId="8" applyFont="1" applyFill="1" applyBorder="1" applyAlignment="1">
      <alignment horizontal="left" vertical="center" wrapText="1"/>
    </xf>
    <xf numFmtId="0" fontId="40" fillId="2" borderId="19" xfId="8" applyFont="1" applyFill="1" applyBorder="1" applyAlignment="1">
      <alignment horizontal="left" vertical="center" wrapText="1"/>
    </xf>
    <xf numFmtId="0" fontId="40" fillId="2" borderId="20" xfId="8" applyFont="1" applyFill="1" applyBorder="1" applyAlignment="1">
      <alignment horizontal="left" vertical="center" wrapText="1"/>
    </xf>
    <xf numFmtId="0" fontId="42" fillId="2" borderId="0" xfId="8" applyFont="1" applyFill="1" applyAlignment="1">
      <alignment vertical="center" wrapText="1"/>
    </xf>
    <xf numFmtId="0" fontId="48" fillId="2" borderId="0" xfId="8" applyFont="1" applyFill="1"/>
    <xf numFmtId="2" fontId="42" fillId="2" borderId="0" xfId="8" applyNumberFormat="1" applyFont="1" applyFill="1" applyAlignment="1">
      <alignment horizontal="center"/>
    </xf>
    <xf numFmtId="0" fontId="40" fillId="2" borderId="0" xfId="8" applyFont="1" applyFill="1" applyAlignment="1">
      <alignment horizontal="left" vertical="center" wrapText="1"/>
    </xf>
    <xf numFmtId="170" fontId="42" fillId="2" borderId="0" xfId="8" applyNumberFormat="1" applyFont="1" applyFill="1" applyAlignment="1">
      <alignment horizontal="center"/>
    </xf>
    <xf numFmtId="0" fontId="39" fillId="2" borderId="25" xfId="8" applyFont="1" applyFill="1" applyBorder="1" applyAlignment="1">
      <alignment horizontal="right"/>
    </xf>
    <xf numFmtId="0" fontId="43" fillId="3" borderId="21" xfId="8" applyFont="1" applyFill="1" applyBorder="1" applyAlignment="1" applyProtection="1">
      <alignment horizontal="center"/>
      <protection locked="0"/>
    </xf>
    <xf numFmtId="0" fontId="42" fillId="2" borderId="43" xfId="8" applyFont="1" applyFill="1" applyBorder="1" applyAlignment="1">
      <alignment horizontal="center"/>
    </xf>
    <xf numFmtId="0" fontId="42" fillId="2" borderId="44" xfId="8" applyFont="1" applyFill="1" applyBorder="1" applyAlignment="1">
      <alignment horizontal="center"/>
    </xf>
    <xf numFmtId="0" fontId="42" fillId="2" borderId="64" xfId="8" applyFont="1" applyFill="1" applyBorder="1" applyAlignment="1">
      <alignment horizontal="center"/>
    </xf>
    <xf numFmtId="0" fontId="39" fillId="2" borderId="26" xfId="8" applyFont="1" applyFill="1" applyBorder="1" applyAlignment="1">
      <alignment horizontal="right"/>
    </xf>
    <xf numFmtId="0" fontId="43" fillId="3" borderId="22" xfId="8" applyFont="1" applyFill="1" applyBorder="1" applyAlignment="1" applyProtection="1">
      <alignment horizontal="center"/>
      <protection locked="0"/>
    </xf>
    <xf numFmtId="0" fontId="42" fillId="2" borderId="21" xfId="8" applyFont="1" applyFill="1" applyBorder="1" applyAlignment="1">
      <alignment horizontal="center"/>
    </xf>
    <xf numFmtId="0" fontId="42" fillId="2" borderId="38" xfId="8" applyFont="1" applyFill="1" applyBorder="1" applyAlignment="1">
      <alignment horizontal="center"/>
    </xf>
    <xf numFmtId="0" fontId="42" fillId="2" borderId="28" xfId="8" applyFont="1" applyFill="1" applyBorder="1" applyAlignment="1">
      <alignment horizontal="center"/>
    </xf>
    <xf numFmtId="0" fontId="42" fillId="2" borderId="39" xfId="8" applyFont="1" applyFill="1" applyBorder="1" applyAlignment="1">
      <alignment horizontal="center"/>
    </xf>
    <xf numFmtId="0" fontId="42" fillId="2" borderId="12" xfId="8" applyFont="1" applyFill="1" applyBorder="1" applyAlignment="1">
      <alignment horizontal="center"/>
    </xf>
    <xf numFmtId="0" fontId="39" fillId="2" borderId="30" xfId="8" applyFont="1" applyFill="1" applyBorder="1" applyAlignment="1">
      <alignment horizontal="center"/>
    </xf>
    <xf numFmtId="0" fontId="43" fillId="3" borderId="45" xfId="8" applyFont="1" applyFill="1" applyBorder="1" applyAlignment="1" applyProtection="1">
      <alignment horizontal="center"/>
      <protection locked="0"/>
    </xf>
    <xf numFmtId="168" fontId="39" fillId="2" borderId="28" xfId="8" applyNumberFormat="1" applyFont="1" applyFill="1" applyBorder="1" applyAlignment="1">
      <alignment horizontal="center"/>
    </xf>
    <xf numFmtId="168" fontId="39" fillId="2" borderId="29" xfId="8" applyNumberFormat="1" applyFont="1" applyFill="1" applyBorder="1" applyAlignment="1">
      <alignment horizontal="center"/>
    </xf>
    <xf numFmtId="0" fontId="48" fillId="2" borderId="13" xfId="8" applyFont="1" applyFill="1" applyBorder="1"/>
    <xf numFmtId="0" fontId="39" fillId="2" borderId="22" xfId="8" applyFont="1" applyFill="1" applyBorder="1" applyAlignment="1">
      <alignment horizontal="center"/>
    </xf>
    <xf numFmtId="0" fontId="43" fillId="3" borderId="26" xfId="8" applyFont="1" applyFill="1" applyBorder="1" applyAlignment="1" applyProtection="1">
      <alignment horizontal="center"/>
      <protection locked="0"/>
    </xf>
    <xf numFmtId="168" fontId="39" fillId="2" borderId="46" xfId="8" applyNumberFormat="1" applyFont="1" applyFill="1" applyBorder="1" applyAlignment="1">
      <alignment horizontal="center"/>
    </xf>
    <xf numFmtId="168" fontId="39" fillId="2" borderId="47" xfId="8" applyNumberFormat="1" applyFont="1" applyFill="1" applyBorder="1" applyAlignment="1">
      <alignment horizontal="center"/>
    </xf>
    <xf numFmtId="10" fontId="45" fillId="2" borderId="14" xfId="8" applyNumberFormat="1" applyFont="1" applyFill="1" applyBorder="1" applyAlignment="1">
      <alignment horizontal="center" vertical="center"/>
    </xf>
    <xf numFmtId="0" fontId="39" fillId="2" borderId="33" xfId="8" applyFont="1" applyFill="1" applyBorder="1" applyAlignment="1">
      <alignment horizontal="center"/>
    </xf>
    <xf numFmtId="0" fontId="43" fillId="3" borderId="48" xfId="8" applyFont="1" applyFill="1" applyBorder="1" applyAlignment="1" applyProtection="1">
      <alignment horizontal="center"/>
      <protection locked="0"/>
    </xf>
    <xf numFmtId="168" fontId="39" fillId="2" borderId="49" xfId="8" applyNumberFormat="1" applyFont="1" applyFill="1" applyBorder="1" applyAlignment="1">
      <alignment horizontal="center"/>
    </xf>
    <xf numFmtId="168" fontId="39" fillId="2" borderId="50" xfId="8" applyNumberFormat="1" applyFont="1" applyFill="1" applyBorder="1" applyAlignment="1">
      <alignment horizontal="center"/>
    </xf>
    <xf numFmtId="0" fontId="39" fillId="2" borderId="15" xfId="8" applyFont="1" applyFill="1" applyBorder="1"/>
    <xf numFmtId="0" fontId="39" fillId="2" borderId="22" xfId="8" applyFont="1" applyFill="1" applyBorder="1" applyAlignment="1">
      <alignment horizontal="right"/>
    </xf>
    <xf numFmtId="1" fontId="42" fillId="6" borderId="57" xfId="8" applyNumberFormat="1" applyFont="1" applyFill="1" applyBorder="1" applyAlignment="1">
      <alignment horizontal="center"/>
    </xf>
    <xf numFmtId="168" fontId="42" fillId="6" borderId="34" xfId="8" applyNumberFormat="1" applyFont="1" applyFill="1" applyBorder="1" applyAlignment="1">
      <alignment horizontal="center"/>
    </xf>
    <xf numFmtId="168" fontId="42" fillId="6" borderId="36" xfId="8" applyNumberFormat="1" applyFont="1" applyFill="1" applyBorder="1" applyAlignment="1">
      <alignment horizontal="center"/>
    </xf>
    <xf numFmtId="0" fontId="39" fillId="2" borderId="44" xfId="8" applyFont="1" applyFill="1" applyBorder="1" applyAlignment="1">
      <alignment horizontal="right"/>
    </xf>
    <xf numFmtId="0" fontId="43" fillId="3" borderId="16" xfId="8" applyFont="1" applyFill="1" applyBorder="1" applyAlignment="1" applyProtection="1">
      <alignment horizontal="center"/>
      <protection locked="0"/>
    </xf>
    <xf numFmtId="0" fontId="39" fillId="2" borderId="11" xfId="8" applyFont="1" applyFill="1" applyBorder="1" applyAlignment="1">
      <alignment horizontal="right"/>
    </xf>
    <xf numFmtId="2" fontId="39" fillId="6" borderId="40" xfId="8" applyNumberFormat="1" applyFont="1" applyFill="1" applyBorder="1" applyAlignment="1">
      <alignment horizontal="center"/>
    </xf>
    <xf numFmtId="0" fontId="39" fillId="2" borderId="0" xfId="8" applyFont="1" applyFill="1" applyAlignment="1">
      <alignment horizontal="center"/>
    </xf>
    <xf numFmtId="2" fontId="39" fillId="7" borderId="40" xfId="8" applyNumberFormat="1" applyFont="1" applyFill="1" applyBorder="1" applyAlignment="1">
      <alignment horizontal="center"/>
    </xf>
    <xf numFmtId="2" fontId="39" fillId="2" borderId="0" xfId="8" applyNumberFormat="1" applyFont="1" applyFill="1" applyAlignment="1">
      <alignment horizontal="center"/>
    </xf>
    <xf numFmtId="0" fontId="40" fillId="2" borderId="25" xfId="8" applyFont="1" applyFill="1" applyBorder="1" applyAlignment="1">
      <alignment horizontal="left" vertical="center" wrapText="1"/>
    </xf>
    <xf numFmtId="0" fontId="40" fillId="2" borderId="21" xfId="8" applyFont="1" applyFill="1" applyBorder="1" applyAlignment="1">
      <alignment horizontal="left" vertical="center" wrapText="1"/>
    </xf>
    <xf numFmtId="166" fontId="39" fillId="6" borderId="40" xfId="8" applyNumberFormat="1" applyFont="1" applyFill="1" applyBorder="1" applyAlignment="1">
      <alignment horizontal="center"/>
    </xf>
    <xf numFmtId="166" fontId="39" fillId="2" borderId="0" xfId="8" applyNumberFormat="1" applyFont="1" applyFill="1" applyAlignment="1">
      <alignment horizontal="center"/>
    </xf>
    <xf numFmtId="166" fontId="39" fillId="6" borderId="17" xfId="8" applyNumberFormat="1" applyFont="1" applyFill="1" applyBorder="1" applyAlignment="1">
      <alignment horizontal="center"/>
    </xf>
    <xf numFmtId="0" fontId="40" fillId="2" borderId="41" xfId="8" applyFont="1" applyFill="1" applyBorder="1" applyAlignment="1">
      <alignment horizontal="left" vertical="center" wrapText="1"/>
    </xf>
    <xf numFmtId="0" fontId="40" fillId="2" borderId="23" xfId="8" applyFont="1" applyFill="1" applyBorder="1" applyAlignment="1">
      <alignment horizontal="left" vertical="center" wrapText="1"/>
    </xf>
    <xf numFmtId="0" fontId="39" fillId="2" borderId="65" xfId="8" applyFont="1" applyFill="1" applyBorder="1" applyAlignment="1">
      <alignment horizontal="right"/>
    </xf>
    <xf numFmtId="166" fontId="43" fillId="3" borderId="40" xfId="8" applyNumberFormat="1" applyFont="1" applyFill="1" applyBorder="1" applyAlignment="1" applyProtection="1">
      <alignment horizontal="center"/>
      <protection locked="0"/>
    </xf>
    <xf numFmtId="166" fontId="39" fillId="2" borderId="0" xfId="8" applyNumberFormat="1" applyFont="1" applyFill="1"/>
    <xf numFmtId="0" fontId="39" fillId="2" borderId="45" xfId="8" applyFont="1" applyFill="1" applyBorder="1" applyAlignment="1">
      <alignment horizontal="right"/>
    </xf>
    <xf numFmtId="1" fontId="39" fillId="2" borderId="0" xfId="8" applyNumberFormat="1" applyFont="1" applyFill="1" applyAlignment="1">
      <alignment horizontal="center"/>
    </xf>
    <xf numFmtId="0" fontId="39" fillId="2" borderId="15" xfId="8" applyFont="1" applyFill="1" applyBorder="1" applyAlignment="1">
      <alignment horizontal="right"/>
    </xf>
    <xf numFmtId="2" fontId="39" fillId="6" borderId="15" xfId="8" applyNumberFormat="1" applyFont="1" applyFill="1" applyBorder="1" applyAlignment="1">
      <alignment horizontal="center"/>
    </xf>
    <xf numFmtId="168" fontId="42" fillId="7" borderId="13" xfId="8" applyNumberFormat="1" applyFont="1" applyFill="1" applyBorder="1" applyAlignment="1">
      <alignment horizontal="center"/>
    </xf>
    <xf numFmtId="168" fontId="39" fillId="2" borderId="0" xfId="8" applyNumberFormat="1" applyFont="1" applyFill="1" applyAlignment="1">
      <alignment horizontal="center"/>
    </xf>
    <xf numFmtId="10" fontId="39" fillId="6" borderId="40" xfId="8" applyNumberFormat="1" applyFont="1" applyFill="1" applyBorder="1" applyAlignment="1">
      <alignment horizontal="center"/>
    </xf>
    <xf numFmtId="0" fontId="39" fillId="2" borderId="41" xfId="8" applyFont="1" applyFill="1" applyBorder="1" applyAlignment="1">
      <alignment horizontal="right"/>
    </xf>
    <xf numFmtId="0" fontId="39" fillId="7" borderId="15" xfId="8" applyFont="1" applyFill="1" applyBorder="1" applyAlignment="1">
      <alignment horizontal="center"/>
    </xf>
    <xf numFmtId="0" fontId="29" fillId="2" borderId="0" xfId="8" applyFont="1" applyFill="1"/>
    <xf numFmtId="0" fontId="42" fillId="2" borderId="0" xfId="8" applyFont="1" applyFill="1" applyAlignment="1">
      <alignment horizontal="left"/>
    </xf>
    <xf numFmtId="0" fontId="39" fillId="2" borderId="0" xfId="8" applyFont="1" applyFill="1" applyAlignment="1">
      <alignment horizontal="left"/>
    </xf>
    <xf numFmtId="172" fontId="43" fillId="3" borderId="0" xfId="8" applyNumberFormat="1" applyFont="1" applyFill="1" applyAlignment="1" applyProtection="1">
      <alignment horizontal="center"/>
      <protection locked="0"/>
    </xf>
    <xf numFmtId="166" fontId="42" fillId="2" borderId="0" xfId="8" applyNumberFormat="1" applyFont="1" applyFill="1" applyAlignment="1" applyProtection="1">
      <alignment horizontal="center"/>
      <protection locked="0"/>
    </xf>
    <xf numFmtId="2" fontId="42" fillId="2" borderId="13" xfId="8" applyNumberFormat="1" applyFont="1" applyFill="1" applyBorder="1" applyAlignment="1">
      <alignment horizontal="center"/>
    </xf>
    <xf numFmtId="0" fontId="42" fillId="2" borderId="13" xfId="8" applyFont="1" applyFill="1" applyBorder="1" applyAlignment="1">
      <alignment horizontal="center"/>
    </xf>
    <xf numFmtId="0" fontId="42" fillId="2" borderId="10" xfId="8" applyFont="1" applyFill="1" applyBorder="1" applyAlignment="1">
      <alignment horizontal="center" vertical="center"/>
    </xf>
    <xf numFmtId="2" fontId="43" fillId="3" borderId="13" xfId="8" applyNumberFormat="1" applyFont="1" applyFill="1" applyBorder="1" applyAlignment="1" applyProtection="1">
      <alignment horizontal="center" vertical="center"/>
      <protection locked="0"/>
    </xf>
    <xf numFmtId="0" fontId="39" fillId="2" borderId="13" xfId="8" applyFont="1" applyFill="1" applyBorder="1" applyAlignment="1">
      <alignment horizontal="center"/>
    </xf>
    <xf numFmtId="0" fontId="43" fillId="3" borderId="25" xfId="8" applyFont="1" applyFill="1" applyBorder="1" applyAlignment="1" applyProtection="1">
      <alignment horizontal="center"/>
      <protection locked="0"/>
    </xf>
    <xf numFmtId="166" fontId="39" fillId="2" borderId="25" xfId="8" applyNumberFormat="1" applyFont="1" applyFill="1" applyBorder="1" applyAlignment="1">
      <alignment horizontal="center"/>
    </xf>
    <xf numFmtId="0" fontId="42" fillId="2" borderId="0" xfId="8" applyFont="1" applyFill="1" applyAlignment="1">
      <alignment horizontal="center" vertical="center"/>
    </xf>
    <xf numFmtId="2" fontId="43" fillId="3" borderId="14" xfId="8" applyNumberFormat="1" applyFont="1" applyFill="1" applyBorder="1" applyAlignment="1" applyProtection="1">
      <alignment horizontal="center" vertical="center"/>
      <protection locked="0"/>
    </xf>
    <xf numFmtId="0" fontId="39" fillId="2" borderId="14" xfId="8" applyFont="1" applyFill="1" applyBorder="1" applyAlignment="1">
      <alignment horizontal="center"/>
    </xf>
    <xf numFmtId="166" fontId="39" fillId="2" borderId="26" xfId="8" applyNumberFormat="1" applyFont="1" applyFill="1" applyBorder="1" applyAlignment="1">
      <alignment horizontal="center"/>
    </xf>
    <xf numFmtId="1" fontId="43" fillId="3" borderId="26" xfId="8" applyNumberFormat="1" applyFont="1" applyFill="1" applyBorder="1" applyAlignment="1" applyProtection="1">
      <alignment horizontal="center"/>
      <protection locked="0"/>
    </xf>
    <xf numFmtId="0" fontId="42" fillId="2" borderId="9" xfId="8" applyFont="1" applyFill="1" applyBorder="1" applyAlignment="1">
      <alignment horizontal="center" vertical="center"/>
    </xf>
    <xf numFmtId="2" fontId="43" fillId="3" borderId="15" xfId="8" applyNumberFormat="1" applyFont="1" applyFill="1" applyBorder="1" applyAlignment="1" applyProtection="1">
      <alignment horizontal="center" vertical="center"/>
      <protection locked="0"/>
    </xf>
    <xf numFmtId="0" fontId="39" fillId="2" borderId="15" xfId="8" applyFont="1" applyFill="1" applyBorder="1" applyAlignment="1">
      <alignment horizontal="center"/>
    </xf>
    <xf numFmtId="0" fontId="43" fillId="3" borderId="41" xfId="8" applyFont="1" applyFill="1" applyBorder="1" applyAlignment="1" applyProtection="1">
      <alignment horizontal="center"/>
      <protection locked="0"/>
    </xf>
    <xf numFmtId="166" fontId="39" fillId="2" borderId="41" xfId="8" applyNumberFormat="1" applyFont="1" applyFill="1" applyBorder="1" applyAlignment="1">
      <alignment horizontal="center"/>
    </xf>
    <xf numFmtId="0" fontId="44" fillId="2" borderId="22" xfId="8" applyFont="1" applyFill="1" applyBorder="1" applyAlignment="1">
      <alignment horizontal="center"/>
    </xf>
    <xf numFmtId="2" fontId="44" fillId="2" borderId="23" xfId="8" applyNumberFormat="1" applyFont="1" applyFill="1" applyBorder="1" applyAlignment="1">
      <alignment horizontal="center"/>
    </xf>
    <xf numFmtId="0" fontId="40" fillId="2" borderId="25" xfId="8" applyFont="1" applyFill="1" applyBorder="1" applyAlignment="1">
      <alignment horizontal="center" vertical="center" wrapText="1"/>
    </xf>
    <xf numFmtId="0" fontId="40" fillId="2" borderId="21" xfId="8" applyFont="1" applyFill="1" applyBorder="1" applyAlignment="1">
      <alignment horizontal="center" vertical="center" wrapText="1"/>
    </xf>
    <xf numFmtId="0" fontId="40" fillId="2" borderId="41" xfId="8" applyFont="1" applyFill="1" applyBorder="1" applyAlignment="1">
      <alignment horizontal="center" vertical="center" wrapText="1"/>
    </xf>
    <xf numFmtId="0" fontId="40" fillId="2" borderId="23" xfId="8" applyFont="1" applyFill="1" applyBorder="1" applyAlignment="1">
      <alignment horizontal="center" vertical="center" wrapText="1"/>
    </xf>
    <xf numFmtId="0" fontId="42" fillId="2" borderId="41" xfId="8" applyFont="1" applyFill="1" applyBorder="1" applyAlignment="1">
      <alignment horizontal="center" vertical="center"/>
    </xf>
    <xf numFmtId="0" fontId="39" fillId="2" borderId="42" xfId="8" applyFont="1" applyFill="1" applyBorder="1" applyAlignment="1">
      <alignment horizontal="right"/>
    </xf>
    <xf numFmtId="2" fontId="43" fillId="7" borderId="33" xfId="8" applyNumberFormat="1" applyFont="1" applyFill="1" applyBorder="1" applyAlignment="1">
      <alignment horizontal="center"/>
    </xf>
    <xf numFmtId="173" fontId="43" fillId="7" borderId="33" xfId="8" applyNumberFormat="1" applyFont="1" applyFill="1" applyBorder="1" applyAlignment="1">
      <alignment horizontal="center"/>
    </xf>
    <xf numFmtId="0" fontId="39" fillId="2" borderId="40" xfId="8" applyFont="1" applyFill="1" applyBorder="1" applyAlignment="1">
      <alignment horizontal="right"/>
    </xf>
    <xf numFmtId="10" fontId="43" fillId="6" borderId="62" xfId="8" applyNumberFormat="1" applyFont="1" applyFill="1" applyBorder="1" applyAlignment="1">
      <alignment horizontal="center"/>
    </xf>
    <xf numFmtId="0" fontId="39" fillId="2" borderId="17" xfId="8" applyFont="1" applyFill="1" applyBorder="1" applyAlignment="1">
      <alignment horizontal="right"/>
    </xf>
    <xf numFmtId="0" fontId="43" fillId="7" borderId="61" xfId="8" applyFont="1" applyFill="1" applyBorder="1" applyAlignment="1">
      <alignment horizontal="center"/>
    </xf>
    <xf numFmtId="0" fontId="42" fillId="2" borderId="0" xfId="8" applyFont="1" applyFill="1" applyAlignment="1">
      <alignment horizontal="center"/>
    </xf>
    <xf numFmtId="165" fontId="43" fillId="2" borderId="0" xfId="8" applyNumberFormat="1" applyFont="1" applyFill="1" applyAlignment="1">
      <alignment horizontal="center"/>
    </xf>
    <xf numFmtId="0" fontId="43" fillId="3" borderId="0" xfId="8" applyFont="1" applyFill="1" applyAlignment="1" applyProtection="1">
      <alignment horizontal="left"/>
      <protection locked="0"/>
    </xf>
    <xf numFmtId="0" fontId="42" fillId="2" borderId="43" xfId="8" applyFont="1" applyFill="1" applyBorder="1" applyAlignment="1">
      <alignment horizontal="center"/>
    </xf>
    <xf numFmtId="0" fontId="42" fillId="2" borderId="44" xfId="8" applyFont="1" applyFill="1" applyBorder="1" applyAlignment="1">
      <alignment horizontal="center"/>
    </xf>
    <xf numFmtId="0" fontId="42" fillId="2" borderId="10" xfId="8" applyFont="1" applyFill="1" applyBorder="1" applyAlignment="1">
      <alignment horizontal="center"/>
    </xf>
    <xf numFmtId="0" fontId="42" fillId="2" borderId="29" xfId="8" applyFont="1" applyFill="1" applyBorder="1" applyAlignment="1">
      <alignment horizontal="center"/>
    </xf>
    <xf numFmtId="0" fontId="39" fillId="2" borderId="24" xfId="8" applyFont="1" applyFill="1" applyBorder="1" applyAlignment="1">
      <alignment horizontal="center"/>
    </xf>
    <xf numFmtId="168" fontId="43" fillId="3" borderId="45" xfId="8" applyNumberFormat="1" applyFont="1" applyFill="1" applyBorder="1" applyAlignment="1" applyProtection="1">
      <alignment horizontal="center"/>
      <protection locked="0"/>
    </xf>
    <xf numFmtId="168" fontId="43" fillId="3" borderId="26" xfId="8" applyNumberFormat="1" applyFont="1" applyFill="1" applyBorder="1" applyAlignment="1" applyProtection="1">
      <alignment horizontal="center"/>
      <protection locked="0"/>
    </xf>
    <xf numFmtId="0" fontId="39" fillId="2" borderId="7" xfId="8" applyFont="1" applyFill="1" applyBorder="1" applyAlignment="1">
      <alignment horizontal="center"/>
    </xf>
    <xf numFmtId="168" fontId="43" fillId="3" borderId="48" xfId="8" applyNumberFormat="1" applyFont="1" applyFill="1" applyBorder="1" applyAlignment="1" applyProtection="1">
      <alignment horizontal="center"/>
      <protection locked="0"/>
    </xf>
    <xf numFmtId="168" fontId="42" fillId="6" borderId="31" xfId="8" applyNumberFormat="1" applyFont="1" applyFill="1" applyBorder="1" applyAlignment="1">
      <alignment horizontal="center"/>
    </xf>
    <xf numFmtId="168" fontId="42" fillId="6" borderId="35" xfId="8" applyNumberFormat="1" applyFont="1" applyFill="1" applyBorder="1" applyAlignment="1">
      <alignment horizontal="center"/>
    </xf>
    <xf numFmtId="168" fontId="42" fillId="6" borderId="15" xfId="8" applyNumberFormat="1" applyFont="1" applyFill="1" applyBorder="1" applyAlignment="1">
      <alignment horizontal="center"/>
    </xf>
    <xf numFmtId="0" fontId="39" fillId="2" borderId="56" xfId="8" applyFont="1" applyFill="1" applyBorder="1" applyAlignment="1">
      <alignment horizontal="right"/>
    </xf>
    <xf numFmtId="0" fontId="43" fillId="3" borderId="37" xfId="8" applyFont="1" applyFill="1" applyBorder="1" applyAlignment="1" applyProtection="1">
      <alignment horizontal="center"/>
      <protection locked="0"/>
    </xf>
    <xf numFmtId="0" fontId="39" fillId="2" borderId="38" xfId="8" applyFont="1" applyFill="1" applyBorder="1" applyAlignment="1">
      <alignment horizontal="right"/>
    </xf>
    <xf numFmtId="2" fontId="39" fillId="6" borderId="39" xfId="8" applyNumberFormat="1" applyFont="1" applyFill="1" applyBorder="1" applyAlignment="1">
      <alignment horizontal="center"/>
    </xf>
    <xf numFmtId="2" fontId="39" fillId="7" borderId="39" xfId="8" applyNumberFormat="1" applyFont="1" applyFill="1" applyBorder="1" applyAlignment="1">
      <alignment horizontal="center"/>
    </xf>
    <xf numFmtId="0" fontId="40" fillId="2" borderId="10" xfId="8" applyFont="1" applyFill="1" applyBorder="1" applyAlignment="1">
      <alignment horizontal="left" vertical="center" wrapText="1"/>
    </xf>
    <xf numFmtId="166" fontId="39" fillId="6" borderId="39" xfId="8" applyNumberFormat="1" applyFont="1" applyFill="1" applyBorder="1" applyAlignment="1">
      <alignment horizontal="center"/>
    </xf>
    <xf numFmtId="0" fontId="40" fillId="2" borderId="9" xfId="8" applyFont="1" applyFill="1" applyBorder="1" applyAlignment="1">
      <alignment horizontal="left" vertical="center" wrapText="1"/>
    </xf>
    <xf numFmtId="166" fontId="39" fillId="7" borderId="39" xfId="8" applyNumberFormat="1" applyFont="1" applyFill="1" applyBorder="1" applyAlignment="1">
      <alignment horizontal="center"/>
    </xf>
    <xf numFmtId="2" fontId="28" fillId="2" borderId="0" xfId="8" applyNumberFormat="1" applyFont="1" applyFill="1" applyAlignment="1">
      <alignment horizontal="center"/>
    </xf>
    <xf numFmtId="0" fontId="39" fillId="2" borderId="27" xfId="8" applyFont="1" applyFill="1" applyBorder="1" applyAlignment="1">
      <alignment horizontal="right"/>
    </xf>
    <xf numFmtId="2" fontId="39" fillId="7" borderId="29" xfId="8" applyNumberFormat="1" applyFont="1" applyFill="1" applyBorder="1" applyAlignment="1">
      <alignment horizontal="center"/>
    </xf>
    <xf numFmtId="0" fontId="42" fillId="2" borderId="0" xfId="8" applyFont="1" applyFill="1" applyAlignment="1">
      <alignment horizontal="center" wrapText="1"/>
    </xf>
    <xf numFmtId="0" fontId="39" fillId="2" borderId="16" xfId="8" applyFont="1" applyFill="1" applyBorder="1" applyAlignment="1">
      <alignment horizontal="right"/>
    </xf>
    <xf numFmtId="168" fontId="42" fillId="7" borderId="16" xfId="8" applyNumberFormat="1" applyFont="1" applyFill="1" applyBorder="1" applyAlignment="1">
      <alignment horizontal="center"/>
    </xf>
    <xf numFmtId="10" fontId="39" fillId="2" borderId="0" xfId="8" applyNumberFormat="1" applyFont="1" applyFill="1" applyAlignment="1">
      <alignment horizontal="center"/>
    </xf>
    <xf numFmtId="10" fontId="42" fillId="6" borderId="40" xfId="8" applyNumberFormat="1" applyFont="1" applyFill="1" applyBorder="1" applyAlignment="1">
      <alignment horizontal="center"/>
    </xf>
    <xf numFmtId="0" fontId="42" fillId="7" borderId="17" xfId="8" applyFont="1" applyFill="1" applyBorder="1" applyAlignment="1">
      <alignment horizontal="center"/>
    </xf>
    <xf numFmtId="0" fontId="42" fillId="2" borderId="21" xfId="8" applyFont="1" applyFill="1" applyBorder="1" applyAlignment="1">
      <alignment horizontal="center" wrapText="1"/>
    </xf>
    <xf numFmtId="168" fontId="43" fillId="3" borderId="13" xfId="8" applyNumberFormat="1" applyFont="1" applyFill="1" applyBorder="1" applyAlignment="1" applyProtection="1">
      <alignment horizontal="center"/>
      <protection locked="0"/>
    </xf>
    <xf numFmtId="166" fontId="39" fillId="2" borderId="13" xfId="8" applyNumberFormat="1" applyFont="1" applyFill="1" applyBorder="1" applyAlignment="1">
      <alignment horizontal="center"/>
    </xf>
    <xf numFmtId="168" fontId="43" fillId="3" borderId="14" xfId="8" applyNumberFormat="1" applyFont="1" applyFill="1" applyBorder="1" applyAlignment="1" applyProtection="1">
      <alignment horizontal="center"/>
      <protection locked="0"/>
    </xf>
    <xf numFmtId="166" fontId="39" fillId="2" borderId="14" xfId="8" applyNumberFormat="1" applyFont="1" applyFill="1" applyBorder="1" applyAlignment="1">
      <alignment horizontal="center"/>
    </xf>
    <xf numFmtId="173" fontId="39" fillId="2" borderId="22" xfId="8" applyNumberFormat="1" applyFont="1" applyFill="1" applyBorder="1" applyAlignment="1">
      <alignment horizontal="center"/>
    </xf>
    <xf numFmtId="168" fontId="43" fillId="3" borderId="15" xfId="8" applyNumberFormat="1" applyFont="1" applyFill="1" applyBorder="1" applyAlignment="1" applyProtection="1">
      <alignment horizontal="center"/>
      <protection locked="0"/>
    </xf>
    <xf numFmtId="166" fontId="39" fillId="2" borderId="15" xfId="8" applyNumberFormat="1" applyFont="1" applyFill="1" applyBorder="1" applyAlignment="1">
      <alignment horizontal="center"/>
    </xf>
    <xf numFmtId="0" fontId="39" fillId="2" borderId="26" xfId="8" applyFont="1" applyFill="1" applyBorder="1" applyAlignment="1">
      <alignment horizontal="center"/>
    </xf>
    <xf numFmtId="168" fontId="39" fillId="2" borderId="16" xfId="8" applyNumberFormat="1" applyFont="1" applyFill="1" applyBorder="1" applyAlignment="1">
      <alignment horizontal="right"/>
    </xf>
    <xf numFmtId="2" fontId="43" fillId="7" borderId="64" xfId="8" applyNumberFormat="1" applyFont="1" applyFill="1" applyBorder="1" applyAlignment="1">
      <alignment horizontal="center"/>
    </xf>
    <xf numFmtId="0" fontId="39" fillId="2" borderId="26" xfId="8" applyFont="1" applyFill="1" applyBorder="1"/>
    <xf numFmtId="0" fontId="39" fillId="2" borderId="14" xfId="8" applyFont="1" applyFill="1" applyBorder="1" applyAlignment="1">
      <alignment horizontal="right"/>
    </xf>
    <xf numFmtId="10" fontId="43" fillId="6" borderId="39" xfId="8" applyNumberFormat="1" applyFont="1" applyFill="1" applyBorder="1" applyAlignment="1">
      <alignment horizontal="center"/>
    </xf>
    <xf numFmtId="0" fontId="39" fillId="2" borderId="41" xfId="8" applyFont="1" applyFill="1" applyBorder="1"/>
    <xf numFmtId="0" fontId="43" fillId="7" borderId="30" xfId="8" applyFont="1" applyFill="1" applyBorder="1" applyAlignment="1">
      <alignment horizontal="center"/>
    </xf>
    <xf numFmtId="0" fontId="43" fillId="7" borderId="66" xfId="8" applyFont="1" applyFill="1" applyBorder="1" applyAlignment="1">
      <alignment horizontal="center"/>
    </xf>
    <xf numFmtId="0" fontId="39" fillId="2" borderId="13" xfId="8" applyFont="1" applyFill="1" applyBorder="1"/>
    <xf numFmtId="0" fontId="42" fillId="2" borderId="43" xfId="8" applyFont="1" applyFill="1" applyBorder="1" applyAlignment="1">
      <alignment horizontal="center" vertical="center"/>
    </xf>
    <xf numFmtId="0" fontId="42" fillId="2" borderId="64" xfId="8" applyFont="1" applyFill="1" applyBorder="1" applyAlignment="1">
      <alignment horizontal="center" vertical="center"/>
    </xf>
    <xf numFmtId="0" fontId="40" fillId="2" borderId="0" xfId="8" applyFont="1" applyFill="1" applyAlignment="1">
      <alignment horizontal="right" vertical="center" wrapText="1"/>
    </xf>
    <xf numFmtId="2" fontId="43" fillId="6" borderId="62" xfId="8" applyNumberFormat="1" applyFont="1" applyFill="1" applyBorder="1" applyAlignment="1">
      <alignment horizontal="center"/>
    </xf>
    <xf numFmtId="174" fontId="43" fillId="6" borderId="62" xfId="8" applyNumberFormat="1" applyFont="1" applyFill="1" applyBorder="1" applyAlignment="1">
      <alignment horizontal="center"/>
    </xf>
    <xf numFmtId="2" fontId="43" fillId="7" borderId="61" xfId="8" applyNumberFormat="1" applyFont="1" applyFill="1" applyBorder="1" applyAlignment="1">
      <alignment horizontal="center"/>
    </xf>
    <xf numFmtId="174" fontId="43" fillId="7" borderId="61" xfId="8" applyNumberFormat="1" applyFont="1" applyFill="1" applyBorder="1" applyAlignment="1">
      <alignment horizontal="center"/>
    </xf>
    <xf numFmtId="0" fontId="40" fillId="2" borderId="9" xfId="8" applyFont="1" applyFill="1" applyBorder="1" applyAlignment="1">
      <alignment horizontal="left" vertical="center" wrapText="1"/>
    </xf>
    <xf numFmtId="0" fontId="39" fillId="2" borderId="9" xfId="8" applyFont="1" applyFill="1" applyBorder="1"/>
    <xf numFmtId="0" fontId="42" fillId="2" borderId="10" xfId="8" applyFont="1" applyFill="1" applyBorder="1" applyAlignment="1">
      <alignment horizontal="center"/>
    </xf>
    <xf numFmtId="0" fontId="39" fillId="2" borderId="10" xfId="8" applyFont="1" applyFill="1" applyBorder="1" applyAlignment="1">
      <alignment horizontal="center"/>
    </xf>
    <xf numFmtId="0" fontId="39" fillId="2" borderId="7" xfId="8" applyFont="1" applyFill="1" applyBorder="1"/>
    <xf numFmtId="0" fontId="42" fillId="2" borderId="11" xfId="8" applyFont="1" applyFill="1" applyBorder="1"/>
    <xf numFmtId="0" fontId="39" fillId="2" borderId="11" xfId="8" applyFont="1" applyFill="1" applyBorder="1"/>
    <xf numFmtId="0" fontId="13" fillId="3" borderId="26" xfId="8" applyFont="1" applyFill="1" applyBorder="1" applyAlignment="1" applyProtection="1">
      <alignment horizontal="left"/>
      <protection locked="0"/>
    </xf>
    <xf numFmtId="10" fontId="43" fillId="7" borderId="33" xfId="7" applyNumberFormat="1" applyFont="1" applyFill="1" applyBorder="1" applyAlignment="1">
      <alignment horizontal="center"/>
    </xf>
    <xf numFmtId="0" fontId="31" fillId="2" borderId="55" xfId="8" applyFont="1" applyFill="1" applyBorder="1" applyAlignment="1">
      <alignment horizontal="center"/>
    </xf>
    <xf numFmtId="2" fontId="39" fillId="2" borderId="67" xfId="8" applyNumberFormat="1" applyFont="1" applyFill="1" applyBorder="1" applyAlignment="1">
      <alignment horizontal="center"/>
    </xf>
    <xf numFmtId="2" fontId="39" fillId="2" borderId="68" xfId="8" applyNumberFormat="1" applyFont="1" applyFill="1" applyBorder="1" applyAlignment="1">
      <alignment horizontal="center"/>
    </xf>
    <xf numFmtId="2" fontId="39" fillId="2" borderId="69" xfId="8" applyNumberFormat="1" applyFont="1" applyFill="1" applyBorder="1" applyAlignment="1">
      <alignment horizontal="center"/>
    </xf>
    <xf numFmtId="2" fontId="39" fillId="2" borderId="70" xfId="8" applyNumberFormat="1" applyFont="1" applyFill="1" applyBorder="1" applyAlignment="1">
      <alignment horizontal="center"/>
    </xf>
    <xf numFmtId="2" fontId="39" fillId="2" borderId="71" xfId="8" applyNumberFormat="1" applyFont="1" applyFill="1" applyBorder="1" applyAlignment="1">
      <alignment horizontal="center"/>
    </xf>
    <xf numFmtId="165" fontId="43" fillId="7" borderId="61" xfId="8" applyNumberFormat="1" applyFont="1" applyFill="1" applyBorder="1" applyAlignment="1">
      <alignment horizontal="center"/>
    </xf>
    <xf numFmtId="168" fontId="17" fillId="3" borderId="14" xfId="8" applyNumberFormat="1" applyFont="1" applyFill="1" applyBorder="1" applyAlignment="1" applyProtection="1">
      <alignment horizontal="center"/>
      <protection locked="0"/>
    </xf>
    <xf numFmtId="165" fontId="43" fillId="7" borderId="37" xfId="7" applyNumberFormat="1" applyFont="1" applyFill="1" applyBorder="1" applyAlignment="1">
      <alignment horizontal="center"/>
    </xf>
    <xf numFmtId="10" fontId="11" fillId="2" borderId="46" xfId="7" applyNumberFormat="1" applyFont="1" applyFill="1" applyBorder="1" applyAlignment="1" applyProtection="1">
      <alignment horizontal="center" vertical="center"/>
    </xf>
    <xf numFmtId="10" fontId="11" fillId="2" borderId="3" xfId="7" applyNumberFormat="1" applyFont="1" applyFill="1" applyBorder="1" applyAlignment="1" applyProtection="1">
      <alignment horizontal="center"/>
    </xf>
    <xf numFmtId="10" fontId="43" fillId="7" borderId="64" xfId="7" applyNumberFormat="1" applyFont="1" applyFill="1" applyBorder="1" applyAlignment="1">
      <alignment horizontal="center"/>
    </xf>
    <xf numFmtId="165" fontId="43" fillId="6" borderId="39" xfId="8" applyNumberFormat="1" applyFont="1" applyFill="1" applyBorder="1" applyAlignment="1">
      <alignment horizontal="center"/>
    </xf>
    <xf numFmtId="9" fontId="50" fillId="2" borderId="0" xfId="7" applyNumberFormat="1" applyFont="1" applyFill="1" applyAlignment="1">
      <alignment horizontal="center"/>
    </xf>
  </cellXfs>
  <cellStyles count="9">
    <cellStyle name="Normal" xfId="0" builtinId="0"/>
    <cellStyle name="Normal 2" xfId="2"/>
    <cellStyle name="Normal 3" xfId="4"/>
    <cellStyle name="Normal 4" xfId="1"/>
    <cellStyle name="Normal 5" xfId="3"/>
    <cellStyle name="Normal 6" xfId="5"/>
    <cellStyle name="Normal 7" xfId="6"/>
    <cellStyle name="Normal 8" xfId="8"/>
    <cellStyle name="Percent" xfId="7" builtinId="5"/>
  </cellStyles>
  <dxfs count="75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C32" sqref="C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26" t="s">
        <v>0</v>
      </c>
      <c r="B15" s="526"/>
      <c r="C15" s="526"/>
      <c r="D15" s="526"/>
      <c r="E15" s="52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99.44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20.190000000000001</v>
      </c>
      <c r="C20" s="10"/>
      <c r="D20" s="10"/>
      <c r="E20" s="10"/>
    </row>
    <row r="21" spans="1:6" ht="16.5" customHeight="1" x14ac:dyDescent="0.3">
      <c r="A21" s="7" t="s">
        <v>10</v>
      </c>
      <c r="B21" s="13">
        <f>20/20*5/50</f>
        <v>0.1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28401823</v>
      </c>
      <c r="C24" s="18">
        <v>7200.4</v>
      </c>
      <c r="D24" s="19">
        <v>1.1100000000000001</v>
      </c>
      <c r="E24" s="20">
        <v>3.56</v>
      </c>
    </row>
    <row r="25" spans="1:6" ht="16.5" customHeight="1" x14ac:dyDescent="0.3">
      <c r="A25" s="17">
        <v>2</v>
      </c>
      <c r="B25" s="18">
        <v>28502639</v>
      </c>
      <c r="C25" s="18">
        <v>7169.96</v>
      </c>
      <c r="D25" s="19">
        <v>1.1399999999999999</v>
      </c>
      <c r="E25" s="19">
        <v>3.56</v>
      </c>
    </row>
    <row r="26" spans="1:6" ht="16.5" customHeight="1" x14ac:dyDescent="0.3">
      <c r="A26" s="17">
        <v>3</v>
      </c>
      <c r="B26" s="18">
        <v>28385772</v>
      </c>
      <c r="C26" s="18">
        <v>7186.26</v>
      </c>
      <c r="D26" s="19">
        <v>1.1000000000000001</v>
      </c>
      <c r="E26" s="19">
        <v>3.56</v>
      </c>
    </row>
    <row r="27" spans="1:6" ht="16.5" customHeight="1" x14ac:dyDescent="0.3">
      <c r="A27" s="17">
        <v>4</v>
      </c>
      <c r="B27" s="18">
        <v>28402612</v>
      </c>
      <c r="C27" s="18">
        <v>7164.26</v>
      </c>
      <c r="D27" s="19">
        <v>1.1399999999999999</v>
      </c>
      <c r="E27" s="19">
        <v>3.56</v>
      </c>
    </row>
    <row r="28" spans="1:6" ht="16.5" customHeight="1" x14ac:dyDescent="0.3">
      <c r="A28" s="17">
        <v>5</v>
      </c>
      <c r="B28" s="18">
        <v>28474601</v>
      </c>
      <c r="C28" s="18">
        <v>7178.2</v>
      </c>
      <c r="D28" s="19">
        <v>1.1000000000000001</v>
      </c>
      <c r="E28" s="19">
        <v>3.57</v>
      </c>
    </row>
    <row r="29" spans="1:6" ht="16.5" customHeight="1" x14ac:dyDescent="0.3">
      <c r="A29" s="17">
        <v>6</v>
      </c>
      <c r="B29" s="21">
        <v>28394839</v>
      </c>
      <c r="C29" s="21">
        <v>7135.11</v>
      </c>
      <c r="D29" s="22">
        <v>1.1200000000000001</v>
      </c>
      <c r="E29" s="22">
        <v>3.56</v>
      </c>
    </row>
    <row r="30" spans="1:6" ht="16.5" customHeight="1" x14ac:dyDescent="0.3">
      <c r="A30" s="23" t="s">
        <v>18</v>
      </c>
      <c r="B30" s="24">
        <f>AVERAGE(B24:B29)</f>
        <v>28427047.666666668</v>
      </c>
      <c r="C30" s="25">
        <f>AVERAGE(C24:C29)</f>
        <v>7172.3650000000007</v>
      </c>
      <c r="D30" s="26">
        <f>AVERAGE(D24:D29)</f>
        <v>1.1183333333333334</v>
      </c>
      <c r="E30" s="26">
        <f>AVERAGE(E24:E29)</f>
        <v>3.5616666666666661</v>
      </c>
    </row>
    <row r="31" spans="1:6" ht="16.5" customHeight="1" x14ac:dyDescent="0.3">
      <c r="A31" s="27" t="s">
        <v>19</v>
      </c>
      <c r="B31" s="28">
        <f>(STDEV(B24:B29)/B30)</f>
        <v>1.7197454545294167E-3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27" t="s">
        <v>26</v>
      </c>
      <c r="C59" s="52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138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A14" sqref="A14:G61"/>
    </sheetView>
  </sheetViews>
  <sheetFormatPr defaultRowHeight="13.5" x14ac:dyDescent="0.25"/>
  <cols>
    <col min="1" max="1" width="27.5703125" style="227" customWidth="1"/>
    <col min="2" max="2" width="20.425781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26" t="s">
        <v>0</v>
      </c>
      <c r="B15" s="526"/>
      <c r="C15" s="526"/>
      <c r="D15" s="526"/>
      <c r="E15" s="52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12" t="s">
        <v>9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99.44</v>
      </c>
      <c r="C19" s="72"/>
      <c r="D19" s="72"/>
      <c r="E19" s="72"/>
    </row>
    <row r="20" spans="1:5" ht="16.5" customHeight="1" x14ac:dyDescent="0.3">
      <c r="A20" s="8" t="s">
        <v>8</v>
      </c>
      <c r="B20" s="12">
        <v>19.22</v>
      </c>
      <c r="C20" s="72"/>
      <c r="D20" s="72"/>
      <c r="E20" s="72"/>
    </row>
    <row r="21" spans="1:5" ht="16.5" customHeight="1" x14ac:dyDescent="0.3">
      <c r="A21" s="8" t="s">
        <v>10</v>
      </c>
      <c r="B21" s="13">
        <f>19.22/20*5/50</f>
        <v>9.6099999999999991E-2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3426885</v>
      </c>
      <c r="C24" s="18">
        <v>8357.2000000000007</v>
      </c>
      <c r="D24" s="19">
        <v>1.1000000000000001</v>
      </c>
      <c r="E24" s="20">
        <v>3.2</v>
      </c>
    </row>
    <row r="25" spans="1:5" ht="16.5" customHeight="1" x14ac:dyDescent="0.3">
      <c r="A25" s="17">
        <v>2</v>
      </c>
      <c r="B25" s="18">
        <v>3430051</v>
      </c>
      <c r="C25" s="18">
        <v>8424.7999999999993</v>
      </c>
      <c r="D25" s="19">
        <v>1.1000000000000001</v>
      </c>
      <c r="E25" s="19">
        <v>3.2</v>
      </c>
    </row>
    <row r="26" spans="1:5" ht="16.5" customHeight="1" x14ac:dyDescent="0.3">
      <c r="A26" s="17">
        <v>3</v>
      </c>
      <c r="B26" s="18">
        <v>3425128</v>
      </c>
      <c r="C26" s="18">
        <v>8400.2000000000007</v>
      </c>
      <c r="D26" s="19">
        <v>1.2</v>
      </c>
      <c r="E26" s="19">
        <v>3.2</v>
      </c>
    </row>
    <row r="27" spans="1:5" ht="16.5" customHeight="1" x14ac:dyDescent="0.3">
      <c r="A27" s="17">
        <v>4</v>
      </c>
      <c r="B27" s="18">
        <v>3425026</v>
      </c>
      <c r="C27" s="18">
        <v>8348.2999999999993</v>
      </c>
      <c r="D27" s="19">
        <v>1.2</v>
      </c>
      <c r="E27" s="19">
        <v>3.2</v>
      </c>
    </row>
    <row r="28" spans="1:5" ht="16.5" customHeight="1" x14ac:dyDescent="0.3">
      <c r="A28" s="17">
        <v>5</v>
      </c>
      <c r="B28" s="18">
        <v>3425362</v>
      </c>
      <c r="C28" s="18">
        <v>8442.6</v>
      </c>
      <c r="D28" s="19">
        <v>1.1000000000000001</v>
      </c>
      <c r="E28" s="19">
        <v>3.2</v>
      </c>
    </row>
    <row r="29" spans="1:5" ht="16.5" customHeight="1" x14ac:dyDescent="0.3">
      <c r="A29" s="17">
        <v>6</v>
      </c>
      <c r="B29" s="21">
        <v>3426270</v>
      </c>
      <c r="C29" s="21">
        <v>8410.1</v>
      </c>
      <c r="D29" s="22">
        <v>1.2</v>
      </c>
      <c r="E29" s="22">
        <v>3.2</v>
      </c>
    </row>
    <row r="30" spans="1:5" ht="16.5" customHeight="1" x14ac:dyDescent="0.3">
      <c r="A30" s="23" t="s">
        <v>18</v>
      </c>
      <c r="B30" s="24">
        <f>AVERAGE(B24:B29)</f>
        <v>3426453.6666666665</v>
      </c>
      <c r="C30" s="25">
        <f>AVERAGE(C24:C29)</f>
        <v>8397.1999999999989</v>
      </c>
      <c r="D30" s="26">
        <f>AVERAGE(D24:D29)</f>
        <v>1.1500000000000001</v>
      </c>
      <c r="E30" s="26">
        <f>AVERAGE(E24:E29)</f>
        <v>3.1999999999999997</v>
      </c>
    </row>
    <row r="31" spans="1:5" ht="16.5" customHeight="1" x14ac:dyDescent="0.3">
      <c r="A31" s="27" t="s">
        <v>19</v>
      </c>
      <c r="B31" s="28">
        <f>(STDEV(B24:B29)/B30)</f>
        <v>5.5601167811856979E-4</v>
      </c>
      <c r="C31" s="29"/>
      <c r="D31" s="29"/>
      <c r="E31" s="30"/>
    </row>
    <row r="32" spans="1:5" s="22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227" customFormat="1" ht="15.75" customHeight="1" x14ac:dyDescent="0.25">
      <c r="A33" s="72"/>
      <c r="B33" s="72"/>
      <c r="C33" s="72"/>
      <c r="D33" s="72"/>
      <c r="E33" s="72"/>
    </row>
    <row r="34" spans="1:5" s="22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227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227" customFormat="1" ht="15.75" customHeight="1" x14ac:dyDescent="0.25">
      <c r="A54" s="72"/>
      <c r="B54" s="72"/>
      <c r="C54" s="72"/>
      <c r="D54" s="72"/>
      <c r="E54" s="72"/>
    </row>
    <row r="55" spans="1:7" s="22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150"/>
      <c r="D58" s="43"/>
      <c r="F58" s="44"/>
      <c r="G58" s="44"/>
    </row>
    <row r="59" spans="1:7" ht="15" customHeight="1" x14ac:dyDescent="0.3">
      <c r="B59" s="527" t="s">
        <v>26</v>
      </c>
      <c r="C59" s="52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138</v>
      </c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6" sqref="D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31" t="s">
        <v>31</v>
      </c>
      <c r="B11" s="532"/>
      <c r="C11" s="532"/>
      <c r="D11" s="532"/>
      <c r="E11" s="532"/>
      <c r="F11" s="533"/>
      <c r="G11" s="91"/>
    </row>
    <row r="12" spans="1:7" ht="16.5" customHeight="1" x14ac:dyDescent="0.3">
      <c r="A12" s="530" t="s">
        <v>32</v>
      </c>
      <c r="B12" s="530"/>
      <c r="C12" s="530"/>
      <c r="D12" s="530"/>
      <c r="E12" s="530"/>
      <c r="F12" s="530"/>
      <c r="G12" s="90"/>
    </row>
    <row r="14" spans="1:7" ht="16.5" customHeight="1" x14ac:dyDescent="0.3">
      <c r="A14" s="535" t="s">
        <v>33</v>
      </c>
      <c r="B14" s="535"/>
      <c r="C14" s="60" t="s">
        <v>5</v>
      </c>
    </row>
    <row r="15" spans="1:7" ht="16.5" customHeight="1" x14ac:dyDescent="0.3">
      <c r="A15" s="535" t="s">
        <v>34</v>
      </c>
      <c r="B15" s="535"/>
      <c r="C15" s="60" t="s">
        <v>7</v>
      </c>
    </row>
    <row r="16" spans="1:7" ht="16.5" customHeight="1" x14ac:dyDescent="0.3">
      <c r="A16" s="535" t="s">
        <v>35</v>
      </c>
      <c r="B16" s="535"/>
      <c r="C16" s="60" t="s">
        <v>9</v>
      </c>
    </row>
    <row r="17" spans="1:5" ht="16.5" customHeight="1" x14ac:dyDescent="0.3">
      <c r="A17" s="535" t="s">
        <v>36</v>
      </c>
      <c r="B17" s="535"/>
      <c r="C17" s="60" t="s">
        <v>11</v>
      </c>
    </row>
    <row r="18" spans="1:5" ht="16.5" customHeight="1" x14ac:dyDescent="0.3">
      <c r="A18" s="535" t="s">
        <v>37</v>
      </c>
      <c r="B18" s="535"/>
      <c r="C18" s="97" t="s">
        <v>12</v>
      </c>
    </row>
    <row r="19" spans="1:5" ht="16.5" customHeight="1" x14ac:dyDescent="0.3">
      <c r="A19" s="535" t="s">
        <v>38</v>
      </c>
      <c r="B19" s="53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30" t="s">
        <v>1</v>
      </c>
      <c r="B21" s="530"/>
      <c r="C21" s="59" t="s">
        <v>39</v>
      </c>
      <c r="D21" s="66"/>
    </row>
    <row r="22" spans="1:5" ht="15.75" customHeight="1" x14ac:dyDescent="0.3">
      <c r="A22" s="534"/>
      <c r="B22" s="534"/>
      <c r="C22" s="57"/>
      <c r="D22" s="534"/>
      <c r="E22" s="53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215.5</v>
      </c>
      <c r="D24" s="87">
        <f t="shared" ref="D24:D43" si="0">(C24-$C$46)/$C$46</f>
        <v>-4.0991371940088846E-3</v>
      </c>
      <c r="E24" s="53"/>
    </row>
    <row r="25" spans="1:5" ht="15.75" customHeight="1" x14ac:dyDescent="0.3">
      <c r="C25" s="95">
        <v>216.37</v>
      </c>
      <c r="D25" s="88">
        <f t="shared" si="0"/>
        <v>-7.8562945093725161E-5</v>
      </c>
      <c r="E25" s="53"/>
    </row>
    <row r="26" spans="1:5" ht="15.75" customHeight="1" x14ac:dyDescent="0.3">
      <c r="C26" s="95">
        <v>224.1</v>
      </c>
      <c r="D26" s="88">
        <f t="shared" si="0"/>
        <v>3.5644470324002801E-2</v>
      </c>
      <c r="E26" s="53"/>
    </row>
    <row r="27" spans="1:5" ht="15.75" customHeight="1" x14ac:dyDescent="0.3">
      <c r="C27" s="95">
        <v>219.37</v>
      </c>
      <c r="D27" s="88">
        <f t="shared" si="0"/>
        <v>1.3785486189096407E-2</v>
      </c>
      <c r="E27" s="53"/>
    </row>
    <row r="28" spans="1:5" ht="15.75" customHeight="1" x14ac:dyDescent="0.3">
      <c r="C28" s="95">
        <v>215.67</v>
      </c>
      <c r="D28" s="88">
        <f t="shared" si="0"/>
        <v>-3.3135077430715013E-3</v>
      </c>
      <c r="E28" s="53"/>
    </row>
    <row r="29" spans="1:5" ht="15.75" customHeight="1" x14ac:dyDescent="0.3">
      <c r="C29" s="95">
        <v>215.89</v>
      </c>
      <c r="D29" s="88">
        <f t="shared" si="0"/>
        <v>-2.2968108065642302E-3</v>
      </c>
      <c r="E29" s="53"/>
    </row>
    <row r="30" spans="1:5" ht="15.75" customHeight="1" x14ac:dyDescent="0.3">
      <c r="C30" s="95">
        <v>209.6</v>
      </c>
      <c r="D30" s="88">
        <f t="shared" si="0"/>
        <v>-3.1365100491249499E-2</v>
      </c>
      <c r="E30" s="53"/>
    </row>
    <row r="31" spans="1:5" ht="15.75" customHeight="1" x14ac:dyDescent="0.3">
      <c r="C31" s="95">
        <v>221.41</v>
      </c>
      <c r="D31" s="88">
        <f t="shared" si="0"/>
        <v>2.321303960034566E-2</v>
      </c>
      <c r="E31" s="53"/>
    </row>
    <row r="32" spans="1:5" ht="15.75" customHeight="1" x14ac:dyDescent="0.3">
      <c r="C32" s="95">
        <v>212.55</v>
      </c>
      <c r="D32" s="88">
        <f t="shared" si="0"/>
        <v>-1.7732118842629128E-2</v>
      </c>
      <c r="E32" s="53"/>
    </row>
    <row r="33" spans="1:7" ht="15.75" customHeight="1" x14ac:dyDescent="0.3">
      <c r="C33" s="95">
        <v>214.22</v>
      </c>
      <c r="D33" s="88">
        <f t="shared" si="0"/>
        <v>-1.001446482459668E-2</v>
      </c>
      <c r="E33" s="53"/>
    </row>
    <row r="34" spans="1:7" ht="15.75" customHeight="1" x14ac:dyDescent="0.3">
      <c r="C34" s="95">
        <v>220.92</v>
      </c>
      <c r="D34" s="88">
        <f t="shared" si="0"/>
        <v>2.0948578241761228E-2</v>
      </c>
      <c r="E34" s="53"/>
    </row>
    <row r="35" spans="1:7" ht="15.75" customHeight="1" x14ac:dyDescent="0.3">
      <c r="C35" s="95">
        <v>216.16</v>
      </c>
      <c r="D35" s="88">
        <f t="shared" si="0"/>
        <v>-1.0490463844870712E-3</v>
      </c>
      <c r="E35" s="53"/>
    </row>
    <row r="36" spans="1:7" ht="15.75" customHeight="1" x14ac:dyDescent="0.3">
      <c r="C36" s="95">
        <v>213.8</v>
      </c>
      <c r="D36" s="88">
        <f t="shared" si="0"/>
        <v>-1.195543170338324E-2</v>
      </c>
      <c r="E36" s="53"/>
    </row>
    <row r="37" spans="1:7" ht="15.75" customHeight="1" x14ac:dyDescent="0.3">
      <c r="C37" s="95">
        <v>221.66</v>
      </c>
      <c r="D37" s="88">
        <f t="shared" si="0"/>
        <v>2.4368377028194835E-2</v>
      </c>
      <c r="E37" s="53"/>
    </row>
    <row r="38" spans="1:7" ht="15.75" customHeight="1" x14ac:dyDescent="0.3">
      <c r="C38" s="95">
        <v>212.07</v>
      </c>
      <c r="D38" s="88">
        <f t="shared" si="0"/>
        <v>-1.9950366704099633E-2</v>
      </c>
      <c r="E38" s="53"/>
    </row>
    <row r="39" spans="1:7" ht="15.75" customHeight="1" x14ac:dyDescent="0.3">
      <c r="C39" s="95">
        <v>218.69</v>
      </c>
      <c r="D39" s="88">
        <f t="shared" si="0"/>
        <v>1.0642968385346611E-2</v>
      </c>
      <c r="E39" s="53"/>
    </row>
    <row r="40" spans="1:7" ht="15.75" customHeight="1" x14ac:dyDescent="0.3">
      <c r="C40" s="95">
        <v>211.97</v>
      </c>
      <c r="D40" s="88">
        <f t="shared" si="0"/>
        <v>-2.0412501675239277E-2</v>
      </c>
      <c r="E40" s="53"/>
    </row>
    <row r="41" spans="1:7" ht="15.75" customHeight="1" x14ac:dyDescent="0.3">
      <c r="C41" s="95">
        <v>216.71</v>
      </c>
      <c r="D41" s="88">
        <f t="shared" si="0"/>
        <v>1.4926959567811721E-3</v>
      </c>
      <c r="E41" s="53"/>
    </row>
    <row r="42" spans="1:7" ht="15.75" customHeight="1" x14ac:dyDescent="0.3">
      <c r="C42" s="95">
        <v>216.32</v>
      </c>
      <c r="D42" s="88">
        <f t="shared" si="0"/>
        <v>-3.0963043066361325E-4</v>
      </c>
      <c r="E42" s="53"/>
    </row>
    <row r="43" spans="1:7" ht="16.5" customHeight="1" x14ac:dyDescent="0.3">
      <c r="C43" s="96">
        <v>214.76</v>
      </c>
      <c r="D43" s="89">
        <f t="shared" si="0"/>
        <v>-7.518935980442492E-3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4327.74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216.387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28">
        <f>C46</f>
        <v>216.387</v>
      </c>
      <c r="C49" s="93">
        <f>-IF(C46&lt;=80,10%,IF(C46&lt;250,7.5%,5%))</f>
        <v>-7.4999999999999997E-2</v>
      </c>
      <c r="D49" s="81">
        <f>IF(C46&lt;=80,C46*0.9,IF(C46&lt;250,C46*0.925,C46*0.95))</f>
        <v>200.15797500000002</v>
      </c>
    </row>
    <row r="50" spans="1:6" ht="17.25" customHeight="1" x14ac:dyDescent="0.3">
      <c r="B50" s="529"/>
      <c r="C50" s="94">
        <f>IF(C46&lt;=80, 10%, IF(C46&lt;250, 7.5%, 5%))</f>
        <v>7.4999999999999997E-2</v>
      </c>
      <c r="D50" s="81">
        <f>IF(C46&lt;=80, C46*1.1, IF(C46&lt;250, C46*1.075, C46*1.05))</f>
        <v>232.61602499999998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7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7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7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7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7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6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6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6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6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6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6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6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6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5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5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5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5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C53" zoomScale="55" zoomScaleNormal="40" zoomScalePageLayoutView="55" workbookViewId="0">
      <selection activeCell="F116" sqref="F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36" t="s">
        <v>45</v>
      </c>
      <c r="B1" s="536"/>
      <c r="C1" s="536"/>
      <c r="D1" s="536"/>
      <c r="E1" s="536"/>
      <c r="F1" s="536"/>
      <c r="G1" s="536"/>
      <c r="H1" s="536"/>
      <c r="I1" s="536"/>
    </row>
    <row r="2" spans="1:9" ht="18.75" customHeight="1" x14ac:dyDescent="0.25">
      <c r="A2" s="536"/>
      <c r="B2" s="536"/>
      <c r="C2" s="536"/>
      <c r="D2" s="536"/>
      <c r="E2" s="536"/>
      <c r="F2" s="536"/>
      <c r="G2" s="536"/>
      <c r="H2" s="536"/>
      <c r="I2" s="536"/>
    </row>
    <row r="3" spans="1:9" ht="18.75" customHeight="1" x14ac:dyDescent="0.25">
      <c r="A3" s="536"/>
      <c r="B3" s="536"/>
      <c r="C3" s="536"/>
      <c r="D3" s="536"/>
      <c r="E3" s="536"/>
      <c r="F3" s="536"/>
      <c r="G3" s="536"/>
      <c r="H3" s="536"/>
      <c r="I3" s="536"/>
    </row>
    <row r="4" spans="1:9" ht="18.75" customHeight="1" x14ac:dyDescent="0.25">
      <c r="A4" s="536"/>
      <c r="B4" s="536"/>
      <c r="C4" s="536"/>
      <c r="D4" s="536"/>
      <c r="E4" s="536"/>
      <c r="F4" s="536"/>
      <c r="G4" s="536"/>
      <c r="H4" s="536"/>
      <c r="I4" s="536"/>
    </row>
    <row r="5" spans="1:9" ht="18.7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</row>
    <row r="6" spans="1:9" ht="18.75" customHeight="1" x14ac:dyDescent="0.25">
      <c r="A6" s="536"/>
      <c r="B6" s="536"/>
      <c r="C6" s="536"/>
      <c r="D6" s="536"/>
      <c r="E6" s="536"/>
      <c r="F6" s="536"/>
      <c r="G6" s="536"/>
      <c r="H6" s="536"/>
      <c r="I6" s="536"/>
    </row>
    <row r="7" spans="1:9" ht="18.75" customHeight="1" x14ac:dyDescent="0.25">
      <c r="A7" s="536"/>
      <c r="B7" s="536"/>
      <c r="C7" s="536"/>
      <c r="D7" s="536"/>
      <c r="E7" s="536"/>
      <c r="F7" s="536"/>
      <c r="G7" s="536"/>
      <c r="H7" s="536"/>
      <c r="I7" s="536"/>
    </row>
    <row r="8" spans="1:9" x14ac:dyDescent="0.25">
      <c r="A8" s="537" t="s">
        <v>46</v>
      </c>
      <c r="B8" s="537"/>
      <c r="C8" s="537"/>
      <c r="D8" s="537"/>
      <c r="E8" s="537"/>
      <c r="F8" s="537"/>
      <c r="G8" s="537"/>
      <c r="H8" s="537"/>
      <c r="I8" s="537"/>
    </row>
    <row r="9" spans="1:9" x14ac:dyDescent="0.25">
      <c r="A9" s="537"/>
      <c r="B9" s="537"/>
      <c r="C9" s="537"/>
      <c r="D9" s="537"/>
      <c r="E9" s="537"/>
      <c r="F9" s="537"/>
      <c r="G9" s="537"/>
      <c r="H9" s="537"/>
      <c r="I9" s="537"/>
    </row>
    <row r="10" spans="1:9" x14ac:dyDescent="0.25">
      <c r="A10" s="537"/>
      <c r="B10" s="537"/>
      <c r="C10" s="537"/>
      <c r="D10" s="537"/>
      <c r="E10" s="537"/>
      <c r="F10" s="537"/>
      <c r="G10" s="537"/>
      <c r="H10" s="537"/>
      <c r="I10" s="537"/>
    </row>
    <row r="11" spans="1:9" x14ac:dyDescent="0.25">
      <c r="A11" s="537"/>
      <c r="B11" s="537"/>
      <c r="C11" s="537"/>
      <c r="D11" s="537"/>
      <c r="E11" s="537"/>
      <c r="F11" s="537"/>
      <c r="G11" s="537"/>
      <c r="H11" s="537"/>
      <c r="I11" s="537"/>
    </row>
    <row r="12" spans="1:9" x14ac:dyDescent="0.25">
      <c r="A12" s="537"/>
      <c r="B12" s="537"/>
      <c r="C12" s="537"/>
      <c r="D12" s="537"/>
      <c r="E12" s="537"/>
      <c r="F12" s="537"/>
      <c r="G12" s="537"/>
      <c r="H12" s="537"/>
      <c r="I12" s="537"/>
    </row>
    <row r="13" spans="1:9" x14ac:dyDescent="0.25">
      <c r="A13" s="537"/>
      <c r="B13" s="537"/>
      <c r="C13" s="537"/>
      <c r="D13" s="537"/>
      <c r="E13" s="537"/>
      <c r="F13" s="537"/>
      <c r="G13" s="537"/>
      <c r="H13" s="537"/>
      <c r="I13" s="537"/>
    </row>
    <row r="14" spans="1:9" x14ac:dyDescent="0.25">
      <c r="A14" s="537"/>
      <c r="B14" s="537"/>
      <c r="C14" s="537"/>
      <c r="D14" s="537"/>
      <c r="E14" s="537"/>
      <c r="F14" s="537"/>
      <c r="G14" s="537"/>
      <c r="H14" s="537"/>
      <c r="I14" s="537"/>
    </row>
    <row r="15" spans="1:9" ht="19.5" customHeight="1" x14ac:dyDescent="0.3">
      <c r="A15" s="98"/>
    </row>
    <row r="16" spans="1:9" ht="19.5" customHeight="1" x14ac:dyDescent="0.3">
      <c r="A16" s="570" t="s">
        <v>31</v>
      </c>
      <c r="B16" s="571"/>
      <c r="C16" s="571"/>
      <c r="D16" s="571"/>
      <c r="E16" s="571"/>
      <c r="F16" s="571"/>
      <c r="G16" s="571"/>
      <c r="H16" s="572"/>
    </row>
    <row r="17" spans="1:14" ht="20.25" customHeight="1" x14ac:dyDescent="0.25">
      <c r="A17" s="573" t="s">
        <v>47</v>
      </c>
      <c r="B17" s="573"/>
      <c r="C17" s="573"/>
      <c r="D17" s="573"/>
      <c r="E17" s="573"/>
      <c r="F17" s="573"/>
      <c r="G17" s="573"/>
      <c r="H17" s="573"/>
    </row>
    <row r="18" spans="1:14" ht="26.25" customHeight="1" x14ac:dyDescent="0.4">
      <c r="A18" s="100" t="s">
        <v>33</v>
      </c>
      <c r="B18" s="569" t="s">
        <v>5</v>
      </c>
      <c r="C18" s="569"/>
      <c r="D18" s="26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4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74" t="s">
        <v>9</v>
      </c>
      <c r="C20" s="574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74" t="s">
        <v>11</v>
      </c>
      <c r="C21" s="574"/>
      <c r="D21" s="574"/>
      <c r="E21" s="574"/>
      <c r="F21" s="574"/>
      <c r="G21" s="574"/>
      <c r="H21" s="574"/>
      <c r="I21" s="104"/>
    </row>
    <row r="22" spans="1:14" ht="26.25" customHeight="1" x14ac:dyDescent="0.4">
      <c r="A22" s="100" t="s">
        <v>37</v>
      </c>
      <c r="B22" s="105">
        <v>42590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42591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69" t="s">
        <v>136</v>
      </c>
      <c r="C26" s="569"/>
    </row>
    <row r="27" spans="1:14" ht="26.25" customHeight="1" x14ac:dyDescent="0.55000000000000004">
      <c r="A27" s="109" t="s">
        <v>48</v>
      </c>
      <c r="B27" s="567" t="s">
        <v>140</v>
      </c>
      <c r="C27" s="567"/>
    </row>
    <row r="28" spans="1:14" ht="27" customHeight="1" x14ac:dyDescent="0.4">
      <c r="A28" s="109" t="s">
        <v>6</v>
      </c>
      <c r="B28" s="110">
        <v>99.44</v>
      </c>
    </row>
    <row r="29" spans="1:14" s="14" customFormat="1" ht="27" customHeight="1" x14ac:dyDescent="0.4">
      <c r="A29" s="109" t="s">
        <v>49</v>
      </c>
      <c r="B29" s="111">
        <v>0</v>
      </c>
      <c r="C29" s="544" t="s">
        <v>117</v>
      </c>
      <c r="D29" s="545"/>
      <c r="E29" s="545"/>
      <c r="F29" s="545"/>
      <c r="G29" s="54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99.44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47" t="s">
        <v>53</v>
      </c>
      <c r="D31" s="548"/>
      <c r="E31" s="548"/>
      <c r="F31" s="548"/>
      <c r="G31" s="548"/>
      <c r="H31" s="54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47" t="s">
        <v>55</v>
      </c>
      <c r="D32" s="548"/>
      <c r="E32" s="548"/>
      <c r="F32" s="548"/>
      <c r="G32" s="548"/>
      <c r="H32" s="54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126</v>
      </c>
      <c r="B36" s="123">
        <v>20</v>
      </c>
      <c r="C36" s="99"/>
      <c r="D36" s="550" t="s">
        <v>59</v>
      </c>
      <c r="E36" s="568"/>
      <c r="F36" s="550" t="s">
        <v>60</v>
      </c>
      <c r="G36" s="55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127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50</v>
      </c>
      <c r="C38" s="131">
        <v>1</v>
      </c>
      <c r="D38" s="132">
        <v>28335213</v>
      </c>
      <c r="E38" s="133">
        <f>IF(ISBLANK(D38),"-",$D$48/$D$45*D38)</f>
        <v>28226630.796651442</v>
      </c>
      <c r="F38" s="132">
        <v>31562873</v>
      </c>
      <c r="G38" s="134">
        <f>IF(ISBLANK(F38),"-",$D$48/$F$45*F38)</f>
        <v>28390537.097189698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28283473</v>
      </c>
      <c r="E39" s="138">
        <f>IF(ISBLANK(D39),"-",$D$48/$D$45*D39)</f>
        <v>28175089.067375619</v>
      </c>
      <c r="F39" s="137">
        <v>31589099</v>
      </c>
      <c r="G39" s="139">
        <f>IF(ISBLANK(F39),"-",$D$48/$F$45*F39)</f>
        <v>28414127.16219775</v>
      </c>
      <c r="I39" s="552">
        <f>ABS((F43/D43*D42)-F42)/D42</f>
        <v>7.5264544225811265E-3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28400962</v>
      </c>
      <c r="E40" s="138">
        <f>IF(ISBLANK(D40),"-",$D$48/$D$45*D40)</f>
        <v>28292127.842615027</v>
      </c>
      <c r="F40" s="137">
        <v>31645395</v>
      </c>
      <c r="G40" s="139">
        <f>IF(ISBLANK(F40),"-",$D$48/$F$45*F40)</f>
        <v>28464764.937676027</v>
      </c>
      <c r="I40" s="552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28339882.666666668</v>
      </c>
      <c r="E42" s="148">
        <f>AVERAGE(E38:E41)</f>
        <v>28231282.568880696</v>
      </c>
      <c r="F42" s="147">
        <f>AVERAGE(F38:F41)</f>
        <v>31599122.333333332</v>
      </c>
      <c r="G42" s="149">
        <f>AVERAGE(G38:G41)</f>
        <v>28423143.065687824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20.190000000000001</v>
      </c>
      <c r="E43" s="140"/>
      <c r="F43" s="152">
        <v>22.36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20.190000000000001</v>
      </c>
      <c r="E44" s="155"/>
      <c r="F44" s="154">
        <f>F43*$B$34</f>
        <v>22.36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200</v>
      </c>
      <c r="C45" s="153" t="s">
        <v>76</v>
      </c>
      <c r="D45" s="157">
        <f>D44*$B$30/100</f>
        <v>20.076936</v>
      </c>
      <c r="E45" s="158"/>
      <c r="F45" s="157">
        <f>F44*$B$30/100</f>
        <v>22.234784000000001</v>
      </c>
      <c r="H45" s="150"/>
    </row>
    <row r="46" spans="1:14" ht="19.5" customHeight="1" x14ac:dyDescent="0.3">
      <c r="A46" s="538" t="s">
        <v>77</v>
      </c>
      <c r="B46" s="539"/>
      <c r="C46" s="153" t="s">
        <v>78</v>
      </c>
      <c r="D46" s="159">
        <f>D45/$B$45</f>
        <v>0.10038468</v>
      </c>
      <c r="E46" s="160"/>
      <c r="F46" s="161">
        <f>F45/$B$45</f>
        <v>0.11117392000000001</v>
      </c>
      <c r="H46" s="150"/>
    </row>
    <row r="47" spans="1:14" ht="27" customHeight="1" x14ac:dyDescent="0.4">
      <c r="A47" s="540"/>
      <c r="B47" s="541"/>
      <c r="C47" s="162" t="s">
        <v>128</v>
      </c>
      <c r="D47" s="163">
        <v>0.1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20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28327212.817284256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4.0242125561743359E-3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Each tablet contains Aceclofenac 100 mg</v>
      </c>
    </row>
    <row r="56" spans="1:12" ht="26.25" customHeight="1" x14ac:dyDescent="0.4">
      <c r="A56" s="177" t="s">
        <v>86</v>
      </c>
      <c r="B56" s="178">
        <v>100</v>
      </c>
      <c r="C56" s="99" t="str">
        <f>B20</f>
        <v xml:space="preserve">Aceclofenac </v>
      </c>
      <c r="H56" s="179"/>
    </row>
    <row r="57" spans="1:12" ht="18.75" x14ac:dyDescent="0.3">
      <c r="A57" s="176" t="s">
        <v>87</v>
      </c>
      <c r="B57" s="266">
        <f>Uniformity!C46</f>
        <v>216.387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129</v>
      </c>
      <c r="B59" s="123">
        <v>100</v>
      </c>
      <c r="C59" s="99"/>
      <c r="D59" s="180" t="s">
        <v>89</v>
      </c>
      <c r="E59" s="181" t="s">
        <v>62</v>
      </c>
      <c r="F59" s="181" t="s">
        <v>63</v>
      </c>
      <c r="G59" s="181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130</v>
      </c>
      <c r="B60" s="125">
        <v>5</v>
      </c>
      <c r="C60" s="555" t="s">
        <v>93</v>
      </c>
      <c r="D60" s="558">
        <v>216.06</v>
      </c>
      <c r="E60" s="182">
        <v>1</v>
      </c>
      <c r="F60" s="183">
        <v>21995202</v>
      </c>
      <c r="G60" s="267">
        <f>IF(ISBLANK(F60),"-",(F60/$D$50*$D$47*$B$68)*($B$57/$D$60))</f>
        <v>77.764413982581203</v>
      </c>
      <c r="H60" s="184">
        <f t="shared" ref="H60:H71" si="0">IF(ISBLANK(F60),"-",G60/$B$56)</f>
        <v>0.77764413982581204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556"/>
      <c r="D61" s="559"/>
      <c r="E61" s="185">
        <v>2</v>
      </c>
      <c r="F61" s="137">
        <v>21975803</v>
      </c>
      <c r="G61" s="268">
        <f>IF(ISBLANK(F61),"-",(F61/$D$50*$D$47*$B$68)*($B$57/$D$60))</f>
        <v>77.695828485305569</v>
      </c>
      <c r="H61" s="186">
        <f t="shared" si="0"/>
        <v>0.77695828485305574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556"/>
      <c r="D62" s="559"/>
      <c r="E62" s="185">
        <v>3</v>
      </c>
      <c r="F62" s="187">
        <v>21951247</v>
      </c>
      <c r="G62" s="268">
        <f>IF(ISBLANK(F62),"-",(F62/$D$50*$D$47*$B$68)*($B$57/$D$60))</f>
        <v>77.609010326065373</v>
      </c>
      <c r="H62" s="186">
        <f t="shared" si="0"/>
        <v>0.77609010326065375</v>
      </c>
      <c r="L62" s="112"/>
    </row>
    <row r="63" spans="1:12" ht="27" customHeight="1" x14ac:dyDescent="0.4">
      <c r="A63" s="124" t="s">
        <v>96</v>
      </c>
      <c r="B63" s="125">
        <v>1</v>
      </c>
      <c r="C63" s="566"/>
      <c r="D63" s="560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555" t="s">
        <v>98</v>
      </c>
      <c r="D64" s="558">
        <v>213.28</v>
      </c>
      <c r="E64" s="182">
        <v>1</v>
      </c>
      <c r="F64" s="183">
        <v>21209063</v>
      </c>
      <c r="G64" s="269">
        <f>IF(ISBLANK(F64),"-",(F64/$D$50*$D$47*$B$68)*($B$57/$D$64))</f>
        <v>75.962398770870735</v>
      </c>
      <c r="H64" s="190">
        <f t="shared" si="0"/>
        <v>0.75962398770870732</v>
      </c>
    </row>
    <row r="65" spans="1:8" ht="26.25" customHeight="1" x14ac:dyDescent="0.4">
      <c r="A65" s="124" t="s">
        <v>99</v>
      </c>
      <c r="B65" s="125">
        <v>1</v>
      </c>
      <c r="C65" s="556"/>
      <c r="D65" s="559"/>
      <c r="E65" s="185">
        <v>2</v>
      </c>
      <c r="F65" s="137">
        <v>21150407</v>
      </c>
      <c r="G65" s="270">
        <f>IF(ISBLANK(F65),"-",(F65/$D$50*$D$47*$B$68)*($B$57/$D$64))</f>
        <v>75.75231638947065</v>
      </c>
      <c r="H65" s="191">
        <f t="shared" si="0"/>
        <v>0.75752316389470653</v>
      </c>
    </row>
    <row r="66" spans="1:8" ht="26.25" customHeight="1" x14ac:dyDescent="0.4">
      <c r="A66" s="124" t="s">
        <v>100</v>
      </c>
      <c r="B66" s="125">
        <v>1</v>
      </c>
      <c r="C66" s="556"/>
      <c r="D66" s="559"/>
      <c r="E66" s="185">
        <v>3</v>
      </c>
      <c r="F66" s="137">
        <v>21177165</v>
      </c>
      <c r="G66" s="270">
        <f>IF(ISBLANK(F66),"-",(F66/$D$50*$D$47*$B$68)*($B$57/$D$64))</f>
        <v>75.848152865901085</v>
      </c>
      <c r="H66" s="191">
        <f t="shared" si="0"/>
        <v>0.75848152865901086</v>
      </c>
    </row>
    <row r="67" spans="1:8" ht="27" customHeight="1" x14ac:dyDescent="0.4">
      <c r="A67" s="124" t="s">
        <v>101</v>
      </c>
      <c r="B67" s="125">
        <v>1</v>
      </c>
      <c r="C67" s="566"/>
      <c r="D67" s="560"/>
      <c r="E67" s="188">
        <v>4</v>
      </c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1000</v>
      </c>
      <c r="C68" s="555" t="s">
        <v>103</v>
      </c>
      <c r="D68" s="558">
        <v>209.89</v>
      </c>
      <c r="E68" s="182">
        <v>1</v>
      </c>
      <c r="F68" s="183">
        <v>20968423</v>
      </c>
      <c r="G68" s="269">
        <f>IF(ISBLANK(F68),"-",(F68/$D$50*$D$47*$B$68)*($B$57/$D$68))</f>
        <v>76.313494704234557</v>
      </c>
      <c r="H68" s="186">
        <f t="shared" si="0"/>
        <v>0.76313494704234552</v>
      </c>
    </row>
    <row r="69" spans="1:8" ht="27" customHeight="1" x14ac:dyDescent="0.4">
      <c r="A69" s="172" t="s">
        <v>131</v>
      </c>
      <c r="B69" s="194">
        <f>(D47*B68)/B56*B57</f>
        <v>216.387</v>
      </c>
      <c r="C69" s="556"/>
      <c r="D69" s="559"/>
      <c r="E69" s="185">
        <v>2</v>
      </c>
      <c r="F69" s="137">
        <v>20924349</v>
      </c>
      <c r="G69" s="270">
        <f>IF(ISBLANK(F69),"-",(F69/$D$50*$D$47*$B$68)*($B$57/$D$68))</f>
        <v>76.153089653001373</v>
      </c>
      <c r="H69" s="186">
        <f t="shared" si="0"/>
        <v>0.76153089653001371</v>
      </c>
    </row>
    <row r="70" spans="1:8" ht="26.25" customHeight="1" x14ac:dyDescent="0.4">
      <c r="A70" s="561" t="s">
        <v>77</v>
      </c>
      <c r="B70" s="562"/>
      <c r="C70" s="556"/>
      <c r="D70" s="559"/>
      <c r="E70" s="185">
        <v>3</v>
      </c>
      <c r="F70" s="137">
        <v>20911690</v>
      </c>
      <c r="G70" s="270">
        <f>IF(ISBLANK(F70),"-",(F70/$D$50*$D$47*$B$68)*($B$57/$D$68))</f>
        <v>76.107017875001603</v>
      </c>
      <c r="H70" s="186">
        <f t="shared" si="0"/>
        <v>0.76107017875001604</v>
      </c>
    </row>
    <row r="71" spans="1:8" ht="27" customHeight="1" x14ac:dyDescent="0.4">
      <c r="A71" s="563"/>
      <c r="B71" s="564"/>
      <c r="C71" s="557"/>
      <c r="D71" s="560"/>
      <c r="E71" s="188">
        <v>4</v>
      </c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70</v>
      </c>
      <c r="G72" s="282">
        <f>AVERAGE(G60:G71)</f>
        <v>76.578413672492459</v>
      </c>
      <c r="H72" s="199">
        <f>AVERAGE(H60:H71)</f>
        <v>0.76578413672492451</v>
      </c>
    </row>
    <row r="73" spans="1:8" ht="26.25" customHeight="1" x14ac:dyDescent="0.4">
      <c r="C73" s="196"/>
      <c r="D73" s="196"/>
      <c r="E73" s="196"/>
      <c r="F73" s="200" t="s">
        <v>83</v>
      </c>
      <c r="G73" s="272">
        <f>STDEV(G60:G71)/G72</f>
        <v>1.1105330722969421E-2</v>
      </c>
      <c r="H73" s="272">
        <f>STDEV(H60:H71)/H72</f>
        <v>1.1105330722969438E-2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132</v>
      </c>
      <c r="B76" s="204" t="s">
        <v>106</v>
      </c>
      <c r="C76" s="542" t="str">
        <f>B20</f>
        <v xml:space="preserve">Aceclofenac </v>
      </c>
      <c r="D76" s="542"/>
      <c r="E76" s="205" t="s">
        <v>107</v>
      </c>
      <c r="F76" s="205"/>
      <c r="G76" s="206">
        <f>H72</f>
        <v>0.76578413672492451</v>
      </c>
      <c r="H76" s="207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65" t="str">
        <f>B26</f>
        <v>Aceclofenac</v>
      </c>
      <c r="C79" s="565"/>
    </row>
    <row r="80" spans="1:8" ht="26.25" customHeight="1" x14ac:dyDescent="0.4">
      <c r="A80" s="109" t="s">
        <v>48</v>
      </c>
      <c r="B80" s="565" t="str">
        <f>B27</f>
        <v>A52-7</v>
      </c>
      <c r="C80" s="565"/>
    </row>
    <row r="81" spans="1:12" ht="27" customHeight="1" x14ac:dyDescent="0.4">
      <c r="A81" s="109" t="s">
        <v>6</v>
      </c>
      <c r="B81" s="208">
        <f>B28</f>
        <v>99.44</v>
      </c>
    </row>
    <row r="82" spans="1:12" s="14" customFormat="1" ht="27" customHeight="1" x14ac:dyDescent="0.4">
      <c r="A82" s="109" t="s">
        <v>49</v>
      </c>
      <c r="B82" s="111">
        <v>0</v>
      </c>
      <c r="C82" s="544" t="s">
        <v>117</v>
      </c>
      <c r="D82" s="545"/>
      <c r="E82" s="545"/>
      <c r="F82" s="545"/>
      <c r="G82" s="54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99.44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47" t="s">
        <v>133</v>
      </c>
      <c r="D84" s="548"/>
      <c r="E84" s="548"/>
      <c r="F84" s="548"/>
      <c r="G84" s="548"/>
      <c r="H84" s="54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47" t="s">
        <v>134</v>
      </c>
      <c r="D85" s="548"/>
      <c r="E85" s="548"/>
      <c r="F85" s="548"/>
      <c r="G85" s="548"/>
      <c r="H85" s="54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126</v>
      </c>
      <c r="B89" s="123">
        <v>20</v>
      </c>
      <c r="D89" s="209" t="s">
        <v>59</v>
      </c>
      <c r="E89" s="210"/>
      <c r="F89" s="550" t="s">
        <v>60</v>
      </c>
      <c r="G89" s="551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127</v>
      </c>
    </row>
    <row r="91" spans="1:12" ht="26.25" customHeight="1" x14ac:dyDescent="0.4">
      <c r="A91" s="124" t="s">
        <v>65</v>
      </c>
      <c r="B91" s="125">
        <v>100</v>
      </c>
      <c r="C91" s="213">
        <v>1</v>
      </c>
      <c r="D91" s="132">
        <v>0.253</v>
      </c>
      <c r="E91" s="133">
        <f>IF(ISBLANK(D91),"-",$D$101/$D$98*D91)</f>
        <v>0.28003387679386049</v>
      </c>
      <c r="F91" s="132">
        <v>0.28899999999999998</v>
      </c>
      <c r="G91" s="134">
        <f>IF(ISBLANK(F91),"-",$D$101/$F$98*F91)</f>
        <v>0.28883672637531449</v>
      </c>
      <c r="I91" s="135"/>
    </row>
    <row r="92" spans="1:12" ht="26.25" customHeight="1" x14ac:dyDescent="0.4">
      <c r="A92" s="124" t="s">
        <v>66</v>
      </c>
      <c r="B92" s="125">
        <v>1</v>
      </c>
      <c r="C92" s="197">
        <v>2</v>
      </c>
      <c r="D92" s="137">
        <v>0.25600000000000001</v>
      </c>
      <c r="E92" s="138">
        <f>IF(ISBLANK(D92),"-",$D$101/$D$98*D92)</f>
        <v>0.28335443659774023</v>
      </c>
      <c r="F92" s="137">
        <v>0.28999999999999998</v>
      </c>
      <c r="G92" s="139">
        <f>IF(ISBLANK(F92),"-",$D$101/$F$98*F92)</f>
        <v>0.28983616141467544</v>
      </c>
      <c r="I92" s="552">
        <f>ABS((F96/D96*D95)-F95)/D95</f>
        <v>2.8825112934332171E-2</v>
      </c>
    </row>
    <row r="93" spans="1:12" ht="26.25" customHeight="1" x14ac:dyDescent="0.4">
      <c r="A93" s="124" t="s">
        <v>67</v>
      </c>
      <c r="B93" s="125">
        <v>1</v>
      </c>
      <c r="C93" s="197">
        <v>3</v>
      </c>
      <c r="D93" s="137">
        <v>0.254</v>
      </c>
      <c r="E93" s="138">
        <f>IF(ISBLANK(D93),"-",$D$101/$D$98*D93)</f>
        <v>0.28114073006182039</v>
      </c>
      <c r="F93" s="137">
        <v>0.28799999999999998</v>
      </c>
      <c r="G93" s="139">
        <f>IF(ISBLANK(F93),"-",$D$101/$F$98*F93)</f>
        <v>0.28783729133595354</v>
      </c>
      <c r="I93" s="552"/>
    </row>
    <row r="94" spans="1:12" ht="27" customHeight="1" x14ac:dyDescent="0.4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16" t="s">
        <v>70</v>
      </c>
      <c r="D95" s="217">
        <f>AVERAGE(D91:D94)</f>
        <v>0.25433333333333336</v>
      </c>
      <c r="E95" s="148">
        <f>AVERAGE(E91:E94)</f>
        <v>0.28150968115114033</v>
      </c>
      <c r="F95" s="218">
        <f>AVERAGE(F91:F94)</f>
        <v>0.28899999999999998</v>
      </c>
      <c r="G95" s="219">
        <f>AVERAGE(G91:G94)</f>
        <v>0.28883672637531449</v>
      </c>
    </row>
    <row r="96" spans="1:12" ht="26.25" customHeight="1" x14ac:dyDescent="0.4">
      <c r="A96" s="124" t="s">
        <v>71</v>
      </c>
      <c r="B96" s="110">
        <v>1</v>
      </c>
      <c r="C96" s="220" t="s">
        <v>119</v>
      </c>
      <c r="D96" s="221">
        <v>20.190000000000001</v>
      </c>
      <c r="E96" s="140"/>
      <c r="F96" s="152">
        <v>22.36</v>
      </c>
    </row>
    <row r="97" spans="1:10" ht="26.25" customHeight="1" x14ac:dyDescent="0.4">
      <c r="A97" s="124" t="s">
        <v>73</v>
      </c>
      <c r="B97" s="110">
        <v>1</v>
      </c>
      <c r="C97" s="222" t="s">
        <v>120</v>
      </c>
      <c r="D97" s="223">
        <f>D96*$B$87</f>
        <v>20.190000000000001</v>
      </c>
      <c r="E97" s="155"/>
      <c r="F97" s="154">
        <f>F96*$B$87</f>
        <v>22.36</v>
      </c>
    </row>
    <row r="98" spans="1:10" ht="19.5" customHeight="1" x14ac:dyDescent="0.3">
      <c r="A98" s="124" t="s">
        <v>75</v>
      </c>
      <c r="B98" s="224">
        <f>(B97/B96)*(B95/B94)*(B93/B92)*(B91/B90)*B89</f>
        <v>2000</v>
      </c>
      <c r="C98" s="222" t="s">
        <v>121</v>
      </c>
      <c r="D98" s="225">
        <f>D97*$B$83/100</f>
        <v>20.076936</v>
      </c>
      <c r="E98" s="158"/>
      <c r="F98" s="157">
        <f>F97*$B$83/100</f>
        <v>22.234784000000001</v>
      </c>
    </row>
    <row r="99" spans="1:10" ht="19.5" customHeight="1" x14ac:dyDescent="0.3">
      <c r="A99" s="538" t="s">
        <v>77</v>
      </c>
      <c r="B99" s="553"/>
      <c r="C99" s="222" t="s">
        <v>122</v>
      </c>
      <c r="D99" s="226">
        <f>D98/$B$98</f>
        <v>1.0038468E-2</v>
      </c>
      <c r="E99" s="158"/>
      <c r="F99" s="161">
        <f>F98/$B$98</f>
        <v>1.1117392E-2</v>
      </c>
      <c r="G99" s="227"/>
      <c r="H99" s="150"/>
    </row>
    <row r="100" spans="1:10" ht="19.5" customHeight="1" x14ac:dyDescent="0.3">
      <c r="A100" s="540"/>
      <c r="B100" s="554"/>
      <c r="C100" s="222" t="s">
        <v>128</v>
      </c>
      <c r="D100" s="228">
        <f>$B$56/$B$116</f>
        <v>1.1111111111111112E-2</v>
      </c>
      <c r="F100" s="166"/>
      <c r="G100" s="229"/>
      <c r="H100" s="150"/>
    </row>
    <row r="101" spans="1:10" ht="18.75" x14ac:dyDescent="0.3">
      <c r="C101" s="222" t="s">
        <v>80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81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110</v>
      </c>
      <c r="D103" s="234">
        <f>AVERAGE(E91:E94,G91:G94)</f>
        <v>0.28517320376322741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1.4731512436317961E-2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111</v>
      </c>
      <c r="B107" s="123">
        <v>900</v>
      </c>
      <c r="C107" s="239" t="s">
        <v>135</v>
      </c>
      <c r="D107" s="240" t="s">
        <v>63</v>
      </c>
      <c r="E107" s="241" t="s">
        <v>113</v>
      </c>
      <c r="F107" s="242" t="s">
        <v>114</v>
      </c>
    </row>
    <row r="108" spans="1:10" ht="26.25" customHeight="1" x14ac:dyDescent="0.4">
      <c r="A108" s="124" t="s">
        <v>92</v>
      </c>
      <c r="B108" s="125">
        <v>5</v>
      </c>
      <c r="C108" s="243">
        <v>1</v>
      </c>
      <c r="D108" s="522">
        <v>0.21099999999999999</v>
      </c>
      <c r="E108" s="273">
        <f t="shared" ref="E108:E113" si="1">IF(ISBLANK(D108),"-",D108/$D$103*$D$100*$B$116)</f>
        <v>73.990121517584214</v>
      </c>
      <c r="F108" s="244">
        <f t="shared" ref="F108:F113" si="2">IF(ISBLANK(D108), "-", E108/$B$56)</f>
        <v>0.73990121517584218</v>
      </c>
    </row>
    <row r="109" spans="1:10" ht="26.25" customHeight="1" x14ac:dyDescent="0.4">
      <c r="A109" s="124" t="s">
        <v>94</v>
      </c>
      <c r="B109" s="125">
        <v>50</v>
      </c>
      <c r="C109" s="243">
        <v>2</v>
      </c>
      <c r="D109" s="522">
        <v>0.20799999999999999</v>
      </c>
      <c r="E109" s="274">
        <f t="shared" si="1"/>
        <v>72.938129268519035</v>
      </c>
      <c r="F109" s="245">
        <f t="shared" si="2"/>
        <v>0.72938129268519036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522">
        <v>0.21299999999999999</v>
      </c>
      <c r="E110" s="274">
        <f t="shared" si="1"/>
        <v>74.691449683627667</v>
      </c>
      <c r="F110" s="245">
        <f t="shared" si="2"/>
        <v>0.74691449683627664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522">
        <v>0.21199999999999999</v>
      </c>
      <c r="E111" s="274">
        <f t="shared" si="1"/>
        <v>74.34078560060594</v>
      </c>
      <c r="F111" s="245">
        <f t="shared" si="2"/>
        <v>0.74340785600605941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522">
        <v>0.2</v>
      </c>
      <c r="E112" s="274">
        <f t="shared" si="1"/>
        <v>70.132816604345237</v>
      </c>
      <c r="F112" s="245">
        <f t="shared" si="2"/>
        <v>0.70132816604345238</v>
      </c>
    </row>
    <row r="113" spans="1:10" ht="26.25" customHeight="1" x14ac:dyDescent="0.4">
      <c r="A113" s="124" t="s">
        <v>99</v>
      </c>
      <c r="B113" s="125">
        <v>1</v>
      </c>
      <c r="C113" s="246">
        <v>6</v>
      </c>
      <c r="D113" s="523">
        <v>0.20399999999999999</v>
      </c>
      <c r="E113" s="275">
        <f t="shared" si="1"/>
        <v>71.535472936432129</v>
      </c>
      <c r="F113" s="247">
        <f t="shared" si="2"/>
        <v>0.71535472936432132</v>
      </c>
    </row>
    <row r="114" spans="1:10" ht="26.25" customHeight="1" x14ac:dyDescent="0.4">
      <c r="A114" s="124" t="s">
        <v>100</v>
      </c>
      <c r="B114" s="125">
        <v>1</v>
      </c>
      <c r="C114" s="243"/>
      <c r="D114" s="197"/>
      <c r="E114" s="98"/>
      <c r="F114" s="248"/>
    </row>
    <row r="115" spans="1:10" ht="26.25" customHeight="1" x14ac:dyDescent="0.4">
      <c r="A115" s="124" t="s">
        <v>101</v>
      </c>
      <c r="B115" s="125">
        <v>1</v>
      </c>
      <c r="C115" s="243"/>
      <c r="D115" s="249" t="s">
        <v>70</v>
      </c>
      <c r="E115" s="283">
        <f>AVERAGE(E108:E113)</f>
        <v>72.938129268519035</v>
      </c>
      <c r="F115" s="250">
        <f>AVERAGE(F108:F113)</f>
        <v>0.72938129268519036</v>
      </c>
    </row>
    <row r="116" spans="1:10" ht="27" customHeight="1" x14ac:dyDescent="0.4">
      <c r="A116" s="124" t="s">
        <v>102</v>
      </c>
      <c r="B116" s="156">
        <f>(B115/B114)*(B113/B112)*(B111/B110)*(B109/B108)*B107</f>
        <v>9000</v>
      </c>
      <c r="C116" s="251"/>
      <c r="D116" s="216" t="s">
        <v>83</v>
      </c>
      <c r="E116" s="252">
        <f>STDEV(E108:E113)/E115</f>
        <v>2.4514516892272967E-2</v>
      </c>
      <c r="F116" s="252">
        <f>STDEV(F108:F113)/F115</f>
        <v>2.451451689227295E-2</v>
      </c>
      <c r="I116" s="98"/>
    </row>
    <row r="117" spans="1:10" ht="27" customHeight="1" x14ac:dyDescent="0.4">
      <c r="A117" s="538" t="s">
        <v>77</v>
      </c>
      <c r="B117" s="539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I117" s="98"/>
      <c r="J117" s="236"/>
    </row>
    <row r="118" spans="1:10" ht="19.5" customHeight="1" x14ac:dyDescent="0.3">
      <c r="A118" s="540"/>
      <c r="B118" s="541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4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132</v>
      </c>
      <c r="B120" s="204" t="s">
        <v>124</v>
      </c>
      <c r="C120" s="542" t="str">
        <f>B20</f>
        <v xml:space="preserve">Aceclofenac </v>
      </c>
      <c r="D120" s="542"/>
      <c r="E120" s="205" t="s">
        <v>125</v>
      </c>
      <c r="F120" s="205"/>
      <c r="G120" s="206">
        <f>F115</f>
        <v>0.72938129268519036</v>
      </c>
      <c r="H120" s="98"/>
      <c r="I120" s="98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543" t="s">
        <v>26</v>
      </c>
      <c r="C122" s="543"/>
      <c r="E122" s="211" t="s">
        <v>27</v>
      </c>
      <c r="F122" s="258"/>
      <c r="G122" s="543" t="s">
        <v>28</v>
      </c>
      <c r="H122" s="543"/>
    </row>
    <row r="123" spans="1:10" ht="69.95" customHeight="1" x14ac:dyDescent="0.3">
      <c r="A123" s="259" t="s">
        <v>29</v>
      </c>
      <c r="B123" s="260"/>
      <c r="C123" s="260"/>
      <c r="E123" s="260"/>
      <c r="F123" s="98"/>
      <c r="G123" s="261"/>
      <c r="H123" s="261"/>
    </row>
    <row r="124" spans="1:10" ht="69.95" customHeight="1" x14ac:dyDescent="0.3">
      <c r="A124" s="259" t="s">
        <v>30</v>
      </c>
      <c r="B124" s="262"/>
      <c r="C124" s="262"/>
      <c r="E124" s="262"/>
      <c r="F124" s="98"/>
      <c r="G124" s="263"/>
      <c r="H124" s="263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53" priority="1" operator="greaterThan">
      <formula>0.02</formula>
    </cfRule>
  </conditionalFormatting>
  <conditionalFormatting sqref="D51">
    <cfRule type="cellIs" dxfId="52" priority="2" operator="greaterThan">
      <formula>0.02</formula>
    </cfRule>
  </conditionalFormatting>
  <conditionalFormatting sqref="G73">
    <cfRule type="cellIs" dxfId="51" priority="3" operator="greaterThan">
      <formula>0.02</formula>
    </cfRule>
  </conditionalFormatting>
  <conditionalFormatting sqref="H73">
    <cfRule type="cellIs" dxfId="50" priority="4" operator="greaterThan">
      <formula>0.02</formula>
    </cfRule>
  </conditionalFormatting>
  <conditionalFormatting sqref="D104">
    <cfRule type="cellIs" dxfId="49" priority="5" operator="greaterThan">
      <formula>0.02</formula>
    </cfRule>
  </conditionalFormatting>
  <conditionalFormatting sqref="I39">
    <cfRule type="cellIs" dxfId="48" priority="6" operator="lessThanOrEqual">
      <formula>0.02</formula>
    </cfRule>
  </conditionalFormatting>
  <conditionalFormatting sqref="I39">
    <cfRule type="cellIs" dxfId="47" priority="7" operator="greaterThan">
      <formula>0.02</formula>
    </cfRule>
  </conditionalFormatting>
  <conditionalFormatting sqref="I92">
    <cfRule type="cellIs" dxfId="46" priority="8" operator="lessThanOrEqual">
      <formula>0.02</formula>
    </cfRule>
  </conditionalFormatting>
  <conditionalFormatting sqref="I92">
    <cfRule type="cellIs" dxfId="45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1" zoomScale="55" zoomScaleNormal="40" zoomScalePageLayoutView="55" workbookViewId="0">
      <selection activeCell="F108" sqref="F108:F113"/>
    </sheetView>
  </sheetViews>
  <sheetFormatPr defaultColWidth="9.140625" defaultRowHeight="13.5" x14ac:dyDescent="0.2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 x14ac:dyDescent="0.25">
      <c r="A1" s="536" t="s">
        <v>45</v>
      </c>
      <c r="B1" s="536"/>
      <c r="C1" s="536"/>
      <c r="D1" s="536"/>
      <c r="E1" s="536"/>
      <c r="F1" s="536"/>
      <c r="G1" s="536"/>
      <c r="H1" s="536"/>
      <c r="I1" s="536"/>
    </row>
    <row r="2" spans="1:9" ht="18.75" customHeight="1" x14ac:dyDescent="0.25">
      <c r="A2" s="536"/>
      <c r="B2" s="536"/>
      <c r="C2" s="536"/>
      <c r="D2" s="536"/>
      <c r="E2" s="536"/>
      <c r="F2" s="536"/>
      <c r="G2" s="536"/>
      <c r="H2" s="536"/>
      <c r="I2" s="536"/>
    </row>
    <row r="3" spans="1:9" ht="18.75" customHeight="1" x14ac:dyDescent="0.25">
      <c r="A3" s="536"/>
      <c r="B3" s="536"/>
      <c r="C3" s="536"/>
      <c r="D3" s="536"/>
      <c r="E3" s="536"/>
      <c r="F3" s="536"/>
      <c r="G3" s="536"/>
      <c r="H3" s="536"/>
      <c r="I3" s="536"/>
    </row>
    <row r="4" spans="1:9" ht="18.75" customHeight="1" x14ac:dyDescent="0.25">
      <c r="A4" s="536"/>
      <c r="B4" s="536"/>
      <c r="C4" s="536"/>
      <c r="D4" s="536"/>
      <c r="E4" s="536"/>
      <c r="F4" s="536"/>
      <c r="G4" s="536"/>
      <c r="H4" s="536"/>
      <c r="I4" s="536"/>
    </row>
    <row r="5" spans="1:9" ht="18.7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</row>
    <row r="6" spans="1:9" ht="18.75" customHeight="1" x14ac:dyDescent="0.25">
      <c r="A6" s="536"/>
      <c r="B6" s="536"/>
      <c r="C6" s="536"/>
      <c r="D6" s="536"/>
      <c r="E6" s="536"/>
      <c r="F6" s="536"/>
      <c r="G6" s="536"/>
      <c r="H6" s="536"/>
      <c r="I6" s="536"/>
    </row>
    <row r="7" spans="1:9" ht="18.75" customHeight="1" x14ac:dyDescent="0.25">
      <c r="A7" s="536"/>
      <c r="B7" s="536"/>
      <c r="C7" s="536"/>
      <c r="D7" s="536"/>
      <c r="E7" s="536"/>
      <c r="F7" s="536"/>
      <c r="G7" s="536"/>
      <c r="H7" s="536"/>
      <c r="I7" s="536"/>
    </row>
    <row r="8" spans="1:9" x14ac:dyDescent="0.25">
      <c r="A8" s="537" t="s">
        <v>46</v>
      </c>
      <c r="B8" s="537"/>
      <c r="C8" s="537"/>
      <c r="D8" s="537"/>
      <c r="E8" s="537"/>
      <c r="F8" s="537"/>
      <c r="G8" s="537"/>
      <c r="H8" s="537"/>
      <c r="I8" s="537"/>
    </row>
    <row r="9" spans="1:9" x14ac:dyDescent="0.25">
      <c r="A9" s="537"/>
      <c r="B9" s="537"/>
      <c r="C9" s="537"/>
      <c r="D9" s="537"/>
      <c r="E9" s="537"/>
      <c r="F9" s="537"/>
      <c r="G9" s="537"/>
      <c r="H9" s="537"/>
      <c r="I9" s="537"/>
    </row>
    <row r="10" spans="1:9" x14ac:dyDescent="0.25">
      <c r="A10" s="537"/>
      <c r="B10" s="537"/>
      <c r="C10" s="537"/>
      <c r="D10" s="537"/>
      <c r="E10" s="537"/>
      <c r="F10" s="537"/>
      <c r="G10" s="537"/>
      <c r="H10" s="537"/>
      <c r="I10" s="537"/>
    </row>
    <row r="11" spans="1:9" x14ac:dyDescent="0.25">
      <c r="A11" s="537"/>
      <c r="B11" s="537"/>
      <c r="C11" s="537"/>
      <c r="D11" s="537"/>
      <c r="E11" s="537"/>
      <c r="F11" s="537"/>
      <c r="G11" s="537"/>
      <c r="H11" s="537"/>
      <c r="I11" s="537"/>
    </row>
    <row r="12" spans="1:9" x14ac:dyDescent="0.25">
      <c r="A12" s="537"/>
      <c r="B12" s="537"/>
      <c r="C12" s="537"/>
      <c r="D12" s="537"/>
      <c r="E12" s="537"/>
      <c r="F12" s="537"/>
      <c r="G12" s="537"/>
      <c r="H12" s="537"/>
      <c r="I12" s="537"/>
    </row>
    <row r="13" spans="1:9" x14ac:dyDescent="0.25">
      <c r="A13" s="537"/>
      <c r="B13" s="537"/>
      <c r="C13" s="537"/>
      <c r="D13" s="537"/>
      <c r="E13" s="537"/>
      <c r="F13" s="537"/>
      <c r="G13" s="537"/>
      <c r="H13" s="537"/>
      <c r="I13" s="537"/>
    </row>
    <row r="14" spans="1:9" x14ac:dyDescent="0.25">
      <c r="A14" s="537"/>
      <c r="B14" s="537"/>
      <c r="C14" s="537"/>
      <c r="D14" s="537"/>
      <c r="E14" s="537"/>
      <c r="F14" s="537"/>
      <c r="G14" s="537"/>
      <c r="H14" s="537"/>
      <c r="I14" s="537"/>
    </row>
    <row r="15" spans="1:9" ht="19.5" customHeight="1" thickBot="1" x14ac:dyDescent="0.35">
      <c r="A15" s="205"/>
    </row>
    <row r="16" spans="1:9" ht="19.5" customHeight="1" thickBot="1" x14ac:dyDescent="0.35">
      <c r="A16" s="570" t="s">
        <v>31</v>
      </c>
      <c r="B16" s="571"/>
      <c r="C16" s="571"/>
      <c r="D16" s="571"/>
      <c r="E16" s="571"/>
      <c r="F16" s="571"/>
      <c r="G16" s="571"/>
      <c r="H16" s="572"/>
    </row>
    <row r="17" spans="1:14" ht="20.25" customHeight="1" x14ac:dyDescent="0.25">
      <c r="A17" s="573" t="s">
        <v>47</v>
      </c>
      <c r="B17" s="573"/>
      <c r="C17" s="573"/>
      <c r="D17" s="573"/>
      <c r="E17" s="573"/>
      <c r="F17" s="573"/>
      <c r="G17" s="573"/>
      <c r="H17" s="573"/>
    </row>
    <row r="18" spans="1:14" ht="26.25" customHeight="1" x14ac:dyDescent="0.4">
      <c r="A18" s="100" t="s">
        <v>33</v>
      </c>
      <c r="B18" s="569" t="s">
        <v>5</v>
      </c>
      <c r="C18" s="569"/>
      <c r="D18" s="265"/>
      <c r="E18" s="101"/>
      <c r="F18" s="284"/>
      <c r="G18" s="284"/>
      <c r="H18" s="284"/>
    </row>
    <row r="19" spans="1:14" ht="26.25" customHeight="1" x14ac:dyDescent="0.4">
      <c r="A19" s="100" t="s">
        <v>34</v>
      </c>
      <c r="B19" s="276" t="s">
        <v>7</v>
      </c>
      <c r="C19" s="284">
        <v>29</v>
      </c>
      <c r="D19" s="284"/>
      <c r="E19" s="284"/>
      <c r="F19" s="284"/>
      <c r="G19" s="284"/>
      <c r="H19" s="284"/>
    </row>
    <row r="20" spans="1:14" ht="26.25" customHeight="1" x14ac:dyDescent="0.4">
      <c r="A20" s="100" t="s">
        <v>35</v>
      </c>
      <c r="B20" s="574" t="s">
        <v>9</v>
      </c>
      <c r="C20" s="574"/>
      <c r="D20" s="284"/>
      <c r="E20" s="284"/>
      <c r="F20" s="284"/>
      <c r="G20" s="284"/>
      <c r="H20" s="284"/>
    </row>
    <row r="21" spans="1:14" ht="26.25" customHeight="1" x14ac:dyDescent="0.4">
      <c r="A21" s="100" t="s">
        <v>36</v>
      </c>
      <c r="B21" s="574" t="s">
        <v>11</v>
      </c>
      <c r="C21" s="574"/>
      <c r="D21" s="574"/>
      <c r="E21" s="574"/>
      <c r="F21" s="574"/>
      <c r="G21" s="574"/>
      <c r="H21" s="574"/>
      <c r="I21" s="104"/>
    </row>
    <row r="22" spans="1:14" ht="26.25" customHeight="1" x14ac:dyDescent="0.4">
      <c r="A22" s="100" t="s">
        <v>37</v>
      </c>
      <c r="B22" s="105">
        <v>42590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100" t="s">
        <v>38</v>
      </c>
      <c r="B23" s="105">
        <v>42591</v>
      </c>
      <c r="C23" s="284"/>
      <c r="D23" s="284"/>
      <c r="E23" s="284"/>
      <c r="F23" s="284"/>
      <c r="G23" s="284"/>
      <c r="H23" s="284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259" t="s">
        <v>4</v>
      </c>
      <c r="B26" s="569" t="s">
        <v>136</v>
      </c>
      <c r="C26" s="569"/>
    </row>
    <row r="27" spans="1:14" ht="26.25" customHeight="1" x14ac:dyDescent="0.4">
      <c r="A27" s="216" t="s">
        <v>48</v>
      </c>
      <c r="B27" s="567" t="s">
        <v>137</v>
      </c>
      <c r="C27" s="567"/>
    </row>
    <row r="28" spans="1:14" ht="27" customHeight="1" thickBot="1" x14ac:dyDescent="0.45">
      <c r="A28" s="216" t="s">
        <v>6</v>
      </c>
      <c r="B28" s="208">
        <v>99.44</v>
      </c>
    </row>
    <row r="29" spans="1:14" s="16" customFormat="1" ht="27" customHeight="1" thickBot="1" x14ac:dyDescent="0.45">
      <c r="A29" s="216" t="s">
        <v>49</v>
      </c>
      <c r="B29" s="111">
        <v>0</v>
      </c>
      <c r="C29" s="544" t="s">
        <v>117</v>
      </c>
      <c r="D29" s="545"/>
      <c r="E29" s="545"/>
      <c r="F29" s="545"/>
      <c r="G29" s="546"/>
      <c r="I29" s="112"/>
      <c r="J29" s="112"/>
      <c r="K29" s="112"/>
      <c r="L29" s="112"/>
    </row>
    <row r="30" spans="1:14" s="16" customFormat="1" ht="19.5" customHeight="1" thickBot="1" x14ac:dyDescent="0.35">
      <c r="A30" s="216" t="s">
        <v>51</v>
      </c>
      <c r="B30" s="279">
        <f>B28-B29</f>
        <v>99.44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 x14ac:dyDescent="0.45">
      <c r="A31" s="216" t="s">
        <v>52</v>
      </c>
      <c r="B31" s="116">
        <v>1</v>
      </c>
      <c r="C31" s="547" t="s">
        <v>53</v>
      </c>
      <c r="D31" s="548"/>
      <c r="E31" s="548"/>
      <c r="F31" s="548"/>
      <c r="G31" s="548"/>
      <c r="H31" s="549"/>
      <c r="I31" s="112"/>
      <c r="J31" s="112"/>
      <c r="K31" s="112"/>
      <c r="L31" s="112"/>
    </row>
    <row r="32" spans="1:14" s="16" customFormat="1" ht="27" customHeight="1" thickBot="1" x14ac:dyDescent="0.45">
      <c r="A32" s="216" t="s">
        <v>54</v>
      </c>
      <c r="B32" s="116">
        <v>1</v>
      </c>
      <c r="C32" s="547" t="s">
        <v>55</v>
      </c>
      <c r="D32" s="548"/>
      <c r="E32" s="548"/>
      <c r="F32" s="548"/>
      <c r="G32" s="548"/>
      <c r="H32" s="549"/>
      <c r="I32" s="112"/>
      <c r="J32" s="112"/>
      <c r="K32" s="112"/>
      <c r="L32" s="117"/>
      <c r="M32" s="117"/>
      <c r="N32" s="118"/>
    </row>
    <row r="33" spans="1:14" s="16" customFormat="1" ht="17.25" customHeight="1" x14ac:dyDescent="0.3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 x14ac:dyDescent="0.3">
      <c r="A34" s="216" t="s">
        <v>56</v>
      </c>
      <c r="B34" s="121">
        <f>B31/B32</f>
        <v>1</v>
      </c>
      <c r="C34" s="205" t="s">
        <v>57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 x14ac:dyDescent="0.35">
      <c r="A35" s="216"/>
      <c r="B35" s="279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 x14ac:dyDescent="0.45">
      <c r="A36" s="122" t="s">
        <v>126</v>
      </c>
      <c r="B36" s="123">
        <v>20</v>
      </c>
      <c r="C36" s="205"/>
      <c r="D36" s="550" t="s">
        <v>59</v>
      </c>
      <c r="E36" s="568"/>
      <c r="F36" s="550" t="s">
        <v>60</v>
      </c>
      <c r="G36" s="551"/>
      <c r="J36" s="112"/>
      <c r="K36" s="112"/>
      <c r="L36" s="117"/>
      <c r="M36" s="117"/>
      <c r="N36" s="118"/>
    </row>
    <row r="37" spans="1:14" s="16" customFormat="1" ht="27" customHeight="1" thickBot="1" x14ac:dyDescent="0.45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127</v>
      </c>
      <c r="J37" s="112"/>
      <c r="K37" s="112"/>
      <c r="L37" s="117"/>
      <c r="M37" s="117"/>
      <c r="N37" s="118"/>
    </row>
    <row r="38" spans="1:14" s="16" customFormat="1" ht="26.25" customHeight="1" x14ac:dyDescent="0.4">
      <c r="A38" s="124" t="s">
        <v>65</v>
      </c>
      <c r="B38" s="125">
        <v>50</v>
      </c>
      <c r="C38" s="131">
        <v>1</v>
      </c>
      <c r="D38" s="132">
        <v>3422250</v>
      </c>
      <c r="E38" s="133">
        <f>IF(ISBLANK(D38),"-",$D$48/$D$45*D38)</f>
        <v>3577466.2433954473</v>
      </c>
      <c r="F38" s="132">
        <v>3761126</v>
      </c>
      <c r="G38" s="134">
        <f>IF(ISBLANK(F38),"-",$D$48/$F$45*F38)</f>
        <v>3621165.072996622</v>
      </c>
      <c r="I38" s="135"/>
      <c r="J38" s="112"/>
      <c r="K38" s="112"/>
      <c r="L38" s="117"/>
      <c r="M38" s="117"/>
      <c r="N38" s="118"/>
    </row>
    <row r="39" spans="1:14" s="16" customFormat="1" ht="26.25" customHeight="1" x14ac:dyDescent="0.4">
      <c r="A39" s="124" t="s">
        <v>66</v>
      </c>
      <c r="B39" s="125">
        <v>1</v>
      </c>
      <c r="C39" s="156">
        <v>2</v>
      </c>
      <c r="D39" s="137">
        <v>3423991</v>
      </c>
      <c r="E39" s="138">
        <f>IF(ISBLANK(D39),"-",$D$48/$D$45*D39)</f>
        <v>3579286.2064985964</v>
      </c>
      <c r="F39" s="137">
        <v>3760829</v>
      </c>
      <c r="G39" s="139">
        <f>IF(ISBLANK(F39),"-",$D$48/$F$45*F39)</f>
        <v>3620879.1251111538</v>
      </c>
      <c r="I39" s="552">
        <f>ABS((F43/D43*D42)-F42)/D42</f>
        <v>1.3099759758756024E-2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56">
        <v>3</v>
      </c>
      <c r="D40" s="137">
        <v>3424176</v>
      </c>
      <c r="E40" s="138">
        <f>IF(ISBLANK(D40),"-",$D$48/$D$45*D40)</f>
        <v>3579479.5971787125</v>
      </c>
      <c r="F40" s="137">
        <v>3763781</v>
      </c>
      <c r="G40" s="139">
        <f>IF(ISBLANK(F40),"-",$D$48/$F$45*F40)</f>
        <v>3623721.2737909602</v>
      </c>
      <c r="I40" s="552"/>
      <c r="L40" s="117"/>
      <c r="M40" s="117"/>
      <c r="N40" s="205"/>
    </row>
    <row r="41" spans="1:14" ht="27" customHeight="1" thickBot="1" x14ac:dyDescent="0.45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 x14ac:dyDescent="0.45">
      <c r="A42" s="124" t="s">
        <v>69</v>
      </c>
      <c r="B42" s="125">
        <v>1</v>
      </c>
      <c r="C42" s="146" t="s">
        <v>70</v>
      </c>
      <c r="D42" s="147">
        <f>AVERAGE(D38:D41)</f>
        <v>3423472.3333333335</v>
      </c>
      <c r="E42" s="148">
        <f>AVERAGE(E38:E41)</f>
        <v>3578744.015690919</v>
      </c>
      <c r="F42" s="147">
        <f>AVERAGE(F38:F41)</f>
        <v>3761912</v>
      </c>
      <c r="G42" s="149">
        <f>AVERAGE(G38:G41)</f>
        <v>3621921.8239662447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19.239999999999998</v>
      </c>
      <c r="E43" s="205"/>
      <c r="F43" s="152">
        <v>20.89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19.239999999999998</v>
      </c>
      <c r="E44" s="224"/>
      <c r="F44" s="154">
        <f>F43*$B$34</f>
        <v>20.89</v>
      </c>
      <c r="H44" s="150"/>
    </row>
    <row r="45" spans="1:14" ht="19.5" customHeight="1" thickBot="1" x14ac:dyDescent="0.35">
      <c r="A45" s="124" t="s">
        <v>75</v>
      </c>
      <c r="B45" s="156">
        <f>(B44/B43)*(B42/B41)*(B40/B39)*(B38/B37)*B36</f>
        <v>200</v>
      </c>
      <c r="C45" s="153" t="s">
        <v>76</v>
      </c>
      <c r="D45" s="157">
        <f>D44*$B$30/100</f>
        <v>19.132255999999998</v>
      </c>
      <c r="E45" s="201"/>
      <c r="F45" s="157">
        <f>F44*$B$30/100</f>
        <v>20.773016000000002</v>
      </c>
      <c r="H45" s="150"/>
    </row>
    <row r="46" spans="1:14" ht="19.5" customHeight="1" thickBot="1" x14ac:dyDescent="0.35">
      <c r="A46" s="538" t="s">
        <v>77</v>
      </c>
      <c r="B46" s="539"/>
      <c r="C46" s="153" t="s">
        <v>78</v>
      </c>
      <c r="D46" s="159">
        <f>D45/$B$45</f>
        <v>9.5661279999999987E-2</v>
      </c>
      <c r="E46" s="160"/>
      <c r="F46" s="161">
        <f>F45/$B$45</f>
        <v>0.10386508000000001</v>
      </c>
      <c r="H46" s="150"/>
    </row>
    <row r="47" spans="1:14" ht="27" customHeight="1" thickBot="1" x14ac:dyDescent="0.45">
      <c r="A47" s="540"/>
      <c r="B47" s="541"/>
      <c r="C47" s="162" t="s">
        <v>128</v>
      </c>
      <c r="D47" s="163">
        <v>0.1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20</v>
      </c>
      <c r="F48" s="166"/>
      <c r="H48" s="150"/>
    </row>
    <row r="49" spans="1:12" ht="19.5" customHeight="1" thickBot="1" x14ac:dyDescent="0.35">
      <c r="C49" s="167" t="s">
        <v>81</v>
      </c>
      <c r="D49" s="168">
        <f>D48/B34</f>
        <v>20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3600332.9198285821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6.577331818269706E-3</v>
      </c>
      <c r="F51" s="170"/>
      <c r="H51" s="150"/>
    </row>
    <row r="52" spans="1:12" ht="19.5" customHeight="1" thickBot="1" x14ac:dyDescent="0.35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205" t="s">
        <v>85</v>
      </c>
      <c r="B55" s="177" t="str">
        <f>B21</f>
        <v>Each tablet contains Aceclofenac 100 mg</v>
      </c>
    </row>
    <row r="56" spans="1:12" ht="26.25" customHeight="1" x14ac:dyDescent="0.4">
      <c r="A56" s="177" t="s">
        <v>86</v>
      </c>
      <c r="B56" s="178">
        <v>100</v>
      </c>
      <c r="C56" s="205" t="str">
        <f>B20</f>
        <v xml:space="preserve">Aceclofenac </v>
      </c>
      <c r="H56" s="224"/>
    </row>
    <row r="57" spans="1:12" ht="18.75" x14ac:dyDescent="0.3">
      <c r="A57" s="177" t="s">
        <v>87</v>
      </c>
      <c r="B57" s="266">
        <f>Uniformity!C46</f>
        <v>216.387</v>
      </c>
      <c r="H57" s="224"/>
    </row>
    <row r="58" spans="1:12" ht="19.5" customHeight="1" thickBot="1" x14ac:dyDescent="0.35">
      <c r="H58" s="224"/>
    </row>
    <row r="59" spans="1:12" s="16" customFormat="1" ht="27" customHeight="1" thickBot="1" x14ac:dyDescent="0.45">
      <c r="A59" s="122" t="s">
        <v>129</v>
      </c>
      <c r="B59" s="123">
        <v>100</v>
      </c>
      <c r="C59" s="205"/>
      <c r="D59" s="180" t="s">
        <v>89</v>
      </c>
      <c r="E59" s="181" t="s">
        <v>62</v>
      </c>
      <c r="F59" s="181" t="s">
        <v>63</v>
      </c>
      <c r="G59" s="181" t="s">
        <v>90</v>
      </c>
      <c r="H59" s="126" t="s">
        <v>91</v>
      </c>
      <c r="L59" s="112"/>
    </row>
    <row r="60" spans="1:12" s="16" customFormat="1" ht="26.25" customHeight="1" x14ac:dyDescent="0.4">
      <c r="A60" s="124" t="s">
        <v>130</v>
      </c>
      <c r="B60" s="125">
        <v>5</v>
      </c>
      <c r="C60" s="555" t="s">
        <v>93</v>
      </c>
      <c r="D60" s="558">
        <v>220.29</v>
      </c>
      <c r="E60" s="182">
        <v>1</v>
      </c>
      <c r="F60" s="183">
        <v>3123768</v>
      </c>
      <c r="G60" s="267">
        <f>IF(ISBLANK(F60),"-",(F60/$D$50*$D$47*$B$68)*($B$57/$D$60))</f>
        <v>85.226076023729846</v>
      </c>
      <c r="H60" s="184">
        <f t="shared" ref="H60:H71" si="0">IF(ISBLANK(F60),"-",G60/$B$56)</f>
        <v>0.85226076023729846</v>
      </c>
      <c r="L60" s="112"/>
    </row>
    <row r="61" spans="1:12" s="16" customFormat="1" ht="26.25" customHeight="1" x14ac:dyDescent="0.4">
      <c r="A61" s="124" t="s">
        <v>94</v>
      </c>
      <c r="B61" s="125">
        <v>50</v>
      </c>
      <c r="C61" s="556"/>
      <c r="D61" s="559"/>
      <c r="E61" s="185">
        <v>2</v>
      </c>
      <c r="F61" s="137">
        <v>3120686</v>
      </c>
      <c r="G61" s="268">
        <f>IF(ISBLANK(F61),"-",(F61/$D$50*$D$47*$B$68)*($B$57/$D$60))</f>
        <v>85.141989508244336</v>
      </c>
      <c r="H61" s="186">
        <f t="shared" si="0"/>
        <v>0.85141989508244331</v>
      </c>
      <c r="L61" s="112"/>
    </row>
    <row r="62" spans="1:12" s="16" customFormat="1" ht="26.25" customHeight="1" x14ac:dyDescent="0.4">
      <c r="A62" s="124" t="s">
        <v>95</v>
      </c>
      <c r="B62" s="125">
        <v>1</v>
      </c>
      <c r="C62" s="556"/>
      <c r="D62" s="559"/>
      <c r="E62" s="185">
        <v>3</v>
      </c>
      <c r="F62" s="187">
        <v>3124933</v>
      </c>
      <c r="G62" s="268">
        <f>IF(ISBLANK(F62),"-",(F62/$D$50*$D$47*$B$68)*($B$57/$D$60))</f>
        <v>85.257860835715775</v>
      </c>
      <c r="H62" s="186">
        <f t="shared" si="0"/>
        <v>0.85257860835715771</v>
      </c>
      <c r="L62" s="112"/>
    </row>
    <row r="63" spans="1:12" ht="27" customHeight="1" thickBot="1" x14ac:dyDescent="0.45">
      <c r="A63" s="124" t="s">
        <v>96</v>
      </c>
      <c r="B63" s="125">
        <v>1</v>
      </c>
      <c r="C63" s="566"/>
      <c r="D63" s="560"/>
      <c r="E63" s="188">
        <v>4</v>
      </c>
      <c r="F63" s="189"/>
      <c r="G63" s="268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555" t="s">
        <v>98</v>
      </c>
      <c r="D64" s="558">
        <v>213.74</v>
      </c>
      <c r="E64" s="182">
        <v>1</v>
      </c>
      <c r="F64" s="183">
        <v>3007100</v>
      </c>
      <c r="G64" s="269">
        <f>IF(ISBLANK(F64),"-",(F64/$D$50*$D$47*$B$68)*($B$57/$D$64))</f>
        <v>84.557195430922889</v>
      </c>
      <c r="H64" s="190">
        <f t="shared" si="0"/>
        <v>0.84557195430922893</v>
      </c>
    </row>
    <row r="65" spans="1:8" ht="26.25" customHeight="1" x14ac:dyDescent="0.4">
      <c r="A65" s="124" t="s">
        <v>99</v>
      </c>
      <c r="B65" s="125">
        <v>1</v>
      </c>
      <c r="C65" s="556"/>
      <c r="D65" s="559"/>
      <c r="E65" s="185">
        <v>2</v>
      </c>
      <c r="F65" s="137">
        <v>3007105</v>
      </c>
      <c r="G65" s="270">
        <f>IF(ISBLANK(F65),"-",(F65/$D$50*$D$47*$B$68)*($B$57/$D$64))</f>
        <v>84.557336026838286</v>
      </c>
      <c r="H65" s="191">
        <f t="shared" si="0"/>
        <v>0.84557336026838281</v>
      </c>
    </row>
    <row r="66" spans="1:8" ht="26.25" customHeight="1" x14ac:dyDescent="0.4">
      <c r="A66" s="124" t="s">
        <v>100</v>
      </c>
      <c r="B66" s="125">
        <v>1</v>
      </c>
      <c r="C66" s="556"/>
      <c r="D66" s="559"/>
      <c r="E66" s="185">
        <v>3</v>
      </c>
      <c r="F66" s="137">
        <v>3007493</v>
      </c>
      <c r="G66" s="270">
        <f>IF(ISBLANK(F66),"-",(F66/$D$50*$D$47*$B$68)*($B$57/$D$64))</f>
        <v>84.568246269872148</v>
      </c>
      <c r="H66" s="191">
        <f t="shared" si="0"/>
        <v>0.84568246269872149</v>
      </c>
    </row>
    <row r="67" spans="1:8" ht="27" customHeight="1" thickBot="1" x14ac:dyDescent="0.45">
      <c r="A67" s="124" t="s">
        <v>101</v>
      </c>
      <c r="B67" s="125">
        <v>1</v>
      </c>
      <c r="C67" s="566"/>
      <c r="D67" s="560"/>
      <c r="E67" s="188">
        <v>4</v>
      </c>
      <c r="F67" s="189"/>
      <c r="G67" s="271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102</v>
      </c>
      <c r="B68" s="193">
        <f>(B67/B66)*(B65/B64)*(B63/B62)*(B61/B60)*B59</f>
        <v>1000</v>
      </c>
      <c r="C68" s="555" t="s">
        <v>103</v>
      </c>
      <c r="D68" s="558">
        <v>217.03</v>
      </c>
      <c r="E68" s="182">
        <v>1</v>
      </c>
      <c r="F68" s="183">
        <v>3014480</v>
      </c>
      <c r="G68" s="269">
        <f>IF(ISBLANK(F68),"-",(F68/$D$50*$D$47*$B$68)*($B$57/$D$68))</f>
        <v>83.479750193679109</v>
      </c>
      <c r="H68" s="186">
        <f t="shared" si="0"/>
        <v>0.83479750193679114</v>
      </c>
    </row>
    <row r="69" spans="1:8" ht="27" customHeight="1" thickBot="1" x14ac:dyDescent="0.45">
      <c r="A69" s="172" t="s">
        <v>131</v>
      </c>
      <c r="B69" s="194">
        <f>(D47*B68)/B56*B57</f>
        <v>216.387</v>
      </c>
      <c r="C69" s="556"/>
      <c r="D69" s="559"/>
      <c r="E69" s="185">
        <v>2</v>
      </c>
      <c r="F69" s="137">
        <v>3014211</v>
      </c>
      <c r="G69" s="270">
        <f>IF(ISBLANK(F69),"-",(F69/$D$50*$D$47*$B$68)*($B$57/$D$68))</f>
        <v>83.472300798492526</v>
      </c>
      <c r="H69" s="186">
        <f t="shared" si="0"/>
        <v>0.83472300798492527</v>
      </c>
    </row>
    <row r="70" spans="1:8" ht="26.25" customHeight="1" x14ac:dyDescent="0.4">
      <c r="A70" s="561" t="s">
        <v>77</v>
      </c>
      <c r="B70" s="562"/>
      <c r="C70" s="556"/>
      <c r="D70" s="559"/>
      <c r="E70" s="185">
        <v>3</v>
      </c>
      <c r="F70" s="137">
        <v>3014213</v>
      </c>
      <c r="G70" s="270">
        <f>IF(ISBLANK(F70),"-",(F70/$D$50*$D$47*$B$68)*($B$57/$D$68))</f>
        <v>83.472356184330351</v>
      </c>
      <c r="H70" s="186">
        <f t="shared" si="0"/>
        <v>0.83472356184330354</v>
      </c>
    </row>
    <row r="71" spans="1:8" ht="27" customHeight="1" thickBot="1" x14ac:dyDescent="0.45">
      <c r="A71" s="563"/>
      <c r="B71" s="564"/>
      <c r="C71" s="557"/>
      <c r="D71" s="560"/>
      <c r="E71" s="188">
        <v>4</v>
      </c>
      <c r="F71" s="189"/>
      <c r="G71" s="271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224"/>
      <c r="B72" s="224"/>
      <c r="C72" s="224"/>
      <c r="D72" s="224"/>
      <c r="E72" s="224"/>
      <c r="F72" s="198" t="s">
        <v>70</v>
      </c>
      <c r="G72" s="282">
        <f>AVERAGE(G60:G71)</f>
        <v>84.414790141313915</v>
      </c>
      <c r="H72" s="199">
        <f>AVERAGE(H60:H71)</f>
        <v>0.84414790141313911</v>
      </c>
    </row>
    <row r="73" spans="1:8" ht="26.25" customHeight="1" x14ac:dyDescent="0.4">
      <c r="C73" s="224"/>
      <c r="D73" s="224"/>
      <c r="E73" s="224"/>
      <c r="F73" s="200" t="s">
        <v>83</v>
      </c>
      <c r="G73" s="272">
        <f>STDEV(G60:G71)/G72</f>
        <v>8.9952543903068557E-3</v>
      </c>
      <c r="H73" s="272">
        <f>STDEV(H60:H71)/H72</f>
        <v>8.9952543903068297E-3</v>
      </c>
    </row>
    <row r="74" spans="1:8" ht="27" customHeight="1" thickBot="1" x14ac:dyDescent="0.45">
      <c r="A74" s="224"/>
      <c r="B74" s="224"/>
      <c r="C74" s="224"/>
      <c r="D74" s="224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259" t="s">
        <v>132</v>
      </c>
      <c r="B76" s="216" t="s">
        <v>106</v>
      </c>
      <c r="C76" s="542" t="str">
        <f>B20</f>
        <v xml:space="preserve">Aceclofenac </v>
      </c>
      <c r="D76" s="542"/>
      <c r="E76" s="205" t="s">
        <v>107</v>
      </c>
      <c r="F76" s="205"/>
      <c r="G76" s="206">
        <f>H72</f>
        <v>0.84414790141313911</v>
      </c>
      <c r="H76" s="279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259" t="s">
        <v>4</v>
      </c>
      <c r="B79" s="565" t="str">
        <f>B26</f>
        <v>Aceclofenac</v>
      </c>
      <c r="C79" s="565"/>
    </row>
    <row r="80" spans="1:8" ht="26.25" customHeight="1" x14ac:dyDescent="0.4">
      <c r="A80" s="216" t="s">
        <v>48</v>
      </c>
      <c r="B80" s="565" t="str">
        <f>B27</f>
        <v>A52-7</v>
      </c>
      <c r="C80" s="565"/>
    </row>
    <row r="81" spans="1:12" ht="27" customHeight="1" thickBot="1" x14ac:dyDescent="0.45">
      <c r="A81" s="216" t="s">
        <v>6</v>
      </c>
      <c r="B81" s="208">
        <f>B28</f>
        <v>99.44</v>
      </c>
    </row>
    <row r="82" spans="1:12" s="16" customFormat="1" ht="27" customHeight="1" thickBot="1" x14ac:dyDescent="0.45">
      <c r="A82" s="216" t="s">
        <v>49</v>
      </c>
      <c r="B82" s="111">
        <v>0</v>
      </c>
      <c r="C82" s="544" t="s">
        <v>117</v>
      </c>
      <c r="D82" s="545"/>
      <c r="E82" s="545"/>
      <c r="F82" s="545"/>
      <c r="G82" s="546"/>
      <c r="I82" s="112"/>
      <c r="J82" s="112"/>
      <c r="K82" s="112"/>
      <c r="L82" s="112"/>
    </row>
    <row r="83" spans="1:12" s="16" customFormat="1" ht="19.5" customHeight="1" thickBot="1" x14ac:dyDescent="0.35">
      <c r="A83" s="216" t="s">
        <v>51</v>
      </c>
      <c r="B83" s="279">
        <f>B81-B82</f>
        <v>99.44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 x14ac:dyDescent="0.45">
      <c r="A84" s="216" t="s">
        <v>52</v>
      </c>
      <c r="B84" s="116">
        <v>1</v>
      </c>
      <c r="C84" s="547" t="s">
        <v>133</v>
      </c>
      <c r="D84" s="548"/>
      <c r="E84" s="548"/>
      <c r="F84" s="548"/>
      <c r="G84" s="548"/>
      <c r="H84" s="549"/>
      <c r="I84" s="112"/>
      <c r="J84" s="112"/>
      <c r="K84" s="112"/>
      <c r="L84" s="112"/>
    </row>
    <row r="85" spans="1:12" s="16" customFormat="1" ht="27" customHeight="1" thickBot="1" x14ac:dyDescent="0.45">
      <c r="A85" s="216" t="s">
        <v>54</v>
      </c>
      <c r="B85" s="116">
        <v>1</v>
      </c>
      <c r="C85" s="547" t="s">
        <v>134</v>
      </c>
      <c r="D85" s="548"/>
      <c r="E85" s="548"/>
      <c r="F85" s="548"/>
      <c r="G85" s="548"/>
      <c r="H85" s="549"/>
      <c r="I85" s="112"/>
      <c r="J85" s="112"/>
      <c r="K85" s="112"/>
      <c r="L85" s="112"/>
    </row>
    <row r="86" spans="1:12" s="16" customFormat="1" ht="18.75" x14ac:dyDescent="0.3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 x14ac:dyDescent="0.3">
      <c r="A87" s="216" t="s">
        <v>56</v>
      </c>
      <c r="B87" s="121">
        <f>B84/B85</f>
        <v>1</v>
      </c>
      <c r="C87" s="205" t="s">
        <v>57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 x14ac:dyDescent="0.35">
      <c r="A88" s="107"/>
      <c r="B88" s="107"/>
    </row>
    <row r="89" spans="1:12" ht="27" customHeight="1" thickBot="1" x14ac:dyDescent="0.45">
      <c r="A89" s="122" t="s">
        <v>126</v>
      </c>
      <c r="B89" s="123">
        <v>20</v>
      </c>
      <c r="D89" s="277" t="s">
        <v>59</v>
      </c>
      <c r="E89" s="278"/>
      <c r="F89" s="550" t="s">
        <v>60</v>
      </c>
      <c r="G89" s="551"/>
    </row>
    <row r="90" spans="1:12" ht="27" customHeight="1" thickBot="1" x14ac:dyDescent="0.45">
      <c r="A90" s="124" t="s">
        <v>61</v>
      </c>
      <c r="B90" s="125">
        <v>1</v>
      </c>
      <c r="C90" s="280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127</v>
      </c>
    </row>
    <row r="91" spans="1:12" ht="26.25" customHeight="1" x14ac:dyDescent="0.4">
      <c r="A91" s="124" t="s">
        <v>65</v>
      </c>
      <c r="B91" s="125">
        <v>100</v>
      </c>
      <c r="C91" s="213">
        <v>1</v>
      </c>
      <c r="D91" s="524">
        <v>0.27</v>
      </c>
      <c r="E91" s="133">
        <f>IF(ISBLANK(D91),"-",$D$101/$D$98*D91)</f>
        <v>0.31360650829677383</v>
      </c>
      <c r="F91" s="132">
        <v>0.28799999999999998</v>
      </c>
      <c r="G91" s="134">
        <f>IF(ISBLANK(F91),"-",$D$101/$F$98*F91)</f>
        <v>0.30809199781100632</v>
      </c>
      <c r="I91" s="135"/>
    </row>
    <row r="92" spans="1:12" ht="26.25" customHeight="1" x14ac:dyDescent="0.4">
      <c r="A92" s="124" t="s">
        <v>66</v>
      </c>
      <c r="B92" s="125">
        <v>1</v>
      </c>
      <c r="C92" s="224">
        <v>2</v>
      </c>
      <c r="D92" s="525">
        <v>0.27200000000000002</v>
      </c>
      <c r="E92" s="138">
        <f>IF(ISBLANK(D92),"-",$D$101/$D$98*D92)</f>
        <v>0.31592951946934256</v>
      </c>
      <c r="F92" s="137">
        <v>0.28899999999999998</v>
      </c>
      <c r="G92" s="139">
        <f>IF(ISBLANK(F92),"-",$D$101/$F$98*F92)</f>
        <v>0.30916176169229453</v>
      </c>
      <c r="I92" s="552">
        <f>ABS((F96/D96*D95)-F95)/D95</f>
        <v>2.0407417756370044E-2</v>
      </c>
    </row>
    <row r="93" spans="1:12" ht="26.25" customHeight="1" x14ac:dyDescent="0.4">
      <c r="A93" s="124" t="s">
        <v>67</v>
      </c>
      <c r="B93" s="125">
        <v>1</v>
      </c>
      <c r="C93" s="224">
        <v>3</v>
      </c>
      <c r="D93" s="525">
        <v>0.26900000000000002</v>
      </c>
      <c r="E93" s="138">
        <f>IF(ISBLANK(D93),"-",$D$101/$D$98*D93)</f>
        <v>0.31244500271048953</v>
      </c>
      <c r="F93" s="137">
        <v>0.28699999999999998</v>
      </c>
      <c r="G93" s="139">
        <f>IF(ISBLANK(F93),"-",$D$101/$F$98*F93)</f>
        <v>0.30702223392971811</v>
      </c>
      <c r="I93" s="552"/>
    </row>
    <row r="94" spans="1:12" ht="27" customHeight="1" thickBot="1" x14ac:dyDescent="0.45">
      <c r="A94" s="124" t="s">
        <v>68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 x14ac:dyDescent="0.45">
      <c r="A95" s="124" t="s">
        <v>69</v>
      </c>
      <c r="B95" s="125">
        <v>1</v>
      </c>
      <c r="C95" s="216" t="s">
        <v>70</v>
      </c>
      <c r="D95" s="217">
        <f>AVERAGE(D91:D94)</f>
        <v>0.27033333333333337</v>
      </c>
      <c r="E95" s="148">
        <f>AVERAGE(E91:E94)</f>
        <v>0.31399367682553531</v>
      </c>
      <c r="F95" s="218">
        <f>AVERAGE(F91:F94)</f>
        <v>0.28799999999999998</v>
      </c>
      <c r="G95" s="219">
        <f>AVERAGE(G91:G94)</f>
        <v>0.30809199781100632</v>
      </c>
    </row>
    <row r="96" spans="1:12" ht="26.25" customHeight="1" x14ac:dyDescent="0.4">
      <c r="A96" s="124" t="s">
        <v>71</v>
      </c>
      <c r="B96" s="208">
        <v>1</v>
      </c>
      <c r="C96" s="220" t="s">
        <v>119</v>
      </c>
      <c r="D96" s="221">
        <v>19.239999999999998</v>
      </c>
      <c r="E96" s="205"/>
      <c r="F96" s="152">
        <v>20.89</v>
      </c>
    </row>
    <row r="97" spans="1:10" ht="26.25" customHeight="1" x14ac:dyDescent="0.4">
      <c r="A97" s="124" t="s">
        <v>73</v>
      </c>
      <c r="B97" s="208">
        <v>1</v>
      </c>
      <c r="C97" s="222" t="s">
        <v>120</v>
      </c>
      <c r="D97" s="223">
        <f>D96*$B$87</f>
        <v>19.239999999999998</v>
      </c>
      <c r="E97" s="224"/>
      <c r="F97" s="154">
        <f>F96*$B$87</f>
        <v>20.89</v>
      </c>
    </row>
    <row r="98" spans="1:10" ht="19.5" customHeight="1" thickBot="1" x14ac:dyDescent="0.35">
      <c r="A98" s="124" t="s">
        <v>75</v>
      </c>
      <c r="B98" s="224">
        <f>(B97/B96)*(B95/B94)*(B93/B92)*(B91/B90)*B89</f>
        <v>2000</v>
      </c>
      <c r="C98" s="222" t="s">
        <v>121</v>
      </c>
      <c r="D98" s="225">
        <f>D97*$B$83/100</f>
        <v>19.132255999999998</v>
      </c>
      <c r="E98" s="201"/>
      <c r="F98" s="157">
        <f>F97*$B$83/100</f>
        <v>20.773016000000002</v>
      </c>
    </row>
    <row r="99" spans="1:10" ht="19.5" customHeight="1" thickBot="1" x14ac:dyDescent="0.35">
      <c r="A99" s="538" t="s">
        <v>77</v>
      </c>
      <c r="B99" s="553"/>
      <c r="C99" s="222" t="s">
        <v>122</v>
      </c>
      <c r="D99" s="226">
        <f>D98/$B$98</f>
        <v>9.5661279999999984E-3</v>
      </c>
      <c r="E99" s="201"/>
      <c r="F99" s="161">
        <f>F98/$B$98</f>
        <v>1.0386508000000001E-2</v>
      </c>
      <c r="H99" s="150"/>
    </row>
    <row r="100" spans="1:10" ht="19.5" customHeight="1" thickBot="1" x14ac:dyDescent="0.35">
      <c r="A100" s="540"/>
      <c r="B100" s="554"/>
      <c r="C100" s="222" t="s">
        <v>128</v>
      </c>
      <c r="D100" s="228">
        <f>$B$56/$B$116</f>
        <v>1.1111111111111112E-2</v>
      </c>
      <c r="F100" s="166"/>
      <c r="G100" s="235"/>
      <c r="H100" s="150"/>
    </row>
    <row r="101" spans="1:10" ht="18.75" x14ac:dyDescent="0.3">
      <c r="C101" s="222" t="s">
        <v>80</v>
      </c>
      <c r="D101" s="223">
        <f>D100*$B$98</f>
        <v>22.222222222222221</v>
      </c>
      <c r="F101" s="166"/>
      <c r="H101" s="150"/>
    </row>
    <row r="102" spans="1:10" ht="19.5" customHeight="1" thickBot="1" x14ac:dyDescent="0.35">
      <c r="C102" s="230" t="s">
        <v>81</v>
      </c>
      <c r="D102" s="231">
        <f>D101/B34</f>
        <v>22.222222222222221</v>
      </c>
      <c r="F102" s="170"/>
      <c r="H102" s="150"/>
      <c r="J102" s="232"/>
    </row>
    <row r="103" spans="1:10" ht="18.75" x14ac:dyDescent="0.3">
      <c r="C103" s="233" t="s">
        <v>110</v>
      </c>
      <c r="D103" s="234">
        <f>AVERAGE(E91:E94,G91:G94)</f>
        <v>0.31104283731827082</v>
      </c>
      <c r="F103" s="170"/>
      <c r="G103" s="235"/>
      <c r="H103" s="150"/>
      <c r="J103" s="236"/>
    </row>
    <row r="104" spans="1:10" ht="18.75" x14ac:dyDescent="0.3">
      <c r="C104" s="200" t="s">
        <v>83</v>
      </c>
      <c r="D104" s="237">
        <f>STDEV(E91:E94,G91:G94)/D103</f>
        <v>1.1213757671227767E-2</v>
      </c>
      <c r="F104" s="170"/>
      <c r="H104" s="150"/>
      <c r="J104" s="236"/>
    </row>
    <row r="105" spans="1:10" ht="19.5" customHeight="1" thickBot="1" x14ac:dyDescent="0.35">
      <c r="C105" s="202" t="s">
        <v>20</v>
      </c>
      <c r="D105" s="238">
        <f>COUNT(E91:E94,G91:G94)</f>
        <v>6</v>
      </c>
      <c r="F105" s="170"/>
      <c r="H105" s="150"/>
      <c r="J105" s="236"/>
    </row>
    <row r="106" spans="1:10" ht="19.5" customHeight="1" thickBot="1" x14ac:dyDescent="0.35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111</v>
      </c>
      <c r="B107" s="123">
        <v>900</v>
      </c>
      <c r="C107" s="277" t="s">
        <v>135</v>
      </c>
      <c r="D107" s="240" t="s">
        <v>63</v>
      </c>
      <c r="E107" s="241" t="s">
        <v>113</v>
      </c>
      <c r="F107" s="242" t="s">
        <v>114</v>
      </c>
    </row>
    <row r="108" spans="1:10" ht="26.25" customHeight="1" x14ac:dyDescent="0.4">
      <c r="A108" s="124" t="s">
        <v>92</v>
      </c>
      <c r="B108" s="125">
        <v>5</v>
      </c>
      <c r="C108" s="243">
        <v>1</v>
      </c>
      <c r="D108" s="522">
        <v>0.20100000000000001</v>
      </c>
      <c r="E108" s="273">
        <f t="shared" ref="E108:E113" si="1">IF(ISBLANK(D108),"-",D108/$D$103*$D$100*$B$116)</f>
        <v>64.621324102161921</v>
      </c>
      <c r="F108" s="244">
        <f t="shared" ref="F108:F113" si="2">IF(ISBLANK(D108), "-", E108/$B$56)</f>
        <v>0.64621324102161926</v>
      </c>
    </row>
    <row r="109" spans="1:10" ht="26.25" customHeight="1" x14ac:dyDescent="0.4">
      <c r="A109" s="124" t="s">
        <v>94</v>
      </c>
      <c r="B109" s="125">
        <v>50</v>
      </c>
      <c r="C109" s="243">
        <v>2</v>
      </c>
      <c r="D109" s="522">
        <v>0.19500000000000001</v>
      </c>
      <c r="E109" s="274">
        <f t="shared" si="1"/>
        <v>62.69232935284365</v>
      </c>
      <c r="F109" s="245">
        <f t="shared" si="2"/>
        <v>0.62692329352843645</v>
      </c>
    </row>
    <row r="110" spans="1:10" ht="26.25" customHeight="1" x14ac:dyDescent="0.4">
      <c r="A110" s="124" t="s">
        <v>95</v>
      </c>
      <c r="B110" s="125">
        <v>1</v>
      </c>
      <c r="C110" s="243">
        <v>3</v>
      </c>
      <c r="D110" s="522">
        <v>0.19800000000000001</v>
      </c>
      <c r="E110" s="274">
        <f t="shared" si="1"/>
        <v>63.656826727502782</v>
      </c>
      <c r="F110" s="245">
        <f t="shared" si="2"/>
        <v>0.6365682672750278</v>
      </c>
    </row>
    <row r="111" spans="1:10" ht="26.25" customHeight="1" x14ac:dyDescent="0.4">
      <c r="A111" s="124" t="s">
        <v>96</v>
      </c>
      <c r="B111" s="125">
        <v>1</v>
      </c>
      <c r="C111" s="243">
        <v>4</v>
      </c>
      <c r="D111" s="522">
        <v>0.20300000000000001</v>
      </c>
      <c r="E111" s="274">
        <f t="shared" si="1"/>
        <v>65.264322351934666</v>
      </c>
      <c r="F111" s="245">
        <f t="shared" si="2"/>
        <v>0.65264322351934667</v>
      </c>
    </row>
    <row r="112" spans="1:10" ht="26.25" customHeight="1" x14ac:dyDescent="0.4">
      <c r="A112" s="124" t="s">
        <v>97</v>
      </c>
      <c r="B112" s="125">
        <v>1</v>
      </c>
      <c r="C112" s="243">
        <v>5</v>
      </c>
      <c r="D112" s="522">
        <v>0.19600000000000001</v>
      </c>
      <c r="E112" s="274">
        <f t="shared" si="1"/>
        <v>63.01382847773003</v>
      </c>
      <c r="F112" s="245">
        <f t="shared" si="2"/>
        <v>0.63013828477730027</v>
      </c>
    </row>
    <row r="113" spans="1:10" ht="26.25" customHeight="1" x14ac:dyDescent="0.4">
      <c r="A113" s="124" t="s">
        <v>99</v>
      </c>
      <c r="B113" s="125">
        <v>1</v>
      </c>
      <c r="C113" s="246">
        <v>6</v>
      </c>
      <c r="D113" s="523">
        <v>0.19700000000000001</v>
      </c>
      <c r="E113" s="275">
        <f t="shared" si="1"/>
        <v>63.335327602616402</v>
      </c>
      <c r="F113" s="247">
        <f t="shared" si="2"/>
        <v>0.63335327602616398</v>
      </c>
    </row>
    <row r="114" spans="1:10" ht="26.25" customHeight="1" x14ac:dyDescent="0.4">
      <c r="A114" s="124" t="s">
        <v>100</v>
      </c>
      <c r="B114" s="125">
        <v>1</v>
      </c>
      <c r="C114" s="243"/>
      <c r="D114" s="224"/>
      <c r="E114" s="205"/>
      <c r="F114" s="248"/>
    </row>
    <row r="115" spans="1:10" ht="26.25" customHeight="1" x14ac:dyDescent="0.4">
      <c r="A115" s="124" t="s">
        <v>101</v>
      </c>
      <c r="B115" s="125">
        <v>1</v>
      </c>
      <c r="C115" s="243"/>
      <c r="D115" s="249" t="s">
        <v>70</v>
      </c>
      <c r="E115" s="283">
        <f>AVERAGE(E108:E113)</f>
        <v>63.763993102464916</v>
      </c>
      <c r="F115" s="250">
        <f>AVERAGE(F108:F113)</f>
        <v>0.63763993102464911</v>
      </c>
    </row>
    <row r="116" spans="1:10" ht="27" customHeight="1" thickBot="1" x14ac:dyDescent="0.45">
      <c r="A116" s="124" t="s">
        <v>102</v>
      </c>
      <c r="B116" s="156">
        <f>(B115/B114)*(B113/B112)*(B111/B110)*(B109/B108)*B107</f>
        <v>9000</v>
      </c>
      <c r="C116" s="251"/>
      <c r="D116" s="216" t="s">
        <v>83</v>
      </c>
      <c r="E116" s="252">
        <f>STDEV(E108:E113)/E115</f>
        <v>1.5513251440960421E-2</v>
      </c>
      <c r="F116" s="252">
        <f>STDEV(F108:F113)/F115</f>
        <v>1.551325144096047E-2</v>
      </c>
      <c r="I116" s="205"/>
    </row>
    <row r="117" spans="1:10" ht="27" customHeight="1" thickBot="1" x14ac:dyDescent="0.45">
      <c r="A117" s="538" t="s">
        <v>77</v>
      </c>
      <c r="B117" s="539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I117" s="205"/>
      <c r="J117" s="236"/>
    </row>
    <row r="118" spans="1:10" ht="19.5" customHeight="1" thickBot="1" x14ac:dyDescent="0.35">
      <c r="A118" s="540"/>
      <c r="B118" s="541"/>
      <c r="C118" s="205"/>
      <c r="D118" s="205"/>
      <c r="E118" s="205"/>
      <c r="F118" s="224"/>
      <c r="G118" s="205"/>
      <c r="H118" s="205"/>
      <c r="I118" s="205"/>
    </row>
    <row r="119" spans="1:10" ht="18.75" x14ac:dyDescent="0.3">
      <c r="A119" s="264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 x14ac:dyDescent="0.4">
      <c r="A120" s="259" t="s">
        <v>132</v>
      </c>
      <c r="B120" s="216" t="s">
        <v>124</v>
      </c>
      <c r="C120" s="542" t="str">
        <f>B20</f>
        <v xml:space="preserve">Aceclofenac </v>
      </c>
      <c r="D120" s="542"/>
      <c r="E120" s="205" t="s">
        <v>125</v>
      </c>
      <c r="F120" s="205"/>
      <c r="G120" s="206">
        <f>F115</f>
        <v>0.63763993102464911</v>
      </c>
      <c r="H120" s="205"/>
      <c r="I120" s="205"/>
    </row>
    <row r="121" spans="1:10" ht="19.5" customHeight="1" thickBot="1" x14ac:dyDescent="0.35">
      <c r="A121" s="281"/>
      <c r="B121" s="281"/>
      <c r="C121" s="257"/>
      <c r="D121" s="257"/>
      <c r="E121" s="257"/>
      <c r="F121" s="257"/>
      <c r="G121" s="257"/>
      <c r="H121" s="257"/>
    </row>
    <row r="122" spans="1:10" ht="18.75" x14ac:dyDescent="0.3">
      <c r="B122" s="543" t="s">
        <v>26</v>
      </c>
      <c r="C122" s="543"/>
      <c r="E122" s="280" t="s">
        <v>27</v>
      </c>
      <c r="F122" s="258"/>
      <c r="G122" s="543" t="s">
        <v>28</v>
      </c>
      <c r="H122" s="543"/>
    </row>
    <row r="123" spans="1:10" ht="69.95" customHeight="1" x14ac:dyDescent="0.3">
      <c r="A123" s="259" t="s">
        <v>29</v>
      </c>
      <c r="B123" s="261"/>
      <c r="C123" s="261"/>
      <c r="E123" s="261"/>
      <c r="F123" s="205"/>
      <c r="G123" s="261"/>
      <c r="H123" s="261"/>
    </row>
    <row r="124" spans="1:10" ht="69.95" customHeight="1" x14ac:dyDescent="0.3">
      <c r="A124" s="259" t="s">
        <v>30</v>
      </c>
      <c r="B124" s="262"/>
      <c r="C124" s="262"/>
      <c r="E124" s="262"/>
      <c r="F124" s="205"/>
      <c r="G124" s="263"/>
      <c r="H124" s="263"/>
    </row>
    <row r="125" spans="1:10" ht="18.75" x14ac:dyDescent="0.3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 x14ac:dyDescent="0.3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 x14ac:dyDescent="0.3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 x14ac:dyDescent="0.3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 x14ac:dyDescent="0.3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 x14ac:dyDescent="0.3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 x14ac:dyDescent="0.3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 x14ac:dyDescent="0.3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 x14ac:dyDescent="0.3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 x14ac:dyDescent="0.25">
      <c r="A250" s="227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4" priority="1" operator="greaterThan">
      <formula>0.02</formula>
    </cfRule>
  </conditionalFormatting>
  <conditionalFormatting sqref="D51">
    <cfRule type="cellIs" dxfId="43" priority="2" operator="greaterThan">
      <formula>0.02</formula>
    </cfRule>
  </conditionalFormatting>
  <conditionalFormatting sqref="G73">
    <cfRule type="cellIs" dxfId="42" priority="3" operator="greaterThan">
      <formula>0.02</formula>
    </cfRule>
  </conditionalFormatting>
  <conditionalFormatting sqref="H73">
    <cfRule type="cellIs" dxfId="41" priority="4" operator="greaterThan">
      <formula>0.02</formula>
    </cfRule>
  </conditionalFormatting>
  <conditionalFormatting sqref="D104">
    <cfRule type="cellIs" dxfId="40" priority="5" operator="greaterThan">
      <formula>0.02</formula>
    </cfRule>
  </conditionalFormatting>
  <conditionalFormatting sqref="I39">
    <cfRule type="cellIs" dxfId="39" priority="6" operator="lessThanOrEqual">
      <formula>0.02</formula>
    </cfRule>
  </conditionalFormatting>
  <conditionalFormatting sqref="I39">
    <cfRule type="cellIs" dxfId="38" priority="7" operator="greaterThan">
      <formula>0.02</formula>
    </cfRule>
  </conditionalFormatting>
  <conditionalFormatting sqref="I92">
    <cfRule type="cellIs" dxfId="37" priority="8" operator="lessThanOrEqual">
      <formula>0.02</formula>
    </cfRule>
  </conditionalFormatting>
  <conditionalFormatting sqref="I92">
    <cfRule type="cellIs" dxfId="36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136" zoomScale="50" zoomScaleNormal="75" zoomScaleSheetLayoutView="50" workbookViewId="0">
      <selection activeCell="F151" sqref="F151:F156"/>
    </sheetView>
  </sheetViews>
  <sheetFormatPr defaultRowHeight="16.5" x14ac:dyDescent="0.3"/>
  <cols>
    <col min="1" max="1" width="55.42578125" style="286" customWidth="1"/>
    <col min="2" max="2" width="33.7109375" style="286" customWidth="1"/>
    <col min="3" max="3" width="42.28515625" style="286" customWidth="1"/>
    <col min="4" max="4" width="30.5703125" style="286" customWidth="1"/>
    <col min="5" max="5" width="39.85546875" style="286" customWidth="1"/>
    <col min="6" max="6" width="30.7109375" style="286" customWidth="1"/>
    <col min="7" max="7" width="36.42578125" style="286" customWidth="1"/>
    <col min="8" max="8" width="41.140625" style="286" customWidth="1"/>
    <col min="9" max="9" width="30.42578125" style="285" customWidth="1"/>
    <col min="10" max="10" width="21.28515625" style="285" customWidth="1"/>
    <col min="11" max="11" width="9.140625" style="285" customWidth="1"/>
    <col min="12" max="16384" width="9.140625" style="287"/>
  </cols>
  <sheetData>
    <row r="1" spans="1:8" ht="15" x14ac:dyDescent="0.3">
      <c r="A1" s="576" t="s">
        <v>45</v>
      </c>
      <c r="B1" s="576"/>
      <c r="C1" s="576"/>
      <c r="D1" s="576"/>
      <c r="E1" s="576"/>
      <c r="F1" s="576"/>
      <c r="G1" s="576"/>
      <c r="H1" s="576"/>
    </row>
    <row r="2" spans="1:8" ht="15" x14ac:dyDescent="0.3">
      <c r="A2" s="576"/>
      <c r="B2" s="576"/>
      <c r="C2" s="576"/>
      <c r="D2" s="576"/>
      <c r="E2" s="576"/>
      <c r="F2" s="576"/>
      <c r="G2" s="576"/>
      <c r="H2" s="576"/>
    </row>
    <row r="3" spans="1:8" ht="15" x14ac:dyDescent="0.3">
      <c r="A3" s="576"/>
      <c r="B3" s="576"/>
      <c r="C3" s="576"/>
      <c r="D3" s="576"/>
      <c r="E3" s="576"/>
      <c r="F3" s="576"/>
      <c r="G3" s="576"/>
      <c r="H3" s="576"/>
    </row>
    <row r="4" spans="1:8" ht="15" x14ac:dyDescent="0.3">
      <c r="A4" s="576"/>
      <c r="B4" s="576"/>
      <c r="C4" s="576"/>
      <c r="D4" s="576"/>
      <c r="E4" s="576"/>
      <c r="F4" s="576"/>
      <c r="G4" s="576"/>
      <c r="H4" s="576"/>
    </row>
    <row r="5" spans="1:8" ht="15" x14ac:dyDescent="0.3">
      <c r="A5" s="576"/>
      <c r="B5" s="576"/>
      <c r="C5" s="576"/>
      <c r="D5" s="576"/>
      <c r="E5" s="576"/>
      <c r="F5" s="576"/>
      <c r="G5" s="576"/>
      <c r="H5" s="576"/>
    </row>
    <row r="6" spans="1:8" ht="15" x14ac:dyDescent="0.3">
      <c r="A6" s="576"/>
      <c r="B6" s="576"/>
      <c r="C6" s="576"/>
      <c r="D6" s="576"/>
      <c r="E6" s="576"/>
      <c r="F6" s="576"/>
      <c r="G6" s="576"/>
      <c r="H6" s="576"/>
    </row>
    <row r="7" spans="1:8" ht="15" x14ac:dyDescent="0.3">
      <c r="A7" s="576"/>
      <c r="B7" s="576"/>
      <c r="C7" s="576"/>
      <c r="D7" s="576"/>
      <c r="E7" s="576"/>
      <c r="F7" s="576"/>
      <c r="G7" s="576"/>
      <c r="H7" s="576"/>
    </row>
    <row r="8" spans="1:8" ht="15" x14ac:dyDescent="0.3">
      <c r="A8" s="577" t="s">
        <v>46</v>
      </c>
      <c r="B8" s="577"/>
      <c r="C8" s="577"/>
      <c r="D8" s="577"/>
      <c r="E8" s="577"/>
      <c r="F8" s="577"/>
      <c r="G8" s="577"/>
      <c r="H8" s="577"/>
    </row>
    <row r="9" spans="1:8" ht="15" x14ac:dyDescent="0.3">
      <c r="A9" s="577"/>
      <c r="B9" s="577"/>
      <c r="C9" s="577"/>
      <c r="D9" s="577"/>
      <c r="E9" s="577"/>
      <c r="F9" s="577"/>
      <c r="G9" s="577"/>
      <c r="H9" s="577"/>
    </row>
    <row r="10" spans="1:8" ht="15" x14ac:dyDescent="0.3">
      <c r="A10" s="577"/>
      <c r="B10" s="577"/>
      <c r="C10" s="577"/>
      <c r="D10" s="577"/>
      <c r="E10" s="577"/>
      <c r="F10" s="577"/>
      <c r="G10" s="577"/>
      <c r="H10" s="577"/>
    </row>
    <row r="11" spans="1:8" ht="15" x14ac:dyDescent="0.3">
      <c r="A11" s="577"/>
      <c r="B11" s="577"/>
      <c r="C11" s="577"/>
      <c r="D11" s="577"/>
      <c r="E11" s="577"/>
      <c r="F11" s="577"/>
      <c r="G11" s="577"/>
      <c r="H11" s="577"/>
    </row>
    <row r="12" spans="1:8" ht="15" x14ac:dyDescent="0.3">
      <c r="A12" s="577"/>
      <c r="B12" s="577"/>
      <c r="C12" s="577"/>
      <c r="D12" s="577"/>
      <c r="E12" s="577"/>
      <c r="F12" s="577"/>
      <c r="G12" s="577"/>
      <c r="H12" s="577"/>
    </row>
    <row r="13" spans="1:8" ht="15" x14ac:dyDescent="0.3">
      <c r="A13" s="577"/>
      <c r="B13" s="577"/>
      <c r="C13" s="577"/>
      <c r="D13" s="577"/>
      <c r="E13" s="577"/>
      <c r="F13" s="577"/>
      <c r="G13" s="577"/>
      <c r="H13" s="577"/>
    </row>
    <row r="14" spans="1:8" ht="15" x14ac:dyDescent="0.3">
      <c r="A14" s="577"/>
      <c r="B14" s="577"/>
      <c r="C14" s="577"/>
      <c r="D14" s="577"/>
      <c r="E14" s="577"/>
      <c r="F14" s="577"/>
      <c r="G14" s="577"/>
      <c r="H14" s="577"/>
    </row>
    <row r="15" spans="1:8" ht="19.5" customHeight="1" thickBot="1" x14ac:dyDescent="0.35"/>
    <row r="16" spans="1:8" ht="19.5" customHeight="1" thickBot="1" x14ac:dyDescent="0.35">
      <c r="A16" s="578" t="s">
        <v>31</v>
      </c>
      <c r="B16" s="579"/>
      <c r="C16" s="579"/>
      <c r="D16" s="579"/>
      <c r="E16" s="579"/>
      <c r="F16" s="579"/>
      <c r="G16" s="579"/>
      <c r="H16" s="580"/>
    </row>
    <row r="17" spans="1:13" ht="20.25" customHeight="1" x14ac:dyDescent="0.3">
      <c r="A17" s="581" t="s">
        <v>47</v>
      </c>
      <c r="B17" s="581"/>
      <c r="C17" s="581"/>
      <c r="D17" s="581"/>
      <c r="E17" s="581"/>
      <c r="F17" s="581"/>
      <c r="G17" s="581"/>
      <c r="H17" s="581"/>
    </row>
    <row r="18" spans="1:13" ht="26.25" customHeight="1" x14ac:dyDescent="0.4">
      <c r="A18" s="288" t="s">
        <v>33</v>
      </c>
      <c r="B18" s="582" t="s">
        <v>5</v>
      </c>
      <c r="C18" s="582"/>
      <c r="D18" s="289"/>
      <c r="E18" s="289"/>
    </row>
    <row r="19" spans="1:13" ht="26.25" customHeight="1" x14ac:dyDescent="0.4">
      <c r="A19" s="288" t="s">
        <v>34</v>
      </c>
      <c r="B19" s="290" t="s">
        <v>7</v>
      </c>
      <c r="C19" s="291">
        <v>11</v>
      </c>
    </row>
    <row r="20" spans="1:13" ht="26.25" customHeight="1" x14ac:dyDescent="0.4">
      <c r="A20" s="288" t="s">
        <v>35</v>
      </c>
      <c r="B20" s="575" t="s">
        <v>136</v>
      </c>
      <c r="C20" s="575"/>
    </row>
    <row r="21" spans="1:13" ht="26.25" customHeight="1" x14ac:dyDescent="0.4">
      <c r="A21" s="288" t="s">
        <v>36</v>
      </c>
      <c r="B21" s="575" t="s">
        <v>139</v>
      </c>
      <c r="C21" s="575"/>
      <c r="D21" s="575"/>
      <c r="E21" s="575"/>
      <c r="F21" s="575"/>
      <c r="G21" s="575"/>
      <c r="H21" s="575"/>
    </row>
    <row r="22" spans="1:13" ht="26.25" customHeight="1" x14ac:dyDescent="0.3">
      <c r="A22" s="288" t="s">
        <v>37</v>
      </c>
      <c r="B22" s="292">
        <v>42590</v>
      </c>
    </row>
    <row r="23" spans="1:13" ht="26.25" customHeight="1" x14ac:dyDescent="0.3">
      <c r="A23" s="288" t="s">
        <v>38</v>
      </c>
      <c r="B23" s="292">
        <v>42591</v>
      </c>
    </row>
    <row r="24" spans="1:13" ht="18.75" x14ac:dyDescent="0.3">
      <c r="A24" s="288"/>
      <c r="B24" s="293"/>
    </row>
    <row r="25" spans="1:13" ht="18.75" x14ac:dyDescent="0.3">
      <c r="A25" s="294" t="s">
        <v>1</v>
      </c>
      <c r="B25" s="293"/>
    </row>
    <row r="26" spans="1:13" ht="26.25" customHeight="1" x14ac:dyDescent="0.3">
      <c r="A26" s="295" t="s">
        <v>4</v>
      </c>
      <c r="B26" s="589" t="s">
        <v>136</v>
      </c>
      <c r="C26" s="589"/>
    </row>
    <row r="27" spans="1:13" ht="26.25" customHeight="1" x14ac:dyDescent="0.3">
      <c r="A27" s="296" t="s">
        <v>48</v>
      </c>
      <c r="B27" s="590" t="s">
        <v>137</v>
      </c>
      <c r="C27" s="590"/>
    </row>
    <row r="28" spans="1:13" ht="27" customHeight="1" thickBot="1" x14ac:dyDescent="0.35">
      <c r="A28" s="296" t="s">
        <v>6</v>
      </c>
      <c r="B28" s="297">
        <v>99.44</v>
      </c>
    </row>
    <row r="29" spans="1:13" s="301" customFormat="1" ht="15.75" customHeight="1" thickBot="1" x14ac:dyDescent="0.3">
      <c r="A29" s="296" t="s">
        <v>49</v>
      </c>
      <c r="B29" s="298">
        <v>0</v>
      </c>
      <c r="C29" s="591" t="s">
        <v>50</v>
      </c>
      <c r="D29" s="592"/>
      <c r="E29" s="592"/>
      <c r="F29" s="592"/>
      <c r="G29" s="593"/>
      <c r="H29" s="299"/>
      <c r="I29" s="300"/>
      <c r="J29" s="300"/>
      <c r="K29" s="300"/>
    </row>
    <row r="30" spans="1:13" s="301" customFormat="1" ht="19.5" customHeight="1" thickBot="1" x14ac:dyDescent="0.3">
      <c r="A30" s="296" t="s">
        <v>51</v>
      </c>
      <c r="B30" s="302">
        <f>B28-B29</f>
        <v>99.44</v>
      </c>
      <c r="C30" s="303"/>
      <c r="D30" s="303"/>
      <c r="E30" s="303"/>
      <c r="F30" s="303"/>
      <c r="G30" s="304"/>
      <c r="H30" s="299"/>
      <c r="I30" s="300"/>
      <c r="J30" s="300"/>
      <c r="K30" s="300"/>
    </row>
    <row r="31" spans="1:13" s="301" customFormat="1" ht="27" customHeight="1" thickBot="1" x14ac:dyDescent="0.3">
      <c r="A31" s="296" t="s">
        <v>52</v>
      </c>
      <c r="B31" s="305">
        <v>1</v>
      </c>
      <c r="C31" s="594" t="s">
        <v>53</v>
      </c>
      <c r="D31" s="595"/>
      <c r="E31" s="595"/>
      <c r="F31" s="595"/>
      <c r="G31" s="595"/>
      <c r="H31" s="596"/>
      <c r="I31" s="300"/>
      <c r="J31" s="300"/>
      <c r="K31" s="300"/>
    </row>
    <row r="32" spans="1:13" s="301" customFormat="1" ht="27" customHeight="1" thickBot="1" x14ac:dyDescent="0.3">
      <c r="A32" s="296" t="s">
        <v>54</v>
      </c>
      <c r="B32" s="305">
        <v>1</v>
      </c>
      <c r="C32" s="594" t="s">
        <v>55</v>
      </c>
      <c r="D32" s="595"/>
      <c r="E32" s="595"/>
      <c r="F32" s="595"/>
      <c r="G32" s="595"/>
      <c r="H32" s="596"/>
      <c r="I32" s="300"/>
      <c r="J32" s="300"/>
      <c r="K32" s="306"/>
      <c r="L32" s="306"/>
      <c r="M32" s="307"/>
    </row>
    <row r="33" spans="1:13" s="301" customFormat="1" ht="17.25" customHeight="1" x14ac:dyDescent="0.25">
      <c r="A33" s="296"/>
      <c r="B33" s="308"/>
      <c r="C33" s="309"/>
      <c r="D33" s="309"/>
      <c r="E33" s="309"/>
      <c r="F33" s="309"/>
      <c r="G33" s="309"/>
      <c r="H33" s="309"/>
      <c r="I33" s="300"/>
      <c r="J33" s="300"/>
      <c r="K33" s="306"/>
      <c r="L33" s="306"/>
      <c r="M33" s="307"/>
    </row>
    <row r="34" spans="1:13" s="301" customFormat="1" ht="18.75" x14ac:dyDescent="0.25">
      <c r="A34" s="296" t="s">
        <v>56</v>
      </c>
      <c r="B34" s="310">
        <f>B31/B32</f>
        <v>1</v>
      </c>
      <c r="C34" s="291" t="s">
        <v>57</v>
      </c>
      <c r="D34" s="291"/>
      <c r="E34" s="291"/>
      <c r="F34" s="291"/>
      <c r="G34" s="291"/>
      <c r="H34" s="299"/>
      <c r="I34" s="300"/>
      <c r="J34" s="300"/>
      <c r="K34" s="306"/>
      <c r="L34" s="306"/>
      <c r="M34" s="307"/>
    </row>
    <row r="35" spans="1:13" s="301" customFormat="1" ht="19.5" customHeight="1" thickBot="1" x14ac:dyDescent="0.3">
      <c r="A35" s="296"/>
      <c r="B35" s="302"/>
      <c r="C35" s="299"/>
      <c r="D35" s="299"/>
      <c r="E35" s="299"/>
      <c r="F35" s="299"/>
      <c r="G35" s="291"/>
      <c r="H35" s="299"/>
      <c r="I35" s="300"/>
      <c r="J35" s="300"/>
      <c r="K35" s="306"/>
      <c r="L35" s="306"/>
      <c r="M35" s="307"/>
    </row>
    <row r="36" spans="1:13" s="301" customFormat="1" ht="27" customHeight="1" thickBot="1" x14ac:dyDescent="0.3">
      <c r="A36" s="311" t="s">
        <v>58</v>
      </c>
      <c r="B36" s="312">
        <v>20</v>
      </c>
      <c r="C36" s="291"/>
      <c r="D36" s="597" t="s">
        <v>59</v>
      </c>
      <c r="E36" s="598"/>
      <c r="F36" s="597" t="s">
        <v>60</v>
      </c>
      <c r="G36" s="599"/>
      <c r="H36" s="299"/>
      <c r="I36" s="300"/>
      <c r="J36" s="300"/>
      <c r="K36" s="306"/>
      <c r="L36" s="306"/>
      <c r="M36" s="307"/>
    </row>
    <row r="37" spans="1:13" s="301" customFormat="1" ht="26.25" customHeight="1" x14ac:dyDescent="0.25">
      <c r="A37" s="313" t="s">
        <v>61</v>
      </c>
      <c r="B37" s="314">
        <v>5</v>
      </c>
      <c r="C37" s="315" t="s">
        <v>62</v>
      </c>
      <c r="D37" s="316" t="s">
        <v>63</v>
      </c>
      <c r="E37" s="317" t="s">
        <v>64</v>
      </c>
      <c r="F37" s="316" t="s">
        <v>63</v>
      </c>
      <c r="G37" s="318" t="s">
        <v>64</v>
      </c>
      <c r="H37" s="299"/>
      <c r="I37" s="300"/>
      <c r="J37" s="300"/>
      <c r="K37" s="306"/>
      <c r="L37" s="306"/>
      <c r="M37" s="307"/>
    </row>
    <row r="38" spans="1:13" s="301" customFormat="1" ht="26.25" customHeight="1" x14ac:dyDescent="0.25">
      <c r="A38" s="313" t="s">
        <v>65</v>
      </c>
      <c r="B38" s="314">
        <v>50</v>
      </c>
      <c r="C38" s="319">
        <v>1</v>
      </c>
      <c r="D38" s="320">
        <v>3422250</v>
      </c>
      <c r="E38" s="321">
        <f>IF(ISBLANK(D38),"-",$D$48/$D$45*D38)</f>
        <v>3577466.2433954473</v>
      </c>
      <c r="F38" s="320">
        <v>3761126</v>
      </c>
      <c r="G38" s="322">
        <f>IF(ISBLANK(F38),"-",$D$48/$F$45*F38)</f>
        <v>3621165.072996622</v>
      </c>
      <c r="H38" s="299"/>
      <c r="I38" s="300"/>
      <c r="J38" s="300"/>
      <c r="K38" s="306"/>
      <c r="L38" s="306"/>
      <c r="M38" s="307"/>
    </row>
    <row r="39" spans="1:13" s="301" customFormat="1" ht="26.25" customHeight="1" x14ac:dyDescent="0.25">
      <c r="A39" s="313" t="s">
        <v>66</v>
      </c>
      <c r="B39" s="314">
        <v>1</v>
      </c>
      <c r="C39" s="323">
        <v>2</v>
      </c>
      <c r="D39" s="324">
        <v>3423991</v>
      </c>
      <c r="E39" s="325">
        <f>IF(ISBLANK(D39),"-",$D$48/$D$45*D39)</f>
        <v>3579286.2064985964</v>
      </c>
      <c r="F39" s="324">
        <v>3760829</v>
      </c>
      <c r="G39" s="326">
        <f>IF(ISBLANK(F39),"-",$D$48/$F$45*F39)</f>
        <v>3620879.1251111538</v>
      </c>
      <c r="H39" s="299"/>
      <c r="I39" s="300"/>
      <c r="J39" s="300"/>
      <c r="K39" s="306"/>
      <c r="L39" s="306"/>
      <c r="M39" s="307"/>
    </row>
    <row r="40" spans="1:13" ht="26.25" customHeight="1" x14ac:dyDescent="0.3">
      <c r="A40" s="313" t="s">
        <v>67</v>
      </c>
      <c r="B40" s="314">
        <v>1</v>
      </c>
      <c r="C40" s="323">
        <v>3</v>
      </c>
      <c r="D40" s="324">
        <v>3424176</v>
      </c>
      <c r="E40" s="325">
        <f>IF(ISBLANK(D40),"-",$D$48/$D$45*D40)</f>
        <v>3579479.5971787125</v>
      </c>
      <c r="F40" s="324">
        <v>3763781</v>
      </c>
      <c r="G40" s="326">
        <f>IF(ISBLANK(F40),"-",$D$48/$F$45*F40)</f>
        <v>3623721.2737909602</v>
      </c>
      <c r="K40" s="306"/>
      <c r="L40" s="306"/>
      <c r="M40" s="327"/>
    </row>
    <row r="41" spans="1:13" ht="26.25" customHeight="1" x14ac:dyDescent="0.3">
      <c r="A41" s="313" t="s">
        <v>68</v>
      </c>
      <c r="B41" s="314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K41" s="306"/>
      <c r="L41" s="306"/>
      <c r="M41" s="327"/>
    </row>
    <row r="42" spans="1:13" ht="27" customHeight="1" thickBot="1" x14ac:dyDescent="0.35">
      <c r="A42" s="313" t="s">
        <v>69</v>
      </c>
      <c r="B42" s="314">
        <v>1</v>
      </c>
      <c r="C42" s="296" t="s">
        <v>70</v>
      </c>
      <c r="D42" s="332">
        <f>AVERAGE(D38:D41)</f>
        <v>3423472.3333333335</v>
      </c>
      <c r="E42" s="333">
        <f>AVERAGE(E38:E41)</f>
        <v>3578744.015690919</v>
      </c>
      <c r="F42" s="334">
        <f>AVERAGE(F38:F41)</f>
        <v>3761912</v>
      </c>
      <c r="G42" s="335">
        <f>AVERAGE(G38:G41)</f>
        <v>3621921.8239662447</v>
      </c>
      <c r="H42" s="336"/>
    </row>
    <row r="43" spans="1:13" ht="26.25" customHeight="1" x14ac:dyDescent="0.3">
      <c r="A43" s="313" t="s">
        <v>71</v>
      </c>
      <c r="B43" s="314">
        <v>1</v>
      </c>
      <c r="C43" s="337" t="s">
        <v>72</v>
      </c>
      <c r="D43" s="338">
        <v>19.239999999999998</v>
      </c>
      <c r="E43" s="291"/>
      <c r="F43" s="339">
        <v>20.89</v>
      </c>
      <c r="H43" s="336"/>
    </row>
    <row r="44" spans="1:13" ht="26.25" customHeight="1" x14ac:dyDescent="0.3">
      <c r="A44" s="313" t="s">
        <v>73</v>
      </c>
      <c r="B44" s="314">
        <v>1</v>
      </c>
      <c r="C44" s="340" t="s">
        <v>74</v>
      </c>
      <c r="D44" s="341">
        <f>D43*$B$34</f>
        <v>19.239999999999998</v>
      </c>
      <c r="E44" s="323"/>
      <c r="F44" s="342">
        <f>F43*$B$34</f>
        <v>20.89</v>
      </c>
      <c r="H44" s="336"/>
    </row>
    <row r="45" spans="1:13" ht="19.5" customHeight="1" thickBot="1" x14ac:dyDescent="0.35">
      <c r="A45" s="313" t="s">
        <v>75</v>
      </c>
      <c r="B45" s="343">
        <f>(B44/B43)*(B42/B41)*(B40/B39)*(B38/B37)*B36</f>
        <v>200</v>
      </c>
      <c r="C45" s="340" t="s">
        <v>76</v>
      </c>
      <c r="D45" s="344">
        <f>D44*$B$30/100</f>
        <v>19.132255999999998</v>
      </c>
      <c r="E45" s="345"/>
      <c r="F45" s="346">
        <f>F44*$B$30/100</f>
        <v>20.773016000000002</v>
      </c>
      <c r="H45" s="336"/>
    </row>
    <row r="46" spans="1:13" ht="19.5" customHeight="1" thickBot="1" x14ac:dyDescent="0.35">
      <c r="A46" s="600" t="s">
        <v>77</v>
      </c>
      <c r="B46" s="601"/>
      <c r="C46" s="340" t="s">
        <v>78</v>
      </c>
      <c r="D46" s="341">
        <f>D45/$B$45</f>
        <v>9.5661279999999987E-2</v>
      </c>
      <c r="E46" s="345"/>
      <c r="F46" s="347">
        <f>F45/$B$45</f>
        <v>0.10386508000000001</v>
      </c>
      <c r="H46" s="336"/>
    </row>
    <row r="47" spans="1:13" ht="27" customHeight="1" thickBot="1" x14ac:dyDescent="0.35">
      <c r="A47" s="602"/>
      <c r="B47" s="603"/>
      <c r="C47" s="348" t="s">
        <v>79</v>
      </c>
      <c r="D47" s="349">
        <v>0.1</v>
      </c>
      <c r="F47" s="350"/>
      <c r="H47" s="336"/>
    </row>
    <row r="48" spans="1:13" ht="18.75" x14ac:dyDescent="0.3">
      <c r="C48" s="351" t="s">
        <v>80</v>
      </c>
      <c r="D48" s="344">
        <f>D47*$B$45</f>
        <v>20</v>
      </c>
      <c r="F48" s="350"/>
      <c r="H48" s="336"/>
    </row>
    <row r="49" spans="1:11" ht="19.5" customHeight="1" thickBot="1" x14ac:dyDescent="0.35">
      <c r="C49" s="352" t="s">
        <v>81</v>
      </c>
      <c r="D49" s="353">
        <f>D48/B34</f>
        <v>20</v>
      </c>
      <c r="F49" s="325"/>
      <c r="H49" s="336"/>
    </row>
    <row r="50" spans="1:11" ht="18.75" x14ac:dyDescent="0.3">
      <c r="C50" s="354" t="s">
        <v>82</v>
      </c>
      <c r="D50" s="355">
        <f>AVERAGE(E38:E41,G38:G41)</f>
        <v>3600332.9198285821</v>
      </c>
      <c r="F50" s="325"/>
      <c r="H50" s="336"/>
    </row>
    <row r="51" spans="1:11" ht="18.75" x14ac:dyDescent="0.3">
      <c r="C51" s="356" t="s">
        <v>83</v>
      </c>
      <c r="D51" s="357">
        <f>STDEV(E38:E41,G38:G41)/D50</f>
        <v>6.577331818269706E-3</v>
      </c>
      <c r="F51" s="325"/>
    </row>
    <row r="52" spans="1:11" ht="19.5" customHeight="1" thickBot="1" x14ac:dyDescent="0.35">
      <c r="C52" s="358" t="s">
        <v>20</v>
      </c>
      <c r="D52" s="359">
        <f>COUNT(E38:E41,G38:G41)</f>
        <v>6</v>
      </c>
      <c r="F52" s="325"/>
    </row>
    <row r="54" spans="1:11" ht="18.75" x14ac:dyDescent="0.3">
      <c r="A54" s="360" t="s">
        <v>1</v>
      </c>
      <c r="B54" s="361" t="s">
        <v>84</v>
      </c>
    </row>
    <row r="55" spans="1:11" ht="18.75" x14ac:dyDescent="0.3">
      <c r="A55" s="291" t="s">
        <v>85</v>
      </c>
      <c r="B55" s="362" t="str">
        <f>B21</f>
        <v>Each Tablet contains: Aceclofenac BP 100mg</v>
      </c>
    </row>
    <row r="56" spans="1:11" ht="26.25" customHeight="1" x14ac:dyDescent="0.3">
      <c r="A56" s="362" t="s">
        <v>86</v>
      </c>
      <c r="B56" s="297">
        <v>100</v>
      </c>
      <c r="C56" s="291" t="str">
        <f>B20</f>
        <v>Aceclofenac</v>
      </c>
      <c r="H56" s="323"/>
    </row>
    <row r="57" spans="1:11" ht="18.75" x14ac:dyDescent="0.3">
      <c r="A57" s="362" t="s">
        <v>87</v>
      </c>
      <c r="B57" s="363">
        <f>Uniformity!C46</f>
        <v>216.387</v>
      </c>
      <c r="H57" s="323"/>
    </row>
    <row r="58" spans="1:11" ht="19.5" customHeight="1" thickBot="1" x14ac:dyDescent="0.35">
      <c r="H58" s="323"/>
    </row>
    <row r="59" spans="1:11" s="301" customFormat="1" ht="27" customHeight="1" thickBot="1" x14ac:dyDescent="0.3">
      <c r="A59" s="311" t="s">
        <v>88</v>
      </c>
      <c r="B59" s="312">
        <v>100</v>
      </c>
      <c r="C59" s="291"/>
      <c r="D59" s="364" t="s">
        <v>89</v>
      </c>
      <c r="E59" s="365" t="s">
        <v>62</v>
      </c>
      <c r="F59" s="365" t="s">
        <v>63</v>
      </c>
      <c r="G59" s="365" t="s">
        <v>90</v>
      </c>
      <c r="H59" s="366" t="s">
        <v>91</v>
      </c>
      <c r="K59" s="300"/>
    </row>
    <row r="60" spans="1:11" s="301" customFormat="1" ht="26.25" customHeight="1" x14ac:dyDescent="0.25">
      <c r="A60" s="313" t="s">
        <v>92</v>
      </c>
      <c r="B60" s="314">
        <v>5</v>
      </c>
      <c r="C60" s="583" t="s">
        <v>93</v>
      </c>
      <c r="D60" s="586">
        <v>220.29</v>
      </c>
      <c r="E60" s="367">
        <v>1</v>
      </c>
      <c r="F60" s="368">
        <v>3123768</v>
      </c>
      <c r="G60" s="369">
        <f>IF(ISBLANK(F60),"-",(F60/$D$50*$D$47*$B$68)*($B$57/$D$60))</f>
        <v>85.226076023729846</v>
      </c>
      <c r="H60" s="370">
        <f t="shared" ref="H60:H71" si="0">IF(ISBLANK(F60),"-",G60/$B$56)</f>
        <v>0.85226076023729846</v>
      </c>
      <c r="K60" s="300"/>
    </row>
    <row r="61" spans="1:11" s="301" customFormat="1" ht="26.25" customHeight="1" x14ac:dyDescent="0.25">
      <c r="A61" s="313" t="s">
        <v>94</v>
      </c>
      <c r="B61" s="314">
        <v>50</v>
      </c>
      <c r="C61" s="584"/>
      <c r="D61" s="587"/>
      <c r="E61" s="371">
        <v>2</v>
      </c>
      <c r="F61" s="372">
        <v>3120686</v>
      </c>
      <c r="G61" s="373">
        <f>IF(ISBLANK(F61),"-",(F61/$D$50*$D$47*$B$68)*($B$57/$D$60))</f>
        <v>85.141989508244336</v>
      </c>
      <c r="H61" s="374">
        <f t="shared" si="0"/>
        <v>0.85141989508244331</v>
      </c>
      <c r="K61" s="300"/>
    </row>
    <row r="62" spans="1:11" s="301" customFormat="1" ht="26.25" customHeight="1" x14ac:dyDescent="0.25">
      <c r="A62" s="313" t="s">
        <v>95</v>
      </c>
      <c r="B62" s="314">
        <v>1</v>
      </c>
      <c r="C62" s="584"/>
      <c r="D62" s="587"/>
      <c r="E62" s="371">
        <v>3</v>
      </c>
      <c r="F62" s="372">
        <v>3124933</v>
      </c>
      <c r="G62" s="373">
        <f>IF(ISBLANK(F62),"-",(F62/$D$50*$D$47*$B$68)*($B$57/$D$60))</f>
        <v>85.257860835715775</v>
      </c>
      <c r="H62" s="374">
        <f t="shared" si="0"/>
        <v>0.85257860835715771</v>
      </c>
      <c r="K62" s="300"/>
    </row>
    <row r="63" spans="1:11" ht="27" customHeight="1" thickBot="1" x14ac:dyDescent="0.35">
      <c r="A63" s="313" t="s">
        <v>96</v>
      </c>
      <c r="B63" s="314">
        <v>1</v>
      </c>
      <c r="C63" s="585"/>
      <c r="D63" s="588"/>
      <c r="E63" s="375">
        <v>4</v>
      </c>
      <c r="F63" s="376"/>
      <c r="G63" s="373" t="str">
        <f>IF(ISBLANK(F63),"-",(F63/$D$50*$D$47*$B$68)*($B$57/$D$60))</f>
        <v>-</v>
      </c>
      <c r="H63" s="374" t="str">
        <f t="shared" si="0"/>
        <v>-</v>
      </c>
    </row>
    <row r="64" spans="1:11" ht="26.25" customHeight="1" x14ac:dyDescent="0.3">
      <c r="A64" s="313" t="s">
        <v>97</v>
      </c>
      <c r="B64" s="314">
        <v>1</v>
      </c>
      <c r="C64" s="583" t="s">
        <v>98</v>
      </c>
      <c r="D64" s="586">
        <v>213.74</v>
      </c>
      <c r="E64" s="367">
        <v>1</v>
      </c>
      <c r="F64" s="368">
        <v>3007100</v>
      </c>
      <c r="G64" s="377">
        <f>IF(ISBLANK(F64),"-",(F64/$D$50*$D$47*$B$68)*($B$57/$D$64))</f>
        <v>84.557195430922889</v>
      </c>
      <c r="H64" s="378">
        <f t="shared" si="0"/>
        <v>0.84557195430922893</v>
      </c>
    </row>
    <row r="65" spans="1:8" ht="26.25" customHeight="1" x14ac:dyDescent="0.3">
      <c r="A65" s="313" t="s">
        <v>99</v>
      </c>
      <c r="B65" s="314">
        <v>1</v>
      </c>
      <c r="C65" s="584"/>
      <c r="D65" s="587"/>
      <c r="E65" s="371">
        <v>2</v>
      </c>
      <c r="F65" s="372">
        <v>3007105</v>
      </c>
      <c r="G65" s="379">
        <f>IF(ISBLANK(F65),"-",(F65/$D$50*$D$47*$B$68)*($B$57/$D$64))</f>
        <v>84.557336026838286</v>
      </c>
      <c r="H65" s="380">
        <f t="shared" si="0"/>
        <v>0.84557336026838281</v>
      </c>
    </row>
    <row r="66" spans="1:8" ht="26.25" customHeight="1" x14ac:dyDescent="0.3">
      <c r="A66" s="313" t="s">
        <v>100</v>
      </c>
      <c r="B66" s="314">
        <v>1</v>
      </c>
      <c r="C66" s="584"/>
      <c r="D66" s="587"/>
      <c r="E66" s="371">
        <v>3</v>
      </c>
      <c r="F66" s="372">
        <v>3007493</v>
      </c>
      <c r="G66" s="379">
        <f>IF(ISBLANK(F66),"-",(F66/$D$50*$D$47*$B$68)*($B$57/$D$64))</f>
        <v>84.568246269872148</v>
      </c>
      <c r="H66" s="380">
        <f t="shared" si="0"/>
        <v>0.84568246269872149</v>
      </c>
    </row>
    <row r="67" spans="1:8" ht="27" customHeight="1" thickBot="1" x14ac:dyDescent="0.35">
      <c r="A67" s="313" t="s">
        <v>101</v>
      </c>
      <c r="B67" s="314">
        <v>1</v>
      </c>
      <c r="C67" s="585"/>
      <c r="D67" s="588"/>
      <c r="E67" s="375">
        <v>4</v>
      </c>
      <c r="F67" s="376"/>
      <c r="G67" s="381" t="str">
        <f>IF(ISBLANK(F67),"-",(F67/$D$50*$D$47*$B$68)*($B$57/$D$64))</f>
        <v>-</v>
      </c>
      <c r="H67" s="382" t="str">
        <f t="shared" si="0"/>
        <v>-</v>
      </c>
    </row>
    <row r="68" spans="1:8" ht="21.75" customHeight="1" x14ac:dyDescent="0.3">
      <c r="A68" s="313" t="s">
        <v>102</v>
      </c>
      <c r="B68" s="343">
        <f>(B67/B66)*(B65/B64)*(B63/B62)*(B61/B60)*B59</f>
        <v>1000</v>
      </c>
      <c r="C68" s="583" t="s">
        <v>103</v>
      </c>
      <c r="D68" s="586">
        <v>217.03</v>
      </c>
      <c r="E68" s="367">
        <v>1</v>
      </c>
      <c r="F68" s="368">
        <v>3014480</v>
      </c>
      <c r="G68" s="377">
        <f>IF(ISBLANK(F68),"-",(F68/$D$50*$D$47*$B$68)*($B$57/$D$68))</f>
        <v>83.479750193679109</v>
      </c>
      <c r="H68" s="374">
        <f t="shared" si="0"/>
        <v>0.83479750193679114</v>
      </c>
    </row>
    <row r="69" spans="1:8" ht="21.75" customHeight="1" thickBot="1" x14ac:dyDescent="0.35">
      <c r="A69" s="383" t="s">
        <v>104</v>
      </c>
      <c r="B69" s="384">
        <f>D47*B68/B56*B57</f>
        <v>216.387</v>
      </c>
      <c r="C69" s="584"/>
      <c r="D69" s="587"/>
      <c r="E69" s="371">
        <v>2</v>
      </c>
      <c r="F69" s="372">
        <v>3014211</v>
      </c>
      <c r="G69" s="379">
        <f>IF(ISBLANK(F69),"-",(F69/$D$50*$D$47*$B$68)*($B$57/$D$68))</f>
        <v>83.472300798492526</v>
      </c>
      <c r="H69" s="374">
        <f t="shared" si="0"/>
        <v>0.83472300798492527</v>
      </c>
    </row>
    <row r="70" spans="1:8" ht="22.5" customHeight="1" x14ac:dyDescent="0.3">
      <c r="A70" s="600" t="s">
        <v>77</v>
      </c>
      <c r="B70" s="601"/>
      <c r="C70" s="584"/>
      <c r="D70" s="587"/>
      <c r="E70" s="371">
        <v>3</v>
      </c>
      <c r="F70" s="372">
        <v>3014213</v>
      </c>
      <c r="G70" s="379">
        <f>IF(ISBLANK(F70),"-",(F70/$D$50*$D$47*$B$68)*($B$57/$D$68))</f>
        <v>83.472356184330351</v>
      </c>
      <c r="H70" s="374">
        <f t="shared" si="0"/>
        <v>0.83472356184330354</v>
      </c>
    </row>
    <row r="71" spans="1:8" ht="21.75" customHeight="1" thickBot="1" x14ac:dyDescent="0.35">
      <c r="A71" s="602"/>
      <c r="B71" s="603"/>
      <c r="C71" s="604"/>
      <c r="D71" s="588"/>
      <c r="E71" s="375">
        <v>4</v>
      </c>
      <c r="F71" s="376"/>
      <c r="G71" s="381" t="str">
        <f>IF(ISBLANK(F71),"-",(F71/$D$50*$D$47*$B$68)*($B$57/$D$68))</f>
        <v>-</v>
      </c>
      <c r="H71" s="385" t="str">
        <f t="shared" si="0"/>
        <v>-</v>
      </c>
    </row>
    <row r="72" spans="1:8" ht="26.25" customHeight="1" x14ac:dyDescent="0.3">
      <c r="A72" s="323"/>
      <c r="B72" s="323"/>
      <c r="C72" s="323"/>
      <c r="D72" s="323"/>
      <c r="E72" s="323"/>
      <c r="F72" s="323"/>
      <c r="G72" s="386" t="s">
        <v>70</v>
      </c>
      <c r="H72" s="387">
        <f>AVERAGE(H60:H71)</f>
        <v>0.84414790141313911</v>
      </c>
    </row>
    <row r="73" spans="1:8" ht="26.25" customHeight="1" x14ac:dyDescent="0.3">
      <c r="C73" s="323"/>
      <c r="D73" s="323"/>
      <c r="E73" s="323"/>
      <c r="F73" s="323"/>
      <c r="G73" s="356" t="s">
        <v>83</v>
      </c>
      <c r="H73" s="388">
        <f>STDEV(H60:H71)/H72</f>
        <v>8.9952543903068297E-3</v>
      </c>
    </row>
    <row r="74" spans="1:8" ht="27" customHeight="1" thickBot="1" x14ac:dyDescent="0.35">
      <c r="A74" s="323"/>
      <c r="B74" s="323"/>
      <c r="C74" s="323"/>
      <c r="D74" s="323"/>
      <c r="E74" s="345"/>
      <c r="F74" s="323"/>
      <c r="G74" s="358" t="s">
        <v>20</v>
      </c>
      <c r="H74" s="389">
        <f>COUNT(H60:H71)</f>
        <v>9</v>
      </c>
    </row>
    <row r="75" spans="1:8" ht="18.75" x14ac:dyDescent="0.3">
      <c r="A75" s="323"/>
      <c r="B75" s="323"/>
      <c r="C75" s="323"/>
      <c r="D75" s="323"/>
      <c r="E75" s="345"/>
      <c r="F75" s="323"/>
      <c r="G75" s="296"/>
      <c r="H75" s="302"/>
    </row>
    <row r="76" spans="1:8" ht="26.25" customHeight="1" x14ac:dyDescent="0.3">
      <c r="A76" s="295" t="s">
        <v>105</v>
      </c>
      <c r="B76" s="296" t="s">
        <v>106</v>
      </c>
      <c r="C76" s="584" t="str">
        <f>B20</f>
        <v>Aceclofenac</v>
      </c>
      <c r="D76" s="584"/>
      <c r="E76" s="291" t="s">
        <v>107</v>
      </c>
      <c r="F76" s="291"/>
      <c r="G76" s="390">
        <f>H72</f>
        <v>0.84414790141313911</v>
      </c>
      <c r="H76" s="302"/>
    </row>
    <row r="77" spans="1:8" ht="18.75" x14ac:dyDescent="0.3">
      <c r="A77" s="294" t="s">
        <v>108</v>
      </c>
      <c r="B77" s="294" t="s">
        <v>109</v>
      </c>
    </row>
    <row r="78" spans="1:8" ht="18.75" x14ac:dyDescent="0.3">
      <c r="A78" s="294"/>
      <c r="B78" s="294"/>
    </row>
    <row r="79" spans="1:8" ht="26.25" customHeight="1" x14ac:dyDescent="0.3">
      <c r="A79" s="295" t="s">
        <v>4</v>
      </c>
      <c r="B79" s="589" t="str">
        <f>B26</f>
        <v>Aceclofenac</v>
      </c>
      <c r="C79" s="589"/>
    </row>
    <row r="80" spans="1:8" ht="26.25" customHeight="1" x14ac:dyDescent="0.3">
      <c r="A80" s="296" t="s">
        <v>48</v>
      </c>
      <c r="B80" s="590" t="str">
        <f>B27</f>
        <v>A52-7</v>
      </c>
      <c r="C80" s="590"/>
    </row>
    <row r="81" spans="1:11" ht="27" customHeight="1" thickBot="1" x14ac:dyDescent="0.35">
      <c r="A81" s="296" t="s">
        <v>6</v>
      </c>
      <c r="B81" s="297">
        <v>99.44</v>
      </c>
    </row>
    <row r="82" spans="1:11" s="301" customFormat="1" ht="27" customHeight="1" thickBot="1" x14ac:dyDescent="0.3">
      <c r="A82" s="296" t="s">
        <v>49</v>
      </c>
      <c r="B82" s="297">
        <f>B29</f>
        <v>0</v>
      </c>
      <c r="C82" s="591" t="s">
        <v>50</v>
      </c>
      <c r="D82" s="592"/>
      <c r="E82" s="592"/>
      <c r="F82" s="592"/>
      <c r="G82" s="593"/>
      <c r="H82" s="299"/>
      <c r="I82" s="300"/>
      <c r="J82" s="300"/>
      <c r="K82" s="300"/>
    </row>
    <row r="83" spans="1:11" s="301" customFormat="1" ht="19.5" customHeight="1" thickBot="1" x14ac:dyDescent="0.3">
      <c r="A83" s="296" t="s">
        <v>51</v>
      </c>
      <c r="B83" s="302">
        <f>B81-B82</f>
        <v>99.44</v>
      </c>
      <c r="C83" s="303"/>
      <c r="D83" s="303"/>
      <c r="E83" s="303"/>
      <c r="F83" s="303"/>
      <c r="G83" s="304"/>
      <c r="H83" s="299"/>
      <c r="I83" s="300"/>
      <c r="J83" s="300"/>
      <c r="K83" s="300"/>
    </row>
    <row r="84" spans="1:11" s="301" customFormat="1" ht="27" customHeight="1" thickBot="1" x14ac:dyDescent="0.3">
      <c r="A84" s="296" t="s">
        <v>52</v>
      </c>
      <c r="B84" s="305">
        <v>1</v>
      </c>
      <c r="C84" s="594" t="s">
        <v>53</v>
      </c>
      <c r="D84" s="595"/>
      <c r="E84" s="595"/>
      <c r="F84" s="595"/>
      <c r="G84" s="595"/>
      <c r="H84" s="596"/>
      <c r="I84" s="300"/>
      <c r="J84" s="300"/>
      <c r="K84" s="300"/>
    </row>
    <row r="85" spans="1:11" s="301" customFormat="1" ht="27" customHeight="1" thickBot="1" x14ac:dyDescent="0.3">
      <c r="A85" s="296" t="s">
        <v>54</v>
      </c>
      <c r="B85" s="305">
        <v>1</v>
      </c>
      <c r="C85" s="594" t="s">
        <v>55</v>
      </c>
      <c r="D85" s="595"/>
      <c r="E85" s="595"/>
      <c r="F85" s="595"/>
      <c r="G85" s="595"/>
      <c r="H85" s="596"/>
      <c r="I85" s="300"/>
      <c r="J85" s="300"/>
      <c r="K85" s="300"/>
    </row>
    <row r="86" spans="1:11" s="301" customFormat="1" ht="18.75" x14ac:dyDescent="0.25">
      <c r="A86" s="296"/>
      <c r="B86" s="308"/>
      <c r="C86" s="309"/>
      <c r="D86" s="309"/>
      <c r="E86" s="309"/>
      <c r="F86" s="309"/>
      <c r="G86" s="309"/>
      <c r="H86" s="309"/>
      <c r="I86" s="300"/>
      <c r="J86" s="300"/>
      <c r="K86" s="300"/>
    </row>
    <row r="87" spans="1:11" ht="18.75" x14ac:dyDescent="0.3">
      <c r="A87" s="296" t="s">
        <v>56</v>
      </c>
      <c r="B87" s="310">
        <f>B84/B85</f>
        <v>1</v>
      </c>
      <c r="C87" s="291" t="s">
        <v>57</v>
      </c>
      <c r="H87" s="299"/>
    </row>
    <row r="88" spans="1:11" ht="19.5" customHeight="1" thickBot="1" x14ac:dyDescent="0.35">
      <c r="A88" s="296"/>
      <c r="B88" s="310"/>
      <c r="H88" s="299"/>
    </row>
    <row r="89" spans="1:11" ht="27" customHeight="1" thickBot="1" x14ac:dyDescent="0.35">
      <c r="A89" s="311" t="s">
        <v>58</v>
      </c>
      <c r="B89" s="312">
        <v>20</v>
      </c>
      <c r="D89" s="391" t="s">
        <v>59</v>
      </c>
      <c r="E89" s="392"/>
      <c r="F89" s="597" t="s">
        <v>60</v>
      </c>
      <c r="G89" s="599"/>
    </row>
    <row r="90" spans="1:11" ht="26.25" customHeight="1" x14ac:dyDescent="0.3">
      <c r="A90" s="313" t="s">
        <v>61</v>
      </c>
      <c r="B90" s="314">
        <v>1</v>
      </c>
      <c r="C90" s="315" t="s">
        <v>62</v>
      </c>
      <c r="D90" s="393" t="s">
        <v>63</v>
      </c>
      <c r="E90" s="317" t="s">
        <v>64</v>
      </c>
      <c r="F90" s="393" t="s">
        <v>63</v>
      </c>
      <c r="G90" s="318" t="s">
        <v>64</v>
      </c>
    </row>
    <row r="91" spans="1:11" ht="26.25" customHeight="1" x14ac:dyDescent="0.4">
      <c r="A91" s="313" t="s">
        <v>65</v>
      </c>
      <c r="B91" s="314">
        <v>100</v>
      </c>
      <c r="C91" s="319">
        <v>1</v>
      </c>
      <c r="D91" s="394">
        <v>0.253</v>
      </c>
      <c r="E91" s="395">
        <f>IF(ISBLANK(D91),"-",$D$101/$D$98*D91)</f>
        <v>0.28003387679386049</v>
      </c>
      <c r="F91" s="394">
        <v>0.28899999999999998</v>
      </c>
      <c r="G91" s="396">
        <f>IF(ISBLANK(F91),"-",$D$101/$F$98*F91)</f>
        <v>0.28883672637531449</v>
      </c>
    </row>
    <row r="92" spans="1:11" ht="26.25" customHeight="1" x14ac:dyDescent="0.4">
      <c r="A92" s="313" t="s">
        <v>66</v>
      </c>
      <c r="B92" s="314">
        <v>1</v>
      </c>
      <c r="C92" s="323">
        <v>2</v>
      </c>
      <c r="D92" s="397">
        <v>0.25600000000000001</v>
      </c>
      <c r="E92" s="398">
        <f>IF(ISBLANK(D92),"-",$D$101/$D$98*D92)</f>
        <v>0.28335443659774023</v>
      </c>
      <c r="F92" s="397">
        <v>0.28999999999999998</v>
      </c>
      <c r="G92" s="399">
        <f>IF(ISBLANK(F92),"-",$D$101/$F$98*F92)</f>
        <v>0.28983616141467544</v>
      </c>
    </row>
    <row r="93" spans="1:11" ht="26.25" customHeight="1" x14ac:dyDescent="0.4">
      <c r="A93" s="313" t="s">
        <v>67</v>
      </c>
      <c r="B93" s="314">
        <v>1</v>
      </c>
      <c r="C93" s="323">
        <v>3</v>
      </c>
      <c r="D93" s="397">
        <v>0.254</v>
      </c>
      <c r="E93" s="398">
        <f>IF(ISBLANK(D93),"-",$D$101/$D$98*D93)</f>
        <v>0.28114073006182039</v>
      </c>
      <c r="F93" s="397">
        <v>0.28799999999999998</v>
      </c>
      <c r="G93" s="399">
        <f>IF(ISBLANK(F93),"-",$D$101/$F$98*F93)</f>
        <v>0.28783729133595354</v>
      </c>
    </row>
    <row r="94" spans="1:11" ht="26.25" customHeight="1" x14ac:dyDescent="0.3">
      <c r="A94" s="313" t="s">
        <v>68</v>
      </c>
      <c r="B94" s="314">
        <v>1</v>
      </c>
      <c r="C94" s="328">
        <v>4</v>
      </c>
      <c r="D94" s="400"/>
      <c r="E94" s="401" t="str">
        <f>IF(ISBLANK(D94),"-",$D$101/$D$98*D94)</f>
        <v>-</v>
      </c>
      <c r="F94" s="402"/>
      <c r="G94" s="403" t="str">
        <f>IF(ISBLANK(F94),"-",$D$101/$F$98*F94)</f>
        <v>-</v>
      </c>
    </row>
    <row r="95" spans="1:11" ht="27" customHeight="1" thickBot="1" x14ac:dyDescent="0.35">
      <c r="A95" s="313" t="s">
        <v>69</v>
      </c>
      <c r="B95" s="314">
        <v>1</v>
      </c>
      <c r="C95" s="296" t="s">
        <v>70</v>
      </c>
      <c r="D95" s="332">
        <f>AVERAGE(D91:D94)</f>
        <v>0.25433333333333336</v>
      </c>
      <c r="E95" s="333">
        <f>AVERAGE(E91:E94)</f>
        <v>0.28150968115114033</v>
      </c>
      <c r="F95" s="404">
        <f>AVERAGE(F91:F94)</f>
        <v>0.28899999999999998</v>
      </c>
      <c r="G95" s="405">
        <f>AVERAGE(G91:G94)</f>
        <v>0.28883672637531449</v>
      </c>
    </row>
    <row r="96" spans="1:11" ht="26.25" customHeight="1" x14ac:dyDescent="0.3">
      <c r="A96" s="313" t="s">
        <v>71</v>
      </c>
      <c r="B96" s="314">
        <v>1</v>
      </c>
      <c r="C96" s="337" t="s">
        <v>72</v>
      </c>
      <c r="D96" s="338">
        <v>20.190000000000001</v>
      </c>
      <c r="E96" s="291"/>
      <c r="F96" s="339">
        <v>22.36</v>
      </c>
    </row>
    <row r="97" spans="1:9" ht="26.25" customHeight="1" x14ac:dyDescent="0.3">
      <c r="A97" s="313" t="s">
        <v>73</v>
      </c>
      <c r="B97" s="314">
        <v>1</v>
      </c>
      <c r="C97" s="340" t="s">
        <v>74</v>
      </c>
      <c r="D97" s="341">
        <f>D96*$B$87</f>
        <v>20.190000000000001</v>
      </c>
      <c r="E97" s="323"/>
      <c r="F97" s="342">
        <f>F96*$B$87</f>
        <v>22.36</v>
      </c>
    </row>
    <row r="98" spans="1:9" ht="19.5" customHeight="1" thickBot="1" x14ac:dyDescent="0.35">
      <c r="A98" s="383" t="s">
        <v>75</v>
      </c>
      <c r="B98" s="406">
        <f>(B97/B96)*(B95/B94)*(B93/B92)*(B91/B90)*B89</f>
        <v>2000</v>
      </c>
      <c r="C98" s="340" t="s">
        <v>76</v>
      </c>
      <c r="D98" s="344">
        <f>D97*$B$83/100</f>
        <v>20.076936</v>
      </c>
      <c r="E98" s="345"/>
      <c r="F98" s="346">
        <f>F97*$B$83/100</f>
        <v>22.234784000000001</v>
      </c>
    </row>
    <row r="99" spans="1:9" ht="19.5" customHeight="1" thickBot="1" x14ac:dyDescent="0.35">
      <c r="A99" s="600" t="s">
        <v>77</v>
      </c>
      <c r="B99" s="601"/>
      <c r="C99" s="340" t="s">
        <v>78</v>
      </c>
      <c r="D99" s="407">
        <f>D98/$B$98</f>
        <v>1.0038468E-2</v>
      </c>
      <c r="E99" s="408"/>
      <c r="F99" s="409">
        <f>F98/$B$98</f>
        <v>1.1117392E-2</v>
      </c>
      <c r="G99" s="410"/>
      <c r="H99" s="336"/>
    </row>
    <row r="100" spans="1:9" ht="19.5" customHeight="1" thickBot="1" x14ac:dyDescent="0.35">
      <c r="A100" s="602"/>
      <c r="B100" s="603"/>
      <c r="C100" s="351" t="s">
        <v>79</v>
      </c>
      <c r="D100" s="411">
        <f>$B$56/$B$116</f>
        <v>1.1111111111111112E-2</v>
      </c>
      <c r="F100" s="350"/>
      <c r="G100" s="412"/>
      <c r="H100" s="336"/>
    </row>
    <row r="101" spans="1:9" ht="18.75" x14ac:dyDescent="0.3">
      <c r="C101" s="351" t="s">
        <v>80</v>
      </c>
      <c r="D101" s="341">
        <f>D100*$B$98</f>
        <v>22.222222222222221</v>
      </c>
      <c r="F101" s="350"/>
      <c r="G101" s="410"/>
      <c r="H101" s="336"/>
    </row>
    <row r="102" spans="1:9" ht="19.5" customHeight="1" thickBot="1" x14ac:dyDescent="0.35">
      <c r="C102" s="352" t="s">
        <v>81</v>
      </c>
      <c r="D102" s="413">
        <f>D101/B34</f>
        <v>22.222222222222221</v>
      </c>
      <c r="F102" s="325"/>
      <c r="G102" s="410"/>
      <c r="H102" s="336"/>
      <c r="I102" s="414"/>
    </row>
    <row r="103" spans="1:9" ht="18.75" x14ac:dyDescent="0.3">
      <c r="C103" s="354" t="s">
        <v>110</v>
      </c>
      <c r="D103" s="355">
        <f>AVERAGE(E91:E94,G91:G94)</f>
        <v>0.28517320376322741</v>
      </c>
      <c r="F103" s="325"/>
      <c r="G103" s="412"/>
      <c r="H103" s="336"/>
      <c r="I103" s="415"/>
    </row>
    <row r="104" spans="1:9" ht="18.75" x14ac:dyDescent="0.3">
      <c r="C104" s="356" t="s">
        <v>83</v>
      </c>
      <c r="D104" s="416">
        <f>STDEV(E91:E94,G91:G94)/D103</f>
        <v>1.4731512436317961E-2</v>
      </c>
      <c r="F104" s="325"/>
      <c r="G104" s="410"/>
      <c r="H104" s="336"/>
      <c r="I104" s="415"/>
    </row>
    <row r="105" spans="1:9" ht="19.5" customHeight="1" thickBot="1" x14ac:dyDescent="0.35">
      <c r="C105" s="358" t="s">
        <v>20</v>
      </c>
      <c r="D105" s="417">
        <f>COUNT(E91:E94,G91:G94)</f>
        <v>6</v>
      </c>
      <c r="F105" s="325"/>
      <c r="G105" s="410"/>
      <c r="H105" s="336"/>
      <c r="I105" s="415"/>
    </row>
    <row r="106" spans="1:9" ht="19.5" customHeight="1" thickBot="1" x14ac:dyDescent="0.35">
      <c r="A106" s="360"/>
      <c r="B106" s="360"/>
      <c r="C106" s="360"/>
      <c r="D106" s="360"/>
      <c r="E106" s="360"/>
    </row>
    <row r="107" spans="1:9" ht="26.25" customHeight="1" x14ac:dyDescent="0.3">
      <c r="A107" s="311" t="s">
        <v>111</v>
      </c>
      <c r="B107" s="312">
        <v>900</v>
      </c>
      <c r="C107" s="391" t="s">
        <v>112</v>
      </c>
      <c r="D107" s="418" t="s">
        <v>63</v>
      </c>
      <c r="E107" s="419" t="s">
        <v>113</v>
      </c>
      <c r="F107" s="420" t="s">
        <v>114</v>
      </c>
    </row>
    <row r="108" spans="1:9" ht="26.25" customHeight="1" x14ac:dyDescent="0.4">
      <c r="A108" s="313" t="s">
        <v>92</v>
      </c>
      <c r="B108" s="314">
        <v>5</v>
      </c>
      <c r="C108" s="421">
        <v>1</v>
      </c>
      <c r="D108" s="422">
        <v>0.21099999999999999</v>
      </c>
      <c r="E108" s="423">
        <f t="shared" ref="E108:E113" si="1">IF(ISBLANK(D108),"-",D108/$D$103*$D$100*$B$116)</f>
        <v>73.990121517584214</v>
      </c>
      <c r="F108" s="907">
        <f t="shared" ref="F108:F113" si="2">IF(ISBLANK(D108), "-", E108/$B$56)</f>
        <v>0.73990121517584218</v>
      </c>
    </row>
    <row r="109" spans="1:9" ht="26.25" customHeight="1" x14ac:dyDescent="0.4">
      <c r="A109" s="313" t="s">
        <v>94</v>
      </c>
      <c r="B109" s="314">
        <v>50</v>
      </c>
      <c r="C109" s="421">
        <v>2</v>
      </c>
      <c r="D109" s="422">
        <v>0.20799999999999999</v>
      </c>
      <c r="E109" s="424">
        <f t="shared" si="1"/>
        <v>72.938129268519035</v>
      </c>
      <c r="F109" s="907">
        <f t="shared" si="2"/>
        <v>0.72938129268519036</v>
      </c>
    </row>
    <row r="110" spans="1:9" ht="26.25" customHeight="1" x14ac:dyDescent="0.4">
      <c r="A110" s="313" t="s">
        <v>95</v>
      </c>
      <c r="B110" s="314">
        <v>1</v>
      </c>
      <c r="C110" s="421">
        <v>3</v>
      </c>
      <c r="D110" s="422">
        <v>0.21299999999999999</v>
      </c>
      <c r="E110" s="424">
        <f t="shared" si="1"/>
        <v>74.691449683627667</v>
      </c>
      <c r="F110" s="907">
        <f t="shared" si="2"/>
        <v>0.74691449683627664</v>
      </c>
    </row>
    <row r="111" spans="1:9" ht="26.25" customHeight="1" x14ac:dyDescent="0.4">
      <c r="A111" s="313" t="s">
        <v>96</v>
      </c>
      <c r="B111" s="314">
        <v>1</v>
      </c>
      <c r="C111" s="421">
        <v>4</v>
      </c>
      <c r="D111" s="422">
        <v>0.21199999999999999</v>
      </c>
      <c r="E111" s="424">
        <f t="shared" si="1"/>
        <v>74.34078560060594</v>
      </c>
      <c r="F111" s="907">
        <f t="shared" si="2"/>
        <v>0.74340785600605941</v>
      </c>
    </row>
    <row r="112" spans="1:9" ht="26.25" customHeight="1" x14ac:dyDescent="0.4">
      <c r="A112" s="313" t="s">
        <v>97</v>
      </c>
      <c r="B112" s="314">
        <v>1</v>
      </c>
      <c r="C112" s="421">
        <v>5</v>
      </c>
      <c r="D112" s="422">
        <v>0.2</v>
      </c>
      <c r="E112" s="424">
        <f t="shared" si="1"/>
        <v>70.132816604345237</v>
      </c>
      <c r="F112" s="907">
        <f t="shared" si="2"/>
        <v>0.70132816604345238</v>
      </c>
    </row>
    <row r="113" spans="1:11" ht="26.25" customHeight="1" x14ac:dyDescent="0.4">
      <c r="A113" s="313" t="s">
        <v>99</v>
      </c>
      <c r="B113" s="314">
        <v>1</v>
      </c>
      <c r="C113" s="425">
        <v>6</v>
      </c>
      <c r="D113" s="426">
        <v>0.20399999999999999</v>
      </c>
      <c r="E113" s="427">
        <f t="shared" si="1"/>
        <v>71.535472936432129</v>
      </c>
      <c r="F113" s="907">
        <f t="shared" si="2"/>
        <v>0.71535472936432132</v>
      </c>
    </row>
    <row r="114" spans="1:11" ht="26.25" customHeight="1" x14ac:dyDescent="0.3">
      <c r="A114" s="313" t="s">
        <v>100</v>
      </c>
      <c r="B114" s="314">
        <v>1</v>
      </c>
      <c r="C114" s="421"/>
      <c r="D114" s="323"/>
      <c r="E114" s="291"/>
      <c r="F114" s="428"/>
    </row>
    <row r="115" spans="1:11" ht="26.25" customHeight="1" x14ac:dyDescent="0.3">
      <c r="A115" s="313" t="s">
        <v>101</v>
      </c>
      <c r="B115" s="314">
        <v>1</v>
      </c>
      <c r="C115" s="421"/>
      <c r="D115" s="429"/>
      <c r="E115" s="430" t="s">
        <v>70</v>
      </c>
      <c r="F115" s="431">
        <f>AVERAGE(F108:F113)</f>
        <v>0.72938129268519036</v>
      </c>
    </row>
    <row r="116" spans="1:11" ht="27" customHeight="1" thickBot="1" x14ac:dyDescent="0.35">
      <c r="A116" s="313" t="s">
        <v>102</v>
      </c>
      <c r="B116" s="343">
        <f>(B115/B114)*(B113/B112)*(B111/B110)*(B109/B108)*B107</f>
        <v>9000</v>
      </c>
      <c r="C116" s="432"/>
      <c r="D116" s="433"/>
      <c r="E116" s="296" t="s">
        <v>83</v>
      </c>
      <c r="F116" s="434">
        <f>STDEV(F108:F113)/F115</f>
        <v>2.451451689227295E-2</v>
      </c>
    </row>
    <row r="117" spans="1:11" ht="19.5" customHeight="1" thickBot="1" x14ac:dyDescent="0.35">
      <c r="A117" s="600" t="s">
        <v>77</v>
      </c>
      <c r="B117" s="601"/>
      <c r="C117" s="435"/>
      <c r="D117" s="436"/>
      <c r="E117" s="437" t="s">
        <v>20</v>
      </c>
      <c r="F117" s="438">
        <f>COUNT(F108:F113)</f>
        <v>6</v>
      </c>
      <c r="I117" s="415"/>
    </row>
    <row r="118" spans="1:11" ht="19.5" customHeight="1" thickBot="1" x14ac:dyDescent="0.35">
      <c r="A118" s="602"/>
      <c r="B118" s="603"/>
      <c r="C118" s="291"/>
      <c r="D118" s="291"/>
      <c r="E118" s="291"/>
      <c r="F118" s="323"/>
      <c r="G118" s="291"/>
      <c r="H118" s="291"/>
    </row>
    <row r="119" spans="1:11" ht="18.75" x14ac:dyDescent="0.3">
      <c r="A119" s="309"/>
      <c r="B119" s="309"/>
      <c r="C119" s="291"/>
      <c r="D119" s="291"/>
      <c r="E119" s="291"/>
      <c r="F119" s="323"/>
      <c r="G119" s="291"/>
      <c r="H119" s="291"/>
    </row>
    <row r="120" spans="1:11" ht="18.75" x14ac:dyDescent="0.3">
      <c r="A120" s="439" t="s">
        <v>115</v>
      </c>
      <c r="B120" s="439" t="s">
        <v>116</v>
      </c>
      <c r="C120" s="327"/>
      <c r="D120" s="327"/>
      <c r="E120" s="327"/>
      <c r="F120" s="327"/>
      <c r="G120" s="327"/>
      <c r="H120" s="327"/>
    </row>
    <row r="121" spans="1:11" ht="18.75" x14ac:dyDescent="0.3">
      <c r="A121" s="439"/>
      <c r="B121" s="439"/>
      <c r="C121" s="327"/>
      <c r="D121" s="327"/>
      <c r="E121" s="327"/>
      <c r="F121" s="327"/>
      <c r="G121" s="327"/>
      <c r="H121" s="327"/>
    </row>
    <row r="122" spans="1:11" ht="18.75" x14ac:dyDescent="0.3">
      <c r="A122" s="440" t="s">
        <v>4</v>
      </c>
      <c r="B122" s="441" t="s">
        <v>136</v>
      </c>
      <c r="C122" s="327"/>
      <c r="D122" s="327"/>
      <c r="E122" s="327"/>
      <c r="F122" s="327"/>
      <c r="G122" s="327"/>
      <c r="H122" s="327"/>
    </row>
    <row r="123" spans="1:11" ht="18.75" x14ac:dyDescent="0.3">
      <c r="A123" s="442" t="s">
        <v>48</v>
      </c>
      <c r="B123" s="441" t="s">
        <v>137</v>
      </c>
      <c r="C123" s="327"/>
      <c r="D123" s="327"/>
      <c r="E123" s="327"/>
      <c r="F123" s="327"/>
      <c r="G123" s="327"/>
      <c r="H123" s="327"/>
    </row>
    <row r="124" spans="1:11" ht="19.5" customHeight="1" thickBot="1" x14ac:dyDescent="0.35">
      <c r="A124" s="442" t="s">
        <v>6</v>
      </c>
      <c r="B124" s="297">
        <v>99.44</v>
      </c>
      <c r="C124" s="327"/>
      <c r="D124" s="327"/>
      <c r="E124" s="327"/>
      <c r="F124" s="327"/>
      <c r="G124" s="327"/>
      <c r="H124" s="327"/>
    </row>
    <row r="125" spans="1:11" s="301" customFormat="1" ht="15.75" customHeight="1" thickBot="1" x14ac:dyDescent="0.35">
      <c r="A125" s="442" t="s">
        <v>49</v>
      </c>
      <c r="B125" s="297">
        <f>B72</f>
        <v>0</v>
      </c>
      <c r="C125" s="591" t="s">
        <v>117</v>
      </c>
      <c r="D125" s="592"/>
      <c r="E125" s="592"/>
      <c r="F125" s="592"/>
      <c r="G125" s="593"/>
      <c r="I125" s="300"/>
      <c r="J125" s="300"/>
      <c r="K125" s="300"/>
    </row>
    <row r="126" spans="1:11" s="301" customFormat="1" ht="19.5" customHeight="1" thickBot="1" x14ac:dyDescent="0.35">
      <c r="A126" s="442" t="s">
        <v>51</v>
      </c>
      <c r="B126" s="443">
        <f>B124-B125</f>
        <v>99.44</v>
      </c>
      <c r="C126" s="444"/>
      <c r="D126" s="444"/>
      <c r="E126" s="444"/>
      <c r="F126" s="444"/>
      <c r="G126" s="445"/>
      <c r="I126" s="300"/>
      <c r="J126" s="300"/>
      <c r="K126" s="300"/>
    </row>
    <row r="127" spans="1:11" s="301" customFormat="1" ht="27" customHeight="1" thickBot="1" x14ac:dyDescent="0.3">
      <c r="A127" s="296" t="s">
        <v>52</v>
      </c>
      <c r="B127" s="305">
        <v>1</v>
      </c>
      <c r="C127" s="594" t="s">
        <v>53</v>
      </c>
      <c r="D127" s="595"/>
      <c r="E127" s="595"/>
      <c r="F127" s="595"/>
      <c r="G127" s="595"/>
      <c r="H127" s="596"/>
      <c r="I127" s="300"/>
      <c r="J127" s="300"/>
      <c r="K127" s="300"/>
    </row>
    <row r="128" spans="1:11" s="301" customFormat="1" ht="27" customHeight="1" thickBot="1" x14ac:dyDescent="0.3">
      <c r="A128" s="296" t="s">
        <v>54</v>
      </c>
      <c r="B128" s="305">
        <v>1</v>
      </c>
      <c r="C128" s="594" t="s">
        <v>55</v>
      </c>
      <c r="D128" s="595"/>
      <c r="E128" s="595"/>
      <c r="F128" s="595"/>
      <c r="G128" s="595"/>
      <c r="H128" s="596"/>
      <c r="I128" s="300"/>
      <c r="J128" s="300"/>
      <c r="K128" s="300"/>
    </row>
    <row r="129" spans="1:11" s="301" customFormat="1" ht="18.75" x14ac:dyDescent="0.25">
      <c r="A129" s="296"/>
      <c r="B129" s="308"/>
      <c r="C129" s="309"/>
      <c r="D129" s="309"/>
      <c r="E129" s="309"/>
      <c r="F129" s="309"/>
      <c r="G129" s="309"/>
      <c r="H129" s="309"/>
      <c r="I129" s="300"/>
      <c r="J129" s="300"/>
      <c r="K129" s="300"/>
    </row>
    <row r="130" spans="1:11" ht="18.75" x14ac:dyDescent="0.3">
      <c r="A130" s="296" t="s">
        <v>56</v>
      </c>
      <c r="B130" s="310">
        <f>B127/B128</f>
        <v>1</v>
      </c>
      <c r="C130" s="291" t="s">
        <v>57</v>
      </c>
      <c r="H130" s="299"/>
    </row>
    <row r="131" spans="1:11" ht="19.5" customHeight="1" thickBot="1" x14ac:dyDescent="0.35">
      <c r="A131" s="439"/>
      <c r="B131" s="439"/>
      <c r="C131" s="327"/>
      <c r="D131" s="327"/>
      <c r="E131" s="327"/>
      <c r="F131" s="327"/>
      <c r="G131" s="327"/>
      <c r="H131" s="327"/>
    </row>
    <row r="132" spans="1:11" ht="27" customHeight="1" thickBot="1" x14ac:dyDescent="0.35">
      <c r="A132" s="446" t="s">
        <v>58</v>
      </c>
      <c r="B132" s="447">
        <v>20</v>
      </c>
      <c r="C132" s="327"/>
      <c r="D132" s="605" t="s">
        <v>59</v>
      </c>
      <c r="E132" s="606"/>
      <c r="F132" s="605" t="s">
        <v>60</v>
      </c>
      <c r="G132" s="606"/>
      <c r="H132" s="327"/>
    </row>
    <row r="133" spans="1:11" ht="26.25" customHeight="1" x14ac:dyDescent="0.3">
      <c r="A133" s="448" t="s">
        <v>61</v>
      </c>
      <c r="B133" s="449">
        <v>1</v>
      </c>
      <c r="C133" s="450" t="s">
        <v>118</v>
      </c>
      <c r="D133" s="451" t="s">
        <v>63</v>
      </c>
      <c r="E133" s="452" t="s">
        <v>64</v>
      </c>
      <c r="F133" s="451" t="s">
        <v>63</v>
      </c>
      <c r="G133" s="452" t="s">
        <v>64</v>
      </c>
      <c r="H133" s="327"/>
    </row>
    <row r="134" spans="1:11" ht="26.25" customHeight="1" x14ac:dyDescent="0.3">
      <c r="A134" s="448" t="s">
        <v>65</v>
      </c>
      <c r="B134" s="449">
        <v>100</v>
      </c>
      <c r="C134" s="453">
        <v>1</v>
      </c>
      <c r="D134" s="454">
        <v>0.27</v>
      </c>
      <c r="E134" s="455">
        <f>IF(ISBLANK(D134),"-",$D$144/$D$141*D134)</f>
        <v>0.31360650829677383</v>
      </c>
      <c r="F134" s="454">
        <v>0.28799999999999998</v>
      </c>
      <c r="G134" s="455">
        <f>IF(ISBLANK(F134),"-",$D$144/$F$141*F134)</f>
        <v>0.30809199781100632</v>
      </c>
      <c r="H134" s="327"/>
    </row>
    <row r="135" spans="1:11" ht="26.25" customHeight="1" x14ac:dyDescent="0.3">
      <c r="A135" s="448" t="s">
        <v>66</v>
      </c>
      <c r="B135" s="449">
        <v>1</v>
      </c>
      <c r="C135" s="456">
        <v>2</v>
      </c>
      <c r="D135" s="454">
        <v>0.27200000000000002</v>
      </c>
      <c r="E135" s="457">
        <f>IF(ISBLANK(D135),"-",$D$144/$D$141*D135)</f>
        <v>0.31592951946934256</v>
      </c>
      <c r="F135" s="454">
        <v>0.28899999999999998</v>
      </c>
      <c r="G135" s="457">
        <f>IF(ISBLANK(F135),"-",$D$144/$F$141*F135)</f>
        <v>0.30916176169229453</v>
      </c>
      <c r="H135" s="327"/>
    </row>
    <row r="136" spans="1:11" ht="26.25" customHeight="1" x14ac:dyDescent="0.3">
      <c r="A136" s="448" t="s">
        <v>67</v>
      </c>
      <c r="B136" s="449">
        <v>1</v>
      </c>
      <c r="C136" s="456">
        <v>3</v>
      </c>
      <c r="D136" s="454">
        <v>0.26900000000000002</v>
      </c>
      <c r="E136" s="457">
        <f>IF(ISBLANK(D136),"-",$D$144/$D$141*D136)</f>
        <v>0.31244500271048953</v>
      </c>
      <c r="F136" s="454">
        <v>0.28699999999999998</v>
      </c>
      <c r="G136" s="457">
        <f>IF(ISBLANK(F136),"-",$D$144/$F$141*F136)</f>
        <v>0.30702223392971811</v>
      </c>
      <c r="H136" s="327"/>
    </row>
    <row r="137" spans="1:11" ht="26.25" customHeight="1" x14ac:dyDescent="0.3">
      <c r="A137" s="448" t="s">
        <v>68</v>
      </c>
      <c r="B137" s="449">
        <v>1</v>
      </c>
      <c r="C137" s="458">
        <v>4</v>
      </c>
      <c r="D137" s="400"/>
      <c r="E137" s="459" t="str">
        <f>IF(ISBLANK(D137),"-",$D$144/$D$141*D137)</f>
        <v>-</v>
      </c>
      <c r="F137" s="400"/>
      <c r="G137" s="459" t="str">
        <f>IF(ISBLANK(F137),"-",$D$144/$D$141*F137)</f>
        <v>-</v>
      </c>
      <c r="H137" s="327"/>
    </row>
    <row r="138" spans="1:11" ht="27" customHeight="1" thickBot="1" x14ac:dyDescent="0.35">
      <c r="A138" s="448" t="s">
        <v>69</v>
      </c>
      <c r="B138" s="449">
        <v>1</v>
      </c>
      <c r="C138" s="442" t="s">
        <v>70</v>
      </c>
      <c r="D138" s="460">
        <f>AVERAGE(D134:D137)</f>
        <v>0.27033333333333337</v>
      </c>
      <c r="E138" s="461">
        <f>AVERAGE(E134:E137)</f>
        <v>0.31399367682553531</v>
      </c>
      <c r="F138" s="460">
        <f>AVERAGE(F134:F137)</f>
        <v>0.28799999999999998</v>
      </c>
      <c r="G138" s="462">
        <f>AVERAGE(G134:G137)</f>
        <v>0.30809199781100632</v>
      </c>
      <c r="H138" s="327"/>
    </row>
    <row r="139" spans="1:11" ht="26.25" customHeight="1" x14ac:dyDescent="0.3">
      <c r="A139" s="448" t="s">
        <v>71</v>
      </c>
      <c r="B139" s="449">
        <v>1</v>
      </c>
      <c r="C139" s="463" t="s">
        <v>119</v>
      </c>
      <c r="D139" s="314">
        <v>19.239999999999998</v>
      </c>
      <c r="E139" s="327"/>
      <c r="F139" s="464">
        <v>20.89</v>
      </c>
      <c r="G139" s="327"/>
      <c r="H139" s="327"/>
    </row>
    <row r="140" spans="1:11" ht="26.25" customHeight="1" x14ac:dyDescent="0.3">
      <c r="A140" s="448" t="s">
        <v>73</v>
      </c>
      <c r="B140" s="449">
        <v>1</v>
      </c>
      <c r="C140" s="465" t="s">
        <v>120</v>
      </c>
      <c r="D140" s="466">
        <f>D139*B130</f>
        <v>19.239999999999998</v>
      </c>
      <c r="E140" s="456"/>
      <c r="F140" s="467">
        <f>F139*B130</f>
        <v>20.89</v>
      </c>
      <c r="G140" s="327"/>
      <c r="H140" s="327"/>
    </row>
    <row r="141" spans="1:11" ht="19.5" customHeight="1" thickBot="1" x14ac:dyDescent="0.35">
      <c r="A141" s="448" t="s">
        <v>75</v>
      </c>
      <c r="B141" s="468">
        <f>(B140/B139)*(B138/B137)*(B136/B135)*(B134/B133)*B132</f>
        <v>2000</v>
      </c>
      <c r="C141" s="465" t="s">
        <v>121</v>
      </c>
      <c r="D141" s="469">
        <f>D140*B126/100</f>
        <v>19.132255999999998</v>
      </c>
      <c r="E141" s="470"/>
      <c r="F141" s="471">
        <f>F140*B126/100</f>
        <v>20.773016000000002</v>
      </c>
      <c r="G141" s="327"/>
      <c r="H141" s="327"/>
    </row>
    <row r="142" spans="1:11" ht="19.5" customHeight="1" thickBot="1" x14ac:dyDescent="0.35">
      <c r="A142" s="600" t="s">
        <v>77</v>
      </c>
      <c r="B142" s="607"/>
      <c r="C142" s="465" t="s">
        <v>122</v>
      </c>
      <c r="D142" s="466">
        <f>D141/$B$141</f>
        <v>9.5661279999999984E-3</v>
      </c>
      <c r="E142" s="470"/>
      <c r="F142" s="472">
        <f>F141/$B$141</f>
        <v>1.0386508000000001E-2</v>
      </c>
      <c r="G142" s="301"/>
      <c r="H142" s="473"/>
    </row>
    <row r="143" spans="1:11" ht="19.5" customHeight="1" thickBot="1" x14ac:dyDescent="0.35">
      <c r="A143" s="602"/>
      <c r="B143" s="608"/>
      <c r="C143" s="465" t="s">
        <v>79</v>
      </c>
      <c r="D143" s="469">
        <f>$B$56/$B$159</f>
        <v>1.1111111111111112E-2</v>
      </c>
      <c r="E143" s="327"/>
      <c r="F143" s="474"/>
      <c r="G143" s="475"/>
      <c r="H143" s="473"/>
    </row>
    <row r="144" spans="1:11" ht="18.75" x14ac:dyDescent="0.3">
      <c r="A144" s="327"/>
      <c r="B144" s="327"/>
      <c r="C144" s="465" t="s">
        <v>80</v>
      </c>
      <c r="D144" s="466">
        <f>D143*$B$141</f>
        <v>22.222222222222221</v>
      </c>
      <c r="E144" s="327"/>
      <c r="F144" s="474"/>
      <c r="G144" s="301"/>
      <c r="H144" s="473"/>
    </row>
    <row r="145" spans="1:9" ht="19.5" customHeight="1" thickBot="1" x14ac:dyDescent="0.35">
      <c r="A145" s="327"/>
      <c r="B145" s="327"/>
      <c r="C145" s="476" t="s">
        <v>81</v>
      </c>
      <c r="D145" s="477">
        <f>D144/B130</f>
        <v>22.222222222222221</v>
      </c>
      <c r="E145" s="327"/>
      <c r="F145" s="478"/>
      <c r="G145" s="301"/>
      <c r="H145" s="473"/>
      <c r="I145" s="414"/>
    </row>
    <row r="146" spans="1:9" ht="18.75" x14ac:dyDescent="0.3">
      <c r="A146" s="327"/>
      <c r="B146" s="327"/>
      <c r="C146" s="479" t="s">
        <v>110</v>
      </c>
      <c r="D146" s="480">
        <f>AVERAGE(E134:E137,G134:G137)</f>
        <v>0.31104283731827082</v>
      </c>
      <c r="E146" s="327"/>
      <c r="F146" s="478"/>
      <c r="G146" s="475"/>
      <c r="H146" s="473"/>
      <c r="I146" s="415"/>
    </row>
    <row r="147" spans="1:9" ht="18.75" x14ac:dyDescent="0.3">
      <c r="A147" s="327"/>
      <c r="B147" s="327"/>
      <c r="C147" s="481" t="s">
        <v>83</v>
      </c>
      <c r="D147" s="482">
        <f>STDEV(E134:E137,G134:G137)/D146</f>
        <v>1.1213757671227767E-2</v>
      </c>
      <c r="E147" s="327"/>
      <c r="F147" s="478"/>
      <c r="G147" s="301"/>
      <c r="H147" s="473"/>
      <c r="I147" s="415"/>
    </row>
    <row r="148" spans="1:9" ht="19.5" customHeight="1" thickBot="1" x14ac:dyDescent="0.35">
      <c r="A148" s="327"/>
      <c r="B148" s="327"/>
      <c r="C148" s="483" t="s">
        <v>20</v>
      </c>
      <c r="D148" s="484">
        <f>COUNT(E134:E137,G134:G137)</f>
        <v>6</v>
      </c>
      <c r="E148" s="327"/>
      <c r="F148" s="478"/>
      <c r="G148" s="301"/>
      <c r="H148" s="473"/>
      <c r="I148" s="415"/>
    </row>
    <row r="149" spans="1:9" ht="19.5" customHeight="1" thickBot="1" x14ac:dyDescent="0.35">
      <c r="A149" s="485"/>
      <c r="B149" s="485"/>
      <c r="C149" s="485"/>
      <c r="D149" s="485"/>
      <c r="E149" s="485"/>
      <c r="F149" s="327"/>
      <c r="G149" s="327"/>
      <c r="H149" s="327"/>
    </row>
    <row r="150" spans="1:9" ht="17.25" customHeight="1" x14ac:dyDescent="0.3">
      <c r="A150" s="446" t="s">
        <v>111</v>
      </c>
      <c r="B150" s="447">
        <v>900</v>
      </c>
      <c r="C150" s="486" t="s">
        <v>112</v>
      </c>
      <c r="D150" s="487" t="s">
        <v>63</v>
      </c>
      <c r="E150" s="488" t="s">
        <v>113</v>
      </c>
      <c r="F150" s="489" t="s">
        <v>114</v>
      </c>
      <c r="G150" s="327"/>
      <c r="H150" s="327"/>
    </row>
    <row r="151" spans="1:9" ht="26.25" customHeight="1" x14ac:dyDescent="0.3">
      <c r="A151" s="448" t="s">
        <v>92</v>
      </c>
      <c r="B151" s="449">
        <v>5</v>
      </c>
      <c r="C151" s="490">
        <v>1</v>
      </c>
      <c r="D151" s="491">
        <v>0.20100000000000001</v>
      </c>
      <c r="E151" s="492">
        <f t="shared" ref="E151:E156" si="3">IF(ISBLANK(D151),"-",D151/$D$146*$D$143*$B$159)</f>
        <v>64.621324102161921</v>
      </c>
      <c r="F151" s="908">
        <f t="shared" ref="F151:F156" si="4">IF(ISBLANK(D151), "-", E151/$B$56)</f>
        <v>0.64621324102161926</v>
      </c>
      <c r="G151" s="327"/>
      <c r="H151" s="327"/>
    </row>
    <row r="152" spans="1:9" ht="26.25" customHeight="1" x14ac:dyDescent="0.3">
      <c r="A152" s="448" t="s">
        <v>94</v>
      </c>
      <c r="B152" s="449">
        <v>50</v>
      </c>
      <c r="C152" s="490">
        <v>2</v>
      </c>
      <c r="D152" s="493">
        <v>0.19500000000000001</v>
      </c>
      <c r="E152" s="494">
        <f t="shared" si="3"/>
        <v>62.69232935284365</v>
      </c>
      <c r="F152" s="908">
        <f t="shared" si="4"/>
        <v>0.62692329352843645</v>
      </c>
      <c r="G152" s="327"/>
      <c r="H152" s="327"/>
    </row>
    <row r="153" spans="1:9" ht="26.25" customHeight="1" x14ac:dyDescent="0.3">
      <c r="A153" s="448" t="s">
        <v>95</v>
      </c>
      <c r="B153" s="449">
        <v>1</v>
      </c>
      <c r="C153" s="490">
        <v>3</v>
      </c>
      <c r="D153" s="493">
        <v>0.19800000000000001</v>
      </c>
      <c r="E153" s="494">
        <f t="shared" si="3"/>
        <v>63.656826727502782</v>
      </c>
      <c r="F153" s="908">
        <f t="shared" si="4"/>
        <v>0.6365682672750278</v>
      </c>
      <c r="G153" s="327"/>
      <c r="H153" s="327"/>
    </row>
    <row r="154" spans="1:9" ht="26.25" customHeight="1" x14ac:dyDescent="0.3">
      <c r="A154" s="448" t="s">
        <v>96</v>
      </c>
      <c r="B154" s="449">
        <v>1</v>
      </c>
      <c r="C154" s="490">
        <v>4</v>
      </c>
      <c r="D154" s="493">
        <v>0.20300000000000001</v>
      </c>
      <c r="E154" s="494">
        <f t="shared" si="3"/>
        <v>65.264322351934666</v>
      </c>
      <c r="F154" s="908">
        <f t="shared" si="4"/>
        <v>0.65264322351934667</v>
      </c>
      <c r="G154" s="327"/>
      <c r="H154" s="327"/>
    </row>
    <row r="155" spans="1:9" ht="26.25" customHeight="1" x14ac:dyDescent="0.3">
      <c r="A155" s="448" t="s">
        <v>97</v>
      </c>
      <c r="B155" s="449">
        <v>1</v>
      </c>
      <c r="C155" s="490">
        <v>5</v>
      </c>
      <c r="D155" s="493">
        <v>0.19600000000000001</v>
      </c>
      <c r="E155" s="494">
        <f t="shared" si="3"/>
        <v>63.01382847773003</v>
      </c>
      <c r="F155" s="908">
        <f t="shared" si="4"/>
        <v>0.63013828477730027</v>
      </c>
      <c r="G155" s="327"/>
      <c r="H155" s="327"/>
    </row>
    <row r="156" spans="1:9" ht="26.25" customHeight="1" x14ac:dyDescent="0.3">
      <c r="A156" s="448" t="s">
        <v>99</v>
      </c>
      <c r="B156" s="449">
        <v>1</v>
      </c>
      <c r="C156" s="495">
        <v>6</v>
      </c>
      <c r="D156" s="496">
        <v>0.19700000000000001</v>
      </c>
      <c r="E156" s="497">
        <f t="shared" si="3"/>
        <v>63.335327602616402</v>
      </c>
      <c r="F156" s="908">
        <f t="shared" si="4"/>
        <v>0.63335327602616398</v>
      </c>
      <c r="G156" s="327"/>
      <c r="H156" s="327"/>
    </row>
    <row r="157" spans="1:9" ht="26.25" customHeight="1" x14ac:dyDescent="0.3">
      <c r="A157" s="448" t="s">
        <v>100</v>
      </c>
      <c r="B157" s="449">
        <v>1</v>
      </c>
      <c r="C157" s="490"/>
      <c r="D157" s="456"/>
      <c r="E157" s="327"/>
      <c r="F157" s="498"/>
      <c r="G157" s="327"/>
      <c r="H157" s="327"/>
    </row>
    <row r="158" spans="1:9" ht="26.25" customHeight="1" x14ac:dyDescent="0.4">
      <c r="A158" s="448" t="s">
        <v>101</v>
      </c>
      <c r="B158" s="449">
        <v>1</v>
      </c>
      <c r="C158" s="490"/>
      <c r="D158" s="499"/>
      <c r="E158" s="500" t="s">
        <v>70</v>
      </c>
      <c r="F158" s="501">
        <f>AVERAGE(F151:F156)</f>
        <v>0.63763993102464911</v>
      </c>
      <c r="G158" s="327"/>
      <c r="H158" s="327"/>
    </row>
    <row r="159" spans="1:9" ht="27" customHeight="1" thickBot="1" x14ac:dyDescent="0.45">
      <c r="A159" s="448" t="s">
        <v>102</v>
      </c>
      <c r="B159" s="468">
        <f>(B158/B157)*(B156/B155)*(B154/B153)*(B152/B151)*B150</f>
        <v>9000</v>
      </c>
      <c r="C159" s="502"/>
      <c r="D159" s="327"/>
      <c r="E159" s="503" t="s">
        <v>83</v>
      </c>
      <c r="F159" s="504">
        <f>STDEV(F151:F156)/F158</f>
        <v>1.551325144096047E-2</v>
      </c>
      <c r="G159" s="327"/>
      <c r="H159" s="327"/>
    </row>
    <row r="160" spans="1:9" ht="27" customHeight="1" thickBot="1" x14ac:dyDescent="0.45">
      <c r="A160" s="600" t="s">
        <v>77</v>
      </c>
      <c r="B160" s="601"/>
      <c r="C160" s="505"/>
      <c r="D160" s="506"/>
      <c r="E160" s="507" t="s">
        <v>20</v>
      </c>
      <c r="F160" s="508">
        <f>COUNT(F151:F156)</f>
        <v>6</v>
      </c>
      <c r="G160" s="327"/>
      <c r="H160" s="327"/>
      <c r="I160" s="415"/>
    </row>
    <row r="161" spans="1:8" ht="19.5" customHeight="1" thickBot="1" x14ac:dyDescent="0.35">
      <c r="A161" s="602"/>
      <c r="B161" s="603"/>
      <c r="C161" s="327"/>
      <c r="D161" s="327"/>
      <c r="E161" s="327"/>
      <c r="F161" s="456"/>
      <c r="G161" s="327"/>
      <c r="H161" s="327"/>
    </row>
    <row r="162" spans="1:8" ht="18.75" x14ac:dyDescent="0.3">
      <c r="A162" s="309"/>
      <c r="B162" s="309"/>
      <c r="C162" s="327"/>
      <c r="D162" s="327"/>
      <c r="E162" s="327"/>
      <c r="F162" s="456"/>
      <c r="G162" s="327"/>
      <c r="H162" s="327"/>
    </row>
    <row r="163" spans="1:8" ht="18.75" x14ac:dyDescent="0.3">
      <c r="A163" s="439" t="s">
        <v>115</v>
      </c>
      <c r="B163" s="294" t="s">
        <v>123</v>
      </c>
      <c r="C163" s="327"/>
      <c r="D163" s="327"/>
      <c r="E163" s="327"/>
      <c r="F163" s="456"/>
      <c r="G163" s="327"/>
      <c r="H163" s="327"/>
    </row>
    <row r="164" spans="1:8" ht="19.5" customHeight="1" thickBot="1" x14ac:dyDescent="0.35">
      <c r="A164" s="309"/>
      <c r="B164" s="309"/>
      <c r="C164" s="327"/>
      <c r="D164" s="327"/>
      <c r="E164" s="327"/>
      <c r="F164" s="456"/>
      <c r="G164" s="327"/>
      <c r="H164" s="327"/>
    </row>
    <row r="165" spans="1:8" ht="26.25" customHeight="1" x14ac:dyDescent="0.4">
      <c r="A165" s="509" t="s">
        <v>70</v>
      </c>
      <c r="B165" s="510">
        <f>AVERAGE(F108:F113,F151:F156)</f>
        <v>0.68351061185491968</v>
      </c>
      <c r="C165" s="327"/>
      <c r="D165" s="327"/>
      <c r="E165" s="327"/>
      <c r="F165" s="456"/>
      <c r="G165" s="327"/>
      <c r="H165" s="327"/>
    </row>
    <row r="166" spans="1:8" ht="26.25" customHeight="1" x14ac:dyDescent="0.4">
      <c r="A166" s="448" t="s">
        <v>83</v>
      </c>
      <c r="B166" s="511">
        <f>STDEV(F108:F113,F151:F156)/B165</f>
        <v>7.2934938582166639E-2</v>
      </c>
      <c r="C166" s="327"/>
      <c r="D166" s="327"/>
      <c r="E166" s="327"/>
      <c r="F166" s="456"/>
      <c r="G166" s="327"/>
      <c r="H166" s="327"/>
    </row>
    <row r="167" spans="1:8" ht="27" customHeight="1" thickBot="1" x14ac:dyDescent="0.45">
      <c r="A167" s="512" t="s">
        <v>20</v>
      </c>
      <c r="B167" s="513">
        <f>COUNT(F108:F113,F151:F156)</f>
        <v>12</v>
      </c>
      <c r="C167" s="327"/>
      <c r="D167" s="327"/>
      <c r="E167" s="327"/>
      <c r="F167" s="456"/>
      <c r="G167" s="327"/>
      <c r="H167" s="327"/>
    </row>
    <row r="168" spans="1:8" ht="26.25" customHeight="1" x14ac:dyDescent="0.3">
      <c r="A168" s="295" t="s">
        <v>105</v>
      </c>
      <c r="B168" s="296" t="s">
        <v>124</v>
      </c>
      <c r="C168" s="584" t="str">
        <f>B20</f>
        <v>Aceclofenac</v>
      </c>
      <c r="D168" s="584"/>
      <c r="E168" s="291" t="s">
        <v>125</v>
      </c>
      <c r="F168" s="291"/>
      <c r="G168" s="390">
        <f>B165</f>
        <v>0.68351061185491968</v>
      </c>
      <c r="H168" s="291"/>
    </row>
    <row r="169" spans="1:8" ht="19.5" customHeight="1" thickBot="1" x14ac:dyDescent="0.35">
      <c r="A169" s="514"/>
      <c r="B169" s="514"/>
      <c r="C169" s="515"/>
      <c r="D169" s="515"/>
      <c r="E169" s="515"/>
      <c r="F169" s="515"/>
      <c r="G169" s="515"/>
      <c r="H169" s="515"/>
    </row>
    <row r="170" spans="1:8" ht="18.75" x14ac:dyDescent="0.3">
      <c r="B170" s="583" t="s">
        <v>26</v>
      </c>
      <c r="C170" s="583"/>
      <c r="E170" s="315" t="s">
        <v>27</v>
      </c>
      <c r="F170" s="516"/>
      <c r="G170" s="583" t="s">
        <v>28</v>
      </c>
      <c r="H170" s="583"/>
    </row>
    <row r="171" spans="1:8" ht="83.25" customHeight="1" x14ac:dyDescent="0.3">
      <c r="A171" s="295" t="s">
        <v>29</v>
      </c>
      <c r="B171" s="517"/>
      <c r="C171" s="517" t="s">
        <v>138</v>
      </c>
      <c r="E171" s="518"/>
      <c r="F171" s="291"/>
      <c r="G171" s="518"/>
      <c r="H171" s="518"/>
    </row>
    <row r="172" spans="1:8" ht="84" customHeight="1" x14ac:dyDescent="0.3">
      <c r="A172" s="295" t="s">
        <v>30</v>
      </c>
      <c r="B172" s="519"/>
      <c r="C172" s="519"/>
      <c r="E172" s="520"/>
      <c r="F172" s="291"/>
      <c r="G172" s="521"/>
      <c r="H172" s="521"/>
    </row>
    <row r="173" spans="1:8" ht="18.75" x14ac:dyDescent="0.3">
      <c r="A173" s="323"/>
      <c r="B173" s="323"/>
      <c r="C173" s="323"/>
      <c r="D173" s="323"/>
      <c r="E173" s="323"/>
      <c r="F173" s="345"/>
      <c r="G173" s="323"/>
      <c r="H173" s="323"/>
    </row>
    <row r="174" spans="1:8" ht="18.75" x14ac:dyDescent="0.3">
      <c r="A174" s="323"/>
      <c r="B174" s="323"/>
      <c r="C174" s="323"/>
      <c r="D174" s="323"/>
      <c r="E174" s="323"/>
      <c r="F174" s="345"/>
      <c r="G174" s="323"/>
      <c r="H174" s="323"/>
    </row>
    <row r="175" spans="1:8" ht="18.75" x14ac:dyDescent="0.3">
      <c r="A175" s="323"/>
      <c r="B175" s="323"/>
      <c r="C175" s="323"/>
      <c r="D175" s="323"/>
      <c r="E175" s="323"/>
      <c r="F175" s="345"/>
      <c r="G175" s="323"/>
      <c r="H175" s="323"/>
    </row>
    <row r="176" spans="1:8" ht="18.75" x14ac:dyDescent="0.3">
      <c r="A176" s="323"/>
      <c r="B176" s="323"/>
      <c r="C176" s="323"/>
      <c r="D176" s="323"/>
      <c r="E176" s="323"/>
      <c r="F176" s="345"/>
      <c r="G176" s="323"/>
      <c r="H176" s="323"/>
    </row>
    <row r="177" spans="1:8" ht="18.75" x14ac:dyDescent="0.3">
      <c r="A177" s="323"/>
      <c r="B177" s="323"/>
      <c r="C177" s="323"/>
      <c r="D177" s="323"/>
      <c r="E177" s="323"/>
      <c r="F177" s="345"/>
      <c r="G177" s="323"/>
      <c r="H177" s="323"/>
    </row>
    <row r="178" spans="1:8" ht="18.75" x14ac:dyDescent="0.3">
      <c r="A178" s="323"/>
      <c r="B178" s="323"/>
      <c r="C178" s="323"/>
      <c r="D178" s="323"/>
      <c r="E178" s="323"/>
      <c r="F178" s="345"/>
      <c r="G178" s="323"/>
      <c r="H178" s="323"/>
    </row>
    <row r="179" spans="1:8" ht="18.75" x14ac:dyDescent="0.3">
      <c r="A179" s="323"/>
      <c r="B179" s="323"/>
      <c r="C179" s="323"/>
      <c r="D179" s="323"/>
      <c r="E179" s="323"/>
      <c r="F179" s="345"/>
      <c r="G179" s="323"/>
      <c r="H179" s="323"/>
    </row>
    <row r="180" spans="1:8" ht="18.75" x14ac:dyDescent="0.3">
      <c r="A180" s="323"/>
      <c r="B180" s="323"/>
      <c r="C180" s="323"/>
      <c r="D180" s="323"/>
      <c r="E180" s="323"/>
      <c r="F180" s="345"/>
      <c r="G180" s="323"/>
      <c r="H180" s="323"/>
    </row>
    <row r="181" spans="1:8" ht="18.75" x14ac:dyDescent="0.3">
      <c r="A181" s="323"/>
      <c r="B181" s="323"/>
      <c r="C181" s="323"/>
      <c r="D181" s="323"/>
      <c r="E181" s="323"/>
      <c r="F181" s="345"/>
      <c r="G181" s="323"/>
      <c r="H181" s="323"/>
    </row>
    <row r="250" spans="1:1" x14ac:dyDescent="0.3">
      <c r="A250" s="286">
        <v>5</v>
      </c>
    </row>
  </sheetData>
  <sheetProtection password="F258" sheet="1" objects="1" scenarios="1" formatCells="0" formatColumns="0" formatRows="0"/>
  <mergeCells count="41"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B20:C20"/>
    <mergeCell ref="A1:H7"/>
    <mergeCell ref="A8:H14"/>
    <mergeCell ref="A16:H16"/>
    <mergeCell ref="A17:H17"/>
    <mergeCell ref="B18:C18"/>
  </mergeCells>
  <conditionalFormatting sqref="D51">
    <cfRule type="cellIs" dxfId="35" priority="1" operator="greaterThan">
      <formula>0.02</formula>
    </cfRule>
  </conditionalFormatting>
  <conditionalFormatting sqref="H73">
    <cfRule type="cellIs" dxfId="34" priority="2" operator="greaterThan">
      <formula>0.02</formula>
    </cfRule>
  </conditionalFormatting>
  <conditionalFormatting sqref="D104">
    <cfRule type="cellIs" dxfId="33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C122" sqref="C122"/>
    </sheetView>
  </sheetViews>
  <sheetFormatPr defaultRowHeight="13.5" x14ac:dyDescent="0.25"/>
  <cols>
    <col min="1" max="1" width="27.5703125" style="610" customWidth="1"/>
    <col min="2" max="2" width="20.42578125" style="610" customWidth="1"/>
    <col min="3" max="3" width="31.85546875" style="610" customWidth="1"/>
    <col min="4" max="4" width="25.85546875" style="610" customWidth="1"/>
    <col min="5" max="5" width="25.7109375" style="610" customWidth="1"/>
    <col min="6" max="6" width="23.140625" style="610" customWidth="1"/>
    <col min="7" max="7" width="28.42578125" style="610" customWidth="1"/>
    <col min="8" max="8" width="21.5703125" style="610" customWidth="1"/>
    <col min="9" max="9" width="9.140625" style="610" customWidth="1"/>
    <col min="10" max="16384" width="9.140625" style="647"/>
  </cols>
  <sheetData>
    <row r="14" spans="1:6" ht="15" customHeight="1" x14ac:dyDescent="0.3">
      <c r="A14" s="609"/>
      <c r="C14" s="611"/>
      <c r="F14" s="611"/>
    </row>
    <row r="15" spans="1:6" ht="18.75" customHeight="1" x14ac:dyDescent="0.3">
      <c r="A15" s="612" t="s">
        <v>0</v>
      </c>
      <c r="B15" s="612"/>
      <c r="C15" s="612"/>
      <c r="D15" s="612"/>
      <c r="E15" s="612"/>
    </row>
    <row r="16" spans="1:6" ht="16.5" customHeight="1" x14ac:dyDescent="0.3">
      <c r="A16" s="613" t="s">
        <v>1</v>
      </c>
      <c r="B16" s="614" t="s">
        <v>2</v>
      </c>
    </row>
    <row r="17" spans="1:5" ht="16.5" customHeight="1" x14ac:dyDescent="0.3">
      <c r="A17" s="615" t="s">
        <v>3</v>
      </c>
      <c r="B17" s="615"/>
      <c r="D17" s="616"/>
      <c r="E17" s="617"/>
    </row>
    <row r="18" spans="1:5" ht="16.5" customHeight="1" x14ac:dyDescent="0.3">
      <c r="A18" s="618" t="s">
        <v>4</v>
      </c>
      <c r="B18" s="615" t="s">
        <v>5</v>
      </c>
      <c r="C18" s="617"/>
      <c r="D18" s="617"/>
      <c r="E18" s="617"/>
    </row>
    <row r="19" spans="1:5" ht="16.5" customHeight="1" x14ac:dyDescent="0.3">
      <c r="A19" s="618" t="s">
        <v>6</v>
      </c>
      <c r="B19" s="619" t="s">
        <v>7</v>
      </c>
      <c r="C19" s="617"/>
      <c r="D19" s="617"/>
      <c r="E19" s="617"/>
    </row>
    <row r="20" spans="1:5" ht="16.5" customHeight="1" x14ac:dyDescent="0.3">
      <c r="A20" s="615" t="s">
        <v>8</v>
      </c>
      <c r="B20" s="619" t="s">
        <v>9</v>
      </c>
      <c r="C20" s="617"/>
      <c r="D20" s="617"/>
      <c r="E20" s="617"/>
    </row>
    <row r="21" spans="1:5" ht="16.5" customHeight="1" x14ac:dyDescent="0.3">
      <c r="A21" s="615" t="s">
        <v>10</v>
      </c>
      <c r="B21" s="620" t="s">
        <v>11</v>
      </c>
      <c r="C21" s="617"/>
      <c r="D21" s="617"/>
      <c r="E21" s="617"/>
    </row>
    <row r="22" spans="1:5" ht="15.75" customHeight="1" x14ac:dyDescent="0.25">
      <c r="A22" s="617"/>
      <c r="B22" s="617" t="s">
        <v>12</v>
      </c>
      <c r="C22" s="617"/>
      <c r="D22" s="617"/>
      <c r="E22" s="617"/>
    </row>
    <row r="23" spans="1:5" ht="16.5" customHeight="1" x14ac:dyDescent="0.3">
      <c r="A23" s="621" t="s">
        <v>13</v>
      </c>
      <c r="B23" s="622" t="s">
        <v>14</v>
      </c>
      <c r="C23" s="621" t="s">
        <v>15</v>
      </c>
      <c r="D23" s="621" t="s">
        <v>16</v>
      </c>
      <c r="E23" s="621" t="s">
        <v>17</v>
      </c>
    </row>
    <row r="24" spans="1:5" ht="16.5" customHeight="1" x14ac:dyDescent="0.3">
      <c r="A24" s="623">
        <v>1</v>
      </c>
      <c r="B24" s="624">
        <v>27415374</v>
      </c>
      <c r="C24" s="624">
        <v>4553.91</v>
      </c>
      <c r="D24" s="625">
        <v>0.95</v>
      </c>
      <c r="E24" s="626">
        <v>3.14</v>
      </c>
    </row>
    <row r="25" spans="1:5" ht="16.5" customHeight="1" x14ac:dyDescent="0.3">
      <c r="A25" s="623">
        <v>2</v>
      </c>
      <c r="B25" s="624">
        <v>27465366</v>
      </c>
      <c r="C25" s="624">
        <v>4538.78</v>
      </c>
      <c r="D25" s="625">
        <v>0.96</v>
      </c>
      <c r="E25" s="625">
        <v>3.14</v>
      </c>
    </row>
    <row r="26" spans="1:5" ht="16.5" customHeight="1" x14ac:dyDescent="0.3">
      <c r="A26" s="623">
        <v>3</v>
      </c>
      <c r="B26" s="624">
        <v>27477477</v>
      </c>
      <c r="C26" s="624">
        <v>4549.21</v>
      </c>
      <c r="D26" s="625">
        <v>0.95</v>
      </c>
      <c r="E26" s="625">
        <v>3.14</v>
      </c>
    </row>
    <row r="27" spans="1:5" ht="16.5" customHeight="1" x14ac:dyDescent="0.3">
      <c r="A27" s="623">
        <v>4</v>
      </c>
      <c r="B27" s="624">
        <v>27477281</v>
      </c>
      <c r="C27" s="624">
        <v>4544.83</v>
      </c>
      <c r="D27" s="625">
        <v>0.96</v>
      </c>
      <c r="E27" s="625">
        <v>3.14</v>
      </c>
    </row>
    <row r="28" spans="1:5" ht="16.5" customHeight="1" x14ac:dyDescent="0.3">
      <c r="A28" s="623">
        <v>5</v>
      </c>
      <c r="B28" s="624">
        <v>27465133</v>
      </c>
      <c r="C28" s="624">
        <v>4544.87</v>
      </c>
      <c r="D28" s="625">
        <v>0.96</v>
      </c>
      <c r="E28" s="625">
        <v>3.14</v>
      </c>
    </row>
    <row r="29" spans="1:5" ht="16.5" customHeight="1" x14ac:dyDescent="0.3">
      <c r="A29" s="623">
        <v>6</v>
      </c>
      <c r="B29" s="627">
        <v>27481767</v>
      </c>
      <c r="C29" s="627">
        <v>4559.3599999999997</v>
      </c>
      <c r="D29" s="628">
        <v>0.95</v>
      </c>
      <c r="E29" s="628">
        <v>3.14</v>
      </c>
    </row>
    <row r="30" spans="1:5" ht="16.5" customHeight="1" x14ac:dyDescent="0.3">
      <c r="A30" s="629" t="s">
        <v>18</v>
      </c>
      <c r="B30" s="630">
        <f>AVERAGE(B24:B29)</f>
        <v>27463733</v>
      </c>
      <c r="C30" s="631">
        <f>AVERAGE(C24:C29)</f>
        <v>4548.4933333333329</v>
      </c>
      <c r="D30" s="632">
        <f>AVERAGE(D24:D29)</f>
        <v>0.95499999999999996</v>
      </c>
      <c r="E30" s="632">
        <f>AVERAGE(E24:E29)</f>
        <v>3.14</v>
      </c>
    </row>
    <row r="31" spans="1:5" ht="16.5" customHeight="1" x14ac:dyDescent="0.3">
      <c r="A31" s="633" t="s">
        <v>19</v>
      </c>
      <c r="B31" s="634">
        <f>(STDEV(B24:B29)/B30)</f>
        <v>8.9795758899400202E-4</v>
      </c>
      <c r="C31" s="635"/>
      <c r="D31" s="635"/>
      <c r="E31" s="636"/>
    </row>
    <row r="32" spans="1:5" s="610" customFormat="1" ht="16.5" customHeight="1" x14ac:dyDescent="0.3">
      <c r="A32" s="637" t="s">
        <v>20</v>
      </c>
      <c r="B32" s="638">
        <f>COUNT(B24:B29)</f>
        <v>6</v>
      </c>
      <c r="C32" s="639"/>
      <c r="D32" s="640"/>
      <c r="E32" s="641"/>
    </row>
    <row r="33" spans="1:5" s="610" customFormat="1" ht="15.75" customHeight="1" x14ac:dyDescent="0.25">
      <c r="A33" s="617"/>
      <c r="B33" s="617"/>
      <c r="C33" s="617"/>
      <c r="D33" s="617"/>
      <c r="E33" s="617"/>
    </row>
    <row r="34" spans="1:5" s="610" customFormat="1" ht="16.5" customHeight="1" x14ac:dyDescent="0.3">
      <c r="A34" s="618" t="s">
        <v>21</v>
      </c>
      <c r="B34" s="642" t="s">
        <v>141</v>
      </c>
      <c r="C34" s="643"/>
      <c r="D34" s="643"/>
      <c r="E34" s="643"/>
    </row>
    <row r="35" spans="1:5" ht="16.5" customHeight="1" x14ac:dyDescent="0.3">
      <c r="A35" s="618"/>
      <c r="B35" s="642" t="s">
        <v>142</v>
      </c>
      <c r="C35" s="643"/>
      <c r="D35" s="643"/>
      <c r="E35" s="643"/>
    </row>
    <row r="36" spans="1:5" ht="16.5" customHeight="1" x14ac:dyDescent="0.3">
      <c r="A36" s="618"/>
      <c r="B36" s="642" t="s">
        <v>143</v>
      </c>
      <c r="C36" s="643"/>
      <c r="D36" s="643"/>
      <c r="E36" s="643"/>
    </row>
    <row r="37" spans="1:5" ht="15.75" customHeight="1" x14ac:dyDescent="0.25">
      <c r="A37" s="617"/>
      <c r="B37" s="617"/>
      <c r="C37" s="617"/>
      <c r="D37" s="617"/>
      <c r="E37" s="617"/>
    </row>
    <row r="38" spans="1:5" ht="16.5" customHeight="1" x14ac:dyDescent="0.3">
      <c r="A38" s="613" t="s">
        <v>1</v>
      </c>
      <c r="B38" s="614" t="s">
        <v>25</v>
      </c>
    </row>
    <row r="39" spans="1:5" ht="16.5" customHeight="1" x14ac:dyDescent="0.3">
      <c r="A39" s="618" t="s">
        <v>4</v>
      </c>
      <c r="B39" s="615"/>
      <c r="C39" s="617"/>
      <c r="D39" s="617"/>
      <c r="E39" s="617"/>
    </row>
    <row r="40" spans="1:5" ht="16.5" customHeight="1" x14ac:dyDescent="0.3">
      <c r="A40" s="618" t="s">
        <v>6</v>
      </c>
      <c r="B40" s="619"/>
      <c r="C40" s="617"/>
      <c r="D40" s="617"/>
      <c r="E40" s="617"/>
    </row>
    <row r="41" spans="1:5" ht="16.5" customHeight="1" x14ac:dyDescent="0.3">
      <c r="A41" s="615" t="s">
        <v>8</v>
      </c>
      <c r="B41" s="619"/>
      <c r="C41" s="617"/>
      <c r="D41" s="617"/>
      <c r="E41" s="617"/>
    </row>
    <row r="42" spans="1:5" ht="16.5" customHeight="1" x14ac:dyDescent="0.3">
      <c r="A42" s="615" t="s">
        <v>10</v>
      </c>
      <c r="B42" s="620"/>
      <c r="C42" s="617"/>
      <c r="D42" s="617"/>
      <c r="E42" s="617"/>
    </row>
    <row r="43" spans="1:5" ht="15.75" customHeight="1" x14ac:dyDescent="0.25">
      <c r="A43" s="617"/>
      <c r="B43" s="617"/>
      <c r="C43" s="617"/>
      <c r="D43" s="617"/>
      <c r="E43" s="617"/>
    </row>
    <row r="44" spans="1:5" ht="16.5" customHeight="1" x14ac:dyDescent="0.3">
      <c r="A44" s="621" t="s">
        <v>13</v>
      </c>
      <c r="B44" s="622" t="s">
        <v>14</v>
      </c>
      <c r="C44" s="621" t="s">
        <v>15</v>
      </c>
      <c r="D44" s="621" t="s">
        <v>16</v>
      </c>
      <c r="E44" s="621" t="s">
        <v>17</v>
      </c>
    </row>
    <row r="45" spans="1:5" ht="16.5" customHeight="1" x14ac:dyDescent="0.3">
      <c r="A45" s="623">
        <v>1</v>
      </c>
      <c r="B45" s="624"/>
      <c r="C45" s="624"/>
      <c r="D45" s="625"/>
      <c r="E45" s="626"/>
    </row>
    <row r="46" spans="1:5" ht="16.5" customHeight="1" x14ac:dyDescent="0.3">
      <c r="A46" s="623">
        <v>2</v>
      </c>
      <c r="B46" s="624"/>
      <c r="C46" s="624"/>
      <c r="D46" s="625"/>
      <c r="E46" s="625"/>
    </row>
    <row r="47" spans="1:5" ht="16.5" customHeight="1" x14ac:dyDescent="0.3">
      <c r="A47" s="623">
        <v>3</v>
      </c>
      <c r="B47" s="624"/>
      <c r="C47" s="624"/>
      <c r="D47" s="625"/>
      <c r="E47" s="625"/>
    </row>
    <row r="48" spans="1:5" ht="16.5" customHeight="1" x14ac:dyDescent="0.3">
      <c r="A48" s="623">
        <v>4</v>
      </c>
      <c r="B48" s="624"/>
      <c r="C48" s="624"/>
      <c r="D48" s="625"/>
      <c r="E48" s="625"/>
    </row>
    <row r="49" spans="1:7" ht="16.5" customHeight="1" x14ac:dyDescent="0.3">
      <c r="A49" s="623">
        <v>5</v>
      </c>
      <c r="B49" s="624"/>
      <c r="C49" s="624"/>
      <c r="D49" s="625"/>
      <c r="E49" s="625"/>
    </row>
    <row r="50" spans="1:7" ht="16.5" customHeight="1" x14ac:dyDescent="0.3">
      <c r="A50" s="623">
        <v>6</v>
      </c>
      <c r="B50" s="627"/>
      <c r="C50" s="627"/>
      <c r="D50" s="628"/>
      <c r="E50" s="628"/>
    </row>
    <row r="51" spans="1:7" ht="16.5" customHeight="1" x14ac:dyDescent="0.3">
      <c r="A51" s="629" t="s">
        <v>18</v>
      </c>
      <c r="B51" s="630" t="e">
        <f>AVERAGE(B45:B50)</f>
        <v>#DIV/0!</v>
      </c>
      <c r="C51" s="631" t="e">
        <f>AVERAGE(C45:C50)</f>
        <v>#DIV/0!</v>
      </c>
      <c r="D51" s="632" t="e">
        <f>AVERAGE(D45:D50)</f>
        <v>#DIV/0!</v>
      </c>
      <c r="E51" s="632" t="e">
        <f>AVERAGE(E45:E50)</f>
        <v>#DIV/0!</v>
      </c>
    </row>
    <row r="52" spans="1:7" ht="16.5" customHeight="1" x14ac:dyDescent="0.3">
      <c r="A52" s="633" t="s">
        <v>19</v>
      </c>
      <c r="B52" s="634" t="e">
        <f>(STDEV(B45:B50)/B51)</f>
        <v>#DIV/0!</v>
      </c>
      <c r="C52" s="635"/>
      <c r="D52" s="635"/>
      <c r="E52" s="636"/>
    </row>
    <row r="53" spans="1:7" s="610" customFormat="1" ht="16.5" customHeight="1" x14ac:dyDescent="0.3">
      <c r="A53" s="637" t="s">
        <v>20</v>
      </c>
      <c r="B53" s="638">
        <f>COUNT(B45:B50)</f>
        <v>0</v>
      </c>
      <c r="C53" s="639"/>
      <c r="D53" s="640"/>
      <c r="E53" s="641"/>
    </row>
    <row r="54" spans="1:7" s="610" customFormat="1" ht="15.75" customHeight="1" x14ac:dyDescent="0.25">
      <c r="A54" s="617"/>
      <c r="B54" s="617"/>
      <c r="C54" s="617"/>
      <c r="D54" s="617"/>
      <c r="E54" s="617"/>
    </row>
    <row r="55" spans="1:7" s="610" customFormat="1" ht="16.5" customHeight="1" x14ac:dyDescent="0.3">
      <c r="A55" s="618" t="s">
        <v>21</v>
      </c>
      <c r="B55" s="642" t="s">
        <v>141</v>
      </c>
      <c r="C55" s="643"/>
      <c r="D55" s="643"/>
      <c r="E55" s="643"/>
    </row>
    <row r="56" spans="1:7" ht="16.5" customHeight="1" x14ac:dyDescent="0.3">
      <c r="A56" s="618"/>
      <c r="B56" s="642" t="s">
        <v>142</v>
      </c>
      <c r="C56" s="643"/>
      <c r="D56" s="643"/>
      <c r="E56" s="643"/>
    </row>
    <row r="57" spans="1:7" ht="16.5" customHeight="1" x14ac:dyDescent="0.3">
      <c r="A57" s="618"/>
      <c r="B57" s="642" t="s">
        <v>143</v>
      </c>
      <c r="C57" s="643"/>
      <c r="D57" s="643"/>
      <c r="E57" s="643"/>
    </row>
    <row r="58" spans="1:7" ht="14.25" customHeight="1" thickBot="1" x14ac:dyDescent="0.3">
      <c r="A58" s="644"/>
      <c r="B58" s="645"/>
      <c r="D58" s="646"/>
      <c r="F58" s="647"/>
      <c r="G58" s="647"/>
    </row>
    <row r="59" spans="1:7" ht="15" customHeight="1" x14ac:dyDescent="0.3">
      <c r="B59" s="648" t="s">
        <v>26</v>
      </c>
      <c r="C59" s="648"/>
      <c r="E59" s="649" t="s">
        <v>27</v>
      </c>
      <c r="F59" s="650"/>
      <c r="G59" s="649" t="s">
        <v>28</v>
      </c>
    </row>
    <row r="60" spans="1:7" ht="15" customHeight="1" x14ac:dyDescent="0.3">
      <c r="A60" s="651" t="s">
        <v>29</v>
      </c>
      <c r="B60" s="652"/>
      <c r="C60" s="652"/>
      <c r="E60" s="652"/>
      <c r="G60" s="652"/>
    </row>
    <row r="61" spans="1:7" ht="15" customHeight="1" x14ac:dyDescent="0.3">
      <c r="A61" s="651" t="s">
        <v>30</v>
      </c>
      <c r="B61" s="653"/>
      <c r="C61" s="653"/>
      <c r="E61" s="653"/>
      <c r="G61" s="65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122" sqref="C122"/>
    </sheetView>
  </sheetViews>
  <sheetFormatPr defaultRowHeight="15" x14ac:dyDescent="0.3"/>
  <cols>
    <col min="1" max="1" width="15.5703125" style="609" customWidth="1"/>
    <col min="2" max="2" width="18.42578125" style="609" customWidth="1"/>
    <col min="3" max="3" width="14.28515625" style="609" customWidth="1"/>
    <col min="4" max="4" width="15" style="609" customWidth="1"/>
    <col min="5" max="5" width="9.140625" style="609" customWidth="1"/>
    <col min="6" max="6" width="27.85546875" style="609" customWidth="1"/>
    <col min="7" max="7" width="12.28515625" style="609" customWidth="1"/>
    <col min="8" max="8" width="9.140625" style="609" customWidth="1"/>
    <col min="9" max="16384" width="9.140625" style="647"/>
  </cols>
  <sheetData>
    <row r="10" spans="1:7" ht="13.5" customHeight="1" thickBot="1" x14ac:dyDescent="0.35"/>
    <row r="11" spans="1:7" ht="13.5" customHeight="1" thickBot="1" x14ac:dyDescent="0.35">
      <c r="A11" s="655" t="s">
        <v>31</v>
      </c>
      <c r="B11" s="656"/>
      <c r="C11" s="656"/>
      <c r="D11" s="656"/>
      <c r="E11" s="656"/>
      <c r="F11" s="657"/>
      <c r="G11" s="658"/>
    </row>
    <row r="12" spans="1:7" ht="16.5" customHeight="1" x14ac:dyDescent="0.3">
      <c r="A12" s="659" t="s">
        <v>32</v>
      </c>
      <c r="B12" s="659"/>
      <c r="C12" s="659"/>
      <c r="D12" s="659"/>
      <c r="E12" s="659"/>
      <c r="F12" s="659"/>
      <c r="G12" s="613"/>
    </row>
    <row r="14" spans="1:7" ht="16.5" customHeight="1" x14ac:dyDescent="0.3">
      <c r="A14" s="660" t="s">
        <v>33</v>
      </c>
      <c r="B14" s="660"/>
      <c r="C14" s="617" t="s">
        <v>5</v>
      </c>
    </row>
    <row r="15" spans="1:7" ht="16.5" customHeight="1" x14ac:dyDescent="0.3">
      <c r="A15" s="660" t="s">
        <v>34</v>
      </c>
      <c r="B15" s="660"/>
      <c r="C15" s="617" t="s">
        <v>7</v>
      </c>
    </row>
    <row r="16" spans="1:7" ht="16.5" customHeight="1" x14ac:dyDescent="0.3">
      <c r="A16" s="660" t="s">
        <v>35</v>
      </c>
      <c r="B16" s="660"/>
      <c r="C16" s="617" t="s">
        <v>9</v>
      </c>
    </row>
    <row r="17" spans="1:5" ht="16.5" customHeight="1" x14ac:dyDescent="0.3">
      <c r="A17" s="660" t="s">
        <v>36</v>
      </c>
      <c r="B17" s="660"/>
      <c r="C17" s="617" t="s">
        <v>11</v>
      </c>
    </row>
    <row r="18" spans="1:5" ht="16.5" customHeight="1" x14ac:dyDescent="0.3">
      <c r="A18" s="660" t="s">
        <v>37</v>
      </c>
      <c r="B18" s="660"/>
      <c r="C18" s="661" t="s">
        <v>12</v>
      </c>
    </row>
    <row r="19" spans="1:5" ht="16.5" customHeight="1" x14ac:dyDescent="0.3">
      <c r="A19" s="660" t="s">
        <v>38</v>
      </c>
      <c r="B19" s="660"/>
      <c r="C19" s="661" t="e">
        <f>#REF!</f>
        <v>#REF!</v>
      </c>
    </row>
    <row r="20" spans="1:5" ht="16.5" customHeight="1" x14ac:dyDescent="0.3">
      <c r="A20" s="662"/>
      <c r="B20" s="662"/>
      <c r="C20" s="663"/>
    </row>
    <row r="21" spans="1:5" ht="16.5" customHeight="1" x14ac:dyDescent="0.3">
      <c r="A21" s="659" t="s">
        <v>1</v>
      </c>
      <c r="B21" s="659"/>
      <c r="C21" s="614" t="s">
        <v>39</v>
      </c>
      <c r="D21" s="664"/>
    </row>
    <row r="22" spans="1:5" ht="15.75" customHeight="1" thickBot="1" x14ac:dyDescent="0.35">
      <c r="A22" s="665"/>
      <c r="B22" s="665"/>
      <c r="C22" s="666"/>
      <c r="D22" s="665"/>
      <c r="E22" s="665"/>
    </row>
    <row r="23" spans="1:5" ht="33.75" customHeight="1" thickBot="1" x14ac:dyDescent="0.35">
      <c r="C23" s="667" t="s">
        <v>40</v>
      </c>
      <c r="D23" s="668" t="s">
        <v>41</v>
      </c>
      <c r="E23" s="645"/>
    </row>
    <row r="24" spans="1:5" ht="15.75" customHeight="1" x14ac:dyDescent="0.3">
      <c r="C24" s="669">
        <v>215.31</v>
      </c>
      <c r="D24" s="670">
        <f t="shared" ref="D24:D43" si="0">(C24-$C$46)/$C$46</f>
        <v>-1.219218461467866E-2</v>
      </c>
      <c r="E24" s="671"/>
    </row>
    <row r="25" spans="1:5" ht="15.75" customHeight="1" x14ac:dyDescent="0.3">
      <c r="C25" s="669">
        <v>214.32</v>
      </c>
      <c r="D25" s="672">
        <f t="shared" si="0"/>
        <v>-1.6734146145640887E-2</v>
      </c>
      <c r="E25" s="671"/>
    </row>
    <row r="26" spans="1:5" ht="15.75" customHeight="1" x14ac:dyDescent="0.3">
      <c r="C26" s="669">
        <v>215.9</v>
      </c>
      <c r="D26" s="672">
        <f t="shared" si="0"/>
        <v>-9.4853590558223923E-3</v>
      </c>
      <c r="E26" s="671"/>
    </row>
    <row r="27" spans="1:5" ht="15.75" customHeight="1" x14ac:dyDescent="0.3">
      <c r="C27" s="669">
        <v>215.05</v>
      </c>
      <c r="D27" s="672">
        <f t="shared" si="0"/>
        <v>-1.3385022996547475E-2</v>
      </c>
      <c r="E27" s="671"/>
    </row>
    <row r="28" spans="1:5" ht="15.75" customHeight="1" x14ac:dyDescent="0.3">
      <c r="C28" s="669">
        <v>215.19</v>
      </c>
      <c r="D28" s="672">
        <f t="shared" si="0"/>
        <v>-1.2742725406310461E-2</v>
      </c>
      <c r="E28" s="671"/>
    </row>
    <row r="29" spans="1:5" ht="15.75" customHeight="1" x14ac:dyDescent="0.3">
      <c r="C29" s="669">
        <v>213.18</v>
      </c>
      <c r="D29" s="672">
        <f t="shared" si="0"/>
        <v>-2.1964283666142736E-2</v>
      </c>
      <c r="E29" s="671"/>
    </row>
    <row r="30" spans="1:5" ht="15.75" customHeight="1" x14ac:dyDescent="0.3">
      <c r="C30" s="669">
        <v>217.36</v>
      </c>
      <c r="D30" s="672">
        <f t="shared" si="0"/>
        <v>-2.7871127576356985E-3</v>
      </c>
      <c r="E30" s="671"/>
    </row>
    <row r="31" spans="1:5" ht="15.75" customHeight="1" x14ac:dyDescent="0.3">
      <c r="C31" s="669">
        <v>228.5</v>
      </c>
      <c r="D31" s="672">
        <f t="shared" si="0"/>
        <v>4.8321424065514484E-2</v>
      </c>
      <c r="E31" s="671"/>
    </row>
    <row r="32" spans="1:5" ht="15.75" customHeight="1" x14ac:dyDescent="0.3">
      <c r="C32" s="669">
        <v>218.32</v>
      </c>
      <c r="D32" s="672">
        <f t="shared" si="0"/>
        <v>1.6172135754184476E-3</v>
      </c>
      <c r="E32" s="671"/>
    </row>
    <row r="33" spans="1:7" ht="15.75" customHeight="1" x14ac:dyDescent="0.3">
      <c r="C33" s="669">
        <v>222.8</v>
      </c>
      <c r="D33" s="672">
        <f t="shared" si="0"/>
        <v>2.2170736463004985E-2</v>
      </c>
      <c r="E33" s="671"/>
    </row>
    <row r="34" spans="1:7" ht="15.75" customHeight="1" x14ac:dyDescent="0.3">
      <c r="C34" s="669">
        <v>214.56</v>
      </c>
      <c r="D34" s="672">
        <f t="shared" si="0"/>
        <v>-1.5633064562377286E-2</v>
      </c>
      <c r="E34" s="671"/>
    </row>
    <row r="35" spans="1:7" ht="15.75" customHeight="1" x14ac:dyDescent="0.3">
      <c r="C35" s="669">
        <v>213.83</v>
      </c>
      <c r="D35" s="672">
        <f t="shared" si="0"/>
        <v>-1.8982187711470568E-2</v>
      </c>
      <c r="E35" s="671"/>
    </row>
    <row r="36" spans="1:7" ht="15.75" customHeight="1" x14ac:dyDescent="0.3">
      <c r="C36" s="669">
        <v>211.96</v>
      </c>
      <c r="D36" s="672">
        <f t="shared" si="0"/>
        <v>-2.7561448381065827E-2</v>
      </c>
      <c r="E36" s="671"/>
    </row>
    <row r="37" spans="1:7" ht="15.75" customHeight="1" x14ac:dyDescent="0.3">
      <c r="C37" s="669">
        <v>216.39</v>
      </c>
      <c r="D37" s="672">
        <f t="shared" si="0"/>
        <v>-7.2373174899927123E-3</v>
      </c>
      <c r="E37" s="671"/>
    </row>
    <row r="38" spans="1:7" ht="15.75" customHeight="1" x14ac:dyDescent="0.3">
      <c r="C38" s="669">
        <v>220.08</v>
      </c>
      <c r="D38" s="672">
        <f t="shared" si="0"/>
        <v>9.6918118526846432E-3</v>
      </c>
      <c r="E38" s="671"/>
    </row>
    <row r="39" spans="1:7" ht="15.75" customHeight="1" x14ac:dyDescent="0.3">
      <c r="C39" s="669">
        <v>218.41</v>
      </c>
      <c r="D39" s="672">
        <f t="shared" si="0"/>
        <v>2.0301191691422986E-3</v>
      </c>
      <c r="E39" s="671"/>
    </row>
    <row r="40" spans="1:7" ht="15.75" customHeight="1" x14ac:dyDescent="0.3">
      <c r="C40" s="669">
        <v>228.79</v>
      </c>
      <c r="D40" s="672">
        <f t="shared" si="0"/>
        <v>4.9651897645291251E-2</v>
      </c>
      <c r="E40" s="671"/>
    </row>
    <row r="41" spans="1:7" ht="15.75" customHeight="1" x14ac:dyDescent="0.3">
      <c r="C41" s="669">
        <v>221.85</v>
      </c>
      <c r="D41" s="672">
        <f t="shared" si="0"/>
        <v>1.7812288529253317E-2</v>
      </c>
      <c r="E41" s="671"/>
    </row>
    <row r="42" spans="1:7" ht="15.75" customHeight="1" x14ac:dyDescent="0.3">
      <c r="C42" s="669">
        <v>223.7</v>
      </c>
      <c r="D42" s="672">
        <f t="shared" si="0"/>
        <v>2.6299792400243233E-2</v>
      </c>
      <c r="E42" s="671"/>
    </row>
    <row r="43" spans="1:7" ht="16.5" customHeight="1" thickBot="1" x14ac:dyDescent="0.35">
      <c r="C43" s="673">
        <v>213.85</v>
      </c>
      <c r="D43" s="674">
        <f t="shared" si="0"/>
        <v>-1.8890430912865352E-2</v>
      </c>
      <c r="E43" s="671"/>
    </row>
    <row r="44" spans="1:7" ht="16.5" customHeight="1" thickBot="1" x14ac:dyDescent="0.35">
      <c r="C44" s="675"/>
      <c r="D44" s="671"/>
      <c r="E44" s="676"/>
    </row>
    <row r="45" spans="1:7" ht="16.5" customHeight="1" thickBot="1" x14ac:dyDescent="0.35">
      <c r="B45" s="677" t="s">
        <v>42</v>
      </c>
      <c r="C45" s="678">
        <f>SUM(C24:C44)</f>
        <v>4359.3499999999995</v>
      </c>
      <c r="D45" s="679"/>
      <c r="E45" s="675"/>
    </row>
    <row r="46" spans="1:7" ht="17.25" customHeight="1" thickBot="1" x14ac:dyDescent="0.35">
      <c r="B46" s="677" t="s">
        <v>43</v>
      </c>
      <c r="C46" s="680">
        <f>AVERAGE(C24:C44)</f>
        <v>217.96749999999997</v>
      </c>
      <c r="E46" s="681"/>
    </row>
    <row r="47" spans="1:7" ht="17.25" customHeight="1" thickBot="1" x14ac:dyDescent="0.35">
      <c r="A47" s="617"/>
      <c r="B47" s="682"/>
      <c r="D47" s="683"/>
      <c r="E47" s="681"/>
    </row>
    <row r="48" spans="1:7" ht="33.75" customHeight="1" thickBot="1" x14ac:dyDescent="0.35">
      <c r="B48" s="684" t="s">
        <v>43</v>
      </c>
      <c r="C48" s="668" t="s">
        <v>44</v>
      </c>
      <c r="D48" s="685"/>
      <c r="G48" s="683"/>
    </row>
    <row r="49" spans="1:6" ht="17.25" customHeight="1" thickBot="1" x14ac:dyDescent="0.35">
      <c r="B49" s="686">
        <f>C46</f>
        <v>217.96749999999997</v>
      </c>
      <c r="C49" s="687">
        <f>-IF(C46&lt;=80,10%,IF(C46&lt;250,7.5%,5%))</f>
        <v>-7.4999999999999997E-2</v>
      </c>
      <c r="D49" s="688">
        <f>IF(C46&lt;=80,C46*0.9,IF(C46&lt;250,C46*0.925,C46*0.95))</f>
        <v>201.61993749999999</v>
      </c>
    </row>
    <row r="50" spans="1:6" ht="17.25" customHeight="1" thickBot="1" x14ac:dyDescent="0.35">
      <c r="B50" s="689"/>
      <c r="C50" s="690">
        <f>IF(C46&lt;=80, 10%, IF(C46&lt;250, 7.5%, 5%))</f>
        <v>7.4999999999999997E-2</v>
      </c>
      <c r="D50" s="688">
        <f>IF(C46&lt;=80, C46*1.1, IF(C46&lt;250, C46*1.075, C46*1.05))</f>
        <v>234.31506249999995</v>
      </c>
    </row>
    <row r="51" spans="1:6" ht="16.5" customHeight="1" thickBot="1" x14ac:dyDescent="0.35">
      <c r="A51" s="691"/>
      <c r="B51" s="692"/>
      <c r="C51" s="617"/>
      <c r="D51" s="693"/>
      <c r="E51" s="617"/>
      <c r="F51" s="664"/>
    </row>
    <row r="52" spans="1:6" ht="16.5" customHeight="1" x14ac:dyDescent="0.3">
      <c r="A52" s="617"/>
      <c r="B52" s="694" t="s">
        <v>26</v>
      </c>
      <c r="C52" s="694"/>
      <c r="D52" s="695" t="s">
        <v>27</v>
      </c>
      <c r="E52" s="696"/>
      <c r="F52" s="695" t="s">
        <v>28</v>
      </c>
    </row>
    <row r="53" spans="1:6" ht="34.5" customHeight="1" x14ac:dyDescent="0.3">
      <c r="A53" s="662" t="s">
        <v>29</v>
      </c>
      <c r="B53" s="640"/>
      <c r="C53" s="617"/>
      <c r="D53" s="640"/>
      <c r="E53" s="617"/>
      <c r="F53" s="640"/>
    </row>
    <row r="54" spans="1:6" ht="34.5" customHeight="1" x14ac:dyDescent="0.3">
      <c r="A54" s="662" t="s">
        <v>30</v>
      </c>
      <c r="B54" s="697"/>
      <c r="C54" s="618"/>
      <c r="D54" s="697"/>
      <c r="E54" s="617"/>
      <c r="F54" s="698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" zoomScale="55" zoomScaleNormal="40" zoomScaleSheetLayoutView="55" zoomScalePageLayoutView="50" workbookViewId="0">
      <selection activeCell="D125" activeCellId="2" sqref="G124 F125 D125"/>
    </sheetView>
  </sheetViews>
  <sheetFormatPr defaultColWidth="9.140625" defaultRowHeight="13.5" x14ac:dyDescent="0.25"/>
  <cols>
    <col min="1" max="1" width="55.42578125" style="610" customWidth="1"/>
    <col min="2" max="2" width="33.7109375" style="610" customWidth="1"/>
    <col min="3" max="3" width="42.28515625" style="610" customWidth="1"/>
    <col min="4" max="4" width="30.5703125" style="610" customWidth="1"/>
    <col min="5" max="5" width="39.85546875" style="610" customWidth="1"/>
    <col min="6" max="6" width="30.7109375" style="610" customWidth="1"/>
    <col min="7" max="7" width="39.85546875" style="610" customWidth="1"/>
    <col min="8" max="8" width="30" style="610" customWidth="1"/>
    <col min="9" max="9" width="30.28515625" style="610" hidden="1" customWidth="1"/>
    <col min="10" max="10" width="30.42578125" style="610" customWidth="1"/>
    <col min="11" max="11" width="21.28515625" style="610" customWidth="1"/>
    <col min="12" max="12" width="9.140625" style="610"/>
    <col min="13" max="16384" width="9.140625" style="647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thickBot="1" x14ac:dyDescent="0.35">
      <c r="A15" s="701"/>
    </row>
    <row r="16" spans="1:9" ht="19.5" customHeight="1" thickBot="1" x14ac:dyDescent="0.35">
      <c r="A16" s="702" t="s">
        <v>31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47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706" t="s">
        <v>33</v>
      </c>
      <c r="B18" s="707" t="s">
        <v>144</v>
      </c>
      <c r="C18" s="707"/>
      <c r="D18" s="708"/>
      <c r="E18" s="709"/>
      <c r="F18" s="710"/>
      <c r="G18" s="710"/>
      <c r="H18" s="710"/>
    </row>
    <row r="19" spans="1:14" ht="26.25" customHeight="1" x14ac:dyDescent="0.4">
      <c r="A19" s="706" t="s">
        <v>34</v>
      </c>
      <c r="B19" s="711" t="s">
        <v>7</v>
      </c>
      <c r="C19" s="710">
        <v>1</v>
      </c>
      <c r="D19" s="710"/>
      <c r="E19" s="710"/>
      <c r="F19" s="710"/>
      <c r="G19" s="710"/>
      <c r="H19" s="710"/>
    </row>
    <row r="20" spans="1:14" ht="26.25" customHeight="1" x14ac:dyDescent="0.4">
      <c r="A20" s="706" t="s">
        <v>35</v>
      </c>
      <c r="B20" s="712" t="s">
        <v>145</v>
      </c>
      <c r="C20" s="712"/>
      <c r="D20" s="710"/>
      <c r="E20" s="710"/>
      <c r="F20" s="710"/>
      <c r="G20" s="710"/>
      <c r="H20" s="710"/>
    </row>
    <row r="21" spans="1:14" ht="26.25" customHeight="1" x14ac:dyDescent="0.4">
      <c r="A21" s="706" t="s">
        <v>36</v>
      </c>
      <c r="B21" s="712" t="s">
        <v>146</v>
      </c>
      <c r="C21" s="712"/>
      <c r="D21" s="712"/>
      <c r="E21" s="712"/>
      <c r="F21" s="712"/>
      <c r="G21" s="712"/>
      <c r="H21" s="712"/>
      <c r="I21" s="713"/>
    </row>
    <row r="22" spans="1:14" ht="26.25" customHeight="1" x14ac:dyDescent="0.4">
      <c r="A22" s="706" t="s">
        <v>37</v>
      </c>
      <c r="B22" s="714" t="s">
        <v>147</v>
      </c>
      <c r="C22" s="710"/>
      <c r="D22" s="710"/>
      <c r="E22" s="710"/>
      <c r="F22" s="710"/>
      <c r="G22" s="710"/>
      <c r="H22" s="710"/>
    </row>
    <row r="23" spans="1:14" ht="26.25" customHeight="1" x14ac:dyDescent="0.4">
      <c r="A23" s="706" t="s">
        <v>38</v>
      </c>
      <c r="B23" s="714" t="s">
        <v>148</v>
      </c>
      <c r="C23" s="710"/>
      <c r="D23" s="710"/>
      <c r="E23" s="710"/>
      <c r="F23" s="710"/>
      <c r="G23" s="710"/>
      <c r="H23" s="710"/>
    </row>
    <row r="24" spans="1:14" ht="18.75" x14ac:dyDescent="0.3">
      <c r="A24" s="706"/>
      <c r="B24" s="715"/>
    </row>
    <row r="25" spans="1:14" ht="18.75" x14ac:dyDescent="0.3">
      <c r="A25" s="716" t="s">
        <v>1</v>
      </c>
      <c r="B25" s="715"/>
    </row>
    <row r="26" spans="1:14" ht="26.25" customHeight="1" x14ac:dyDescent="0.4">
      <c r="A26" s="717" t="s">
        <v>4</v>
      </c>
      <c r="B26" s="707" t="s">
        <v>145</v>
      </c>
      <c r="C26" s="707"/>
    </row>
    <row r="27" spans="1:14" ht="26.25" customHeight="1" x14ac:dyDescent="0.4">
      <c r="A27" s="718" t="s">
        <v>48</v>
      </c>
      <c r="B27" s="719" t="s">
        <v>137</v>
      </c>
      <c r="C27" s="719"/>
    </row>
    <row r="28" spans="1:14" ht="27" customHeight="1" thickBot="1" x14ac:dyDescent="0.45">
      <c r="A28" s="718" t="s">
        <v>6</v>
      </c>
      <c r="B28" s="720">
        <v>99.44</v>
      </c>
    </row>
    <row r="29" spans="1:14" s="621" customFormat="1" ht="27" customHeight="1" thickBot="1" x14ac:dyDescent="0.45">
      <c r="A29" s="718" t="s">
        <v>49</v>
      </c>
      <c r="B29" s="721">
        <v>0</v>
      </c>
      <c r="C29" s="722" t="s">
        <v>117</v>
      </c>
      <c r="D29" s="723"/>
      <c r="E29" s="723"/>
      <c r="F29" s="723"/>
      <c r="G29" s="724"/>
      <c r="I29" s="725"/>
      <c r="J29" s="725"/>
      <c r="K29" s="725"/>
      <c r="L29" s="725"/>
    </row>
    <row r="30" spans="1:14" s="621" customFormat="1" ht="19.5" customHeight="1" thickBot="1" x14ac:dyDescent="0.35">
      <c r="A30" s="718" t="s">
        <v>51</v>
      </c>
      <c r="B30" s="726">
        <f>B28-B29</f>
        <v>99.44</v>
      </c>
      <c r="C30" s="727"/>
      <c r="D30" s="727"/>
      <c r="E30" s="727"/>
      <c r="F30" s="727"/>
      <c r="G30" s="728"/>
      <c r="I30" s="725"/>
      <c r="J30" s="725"/>
      <c r="K30" s="725"/>
      <c r="L30" s="725"/>
    </row>
    <row r="31" spans="1:14" s="621" customFormat="1" ht="27" customHeight="1" thickBot="1" x14ac:dyDescent="0.45">
      <c r="A31" s="718" t="s">
        <v>52</v>
      </c>
      <c r="B31" s="729">
        <v>1</v>
      </c>
      <c r="C31" s="730" t="s">
        <v>53</v>
      </c>
      <c r="D31" s="731"/>
      <c r="E31" s="731"/>
      <c r="F31" s="731"/>
      <c r="G31" s="731"/>
      <c r="H31" s="732"/>
      <c r="I31" s="725"/>
      <c r="J31" s="725"/>
      <c r="K31" s="725"/>
      <c r="L31" s="725"/>
    </row>
    <row r="32" spans="1:14" s="621" customFormat="1" ht="27" customHeight="1" thickBot="1" x14ac:dyDescent="0.45">
      <c r="A32" s="718" t="s">
        <v>54</v>
      </c>
      <c r="B32" s="729">
        <v>1</v>
      </c>
      <c r="C32" s="730" t="s">
        <v>55</v>
      </c>
      <c r="D32" s="731"/>
      <c r="E32" s="731"/>
      <c r="F32" s="731"/>
      <c r="G32" s="731"/>
      <c r="H32" s="732"/>
      <c r="I32" s="725"/>
      <c r="J32" s="725"/>
      <c r="K32" s="725"/>
      <c r="L32" s="733"/>
      <c r="M32" s="733"/>
      <c r="N32" s="734"/>
    </row>
    <row r="33" spans="1:14" s="621" customFormat="1" ht="17.25" customHeight="1" x14ac:dyDescent="0.3">
      <c r="A33" s="718"/>
      <c r="B33" s="735"/>
      <c r="C33" s="736"/>
      <c r="D33" s="736"/>
      <c r="E33" s="736"/>
      <c r="F33" s="736"/>
      <c r="G33" s="736"/>
      <c r="H33" s="736"/>
      <c r="I33" s="725"/>
      <c r="J33" s="725"/>
      <c r="K33" s="725"/>
      <c r="L33" s="733"/>
      <c r="M33" s="733"/>
      <c r="N33" s="734"/>
    </row>
    <row r="34" spans="1:14" s="621" customFormat="1" ht="18.75" x14ac:dyDescent="0.3">
      <c r="A34" s="718" t="s">
        <v>56</v>
      </c>
      <c r="B34" s="737">
        <f>B31/B32</f>
        <v>1</v>
      </c>
      <c r="C34" s="701" t="s">
        <v>57</v>
      </c>
      <c r="D34" s="701"/>
      <c r="E34" s="701"/>
      <c r="F34" s="701"/>
      <c r="G34" s="701"/>
      <c r="I34" s="725"/>
      <c r="J34" s="725"/>
      <c r="K34" s="725"/>
      <c r="L34" s="733"/>
      <c r="M34" s="733"/>
      <c r="N34" s="734"/>
    </row>
    <row r="35" spans="1:14" s="621" customFormat="1" ht="19.5" customHeight="1" thickBot="1" x14ac:dyDescent="0.35">
      <c r="A35" s="718"/>
      <c r="B35" s="726"/>
      <c r="G35" s="701"/>
      <c r="I35" s="725"/>
      <c r="J35" s="725"/>
      <c r="K35" s="725"/>
      <c r="L35" s="733"/>
      <c r="M35" s="733"/>
      <c r="N35" s="734"/>
    </row>
    <row r="36" spans="1:14" s="621" customFormat="1" ht="27" customHeight="1" thickBot="1" x14ac:dyDescent="0.45">
      <c r="A36" s="738" t="s">
        <v>126</v>
      </c>
      <c r="B36" s="739">
        <v>100</v>
      </c>
      <c r="C36" s="701"/>
      <c r="D36" s="740" t="s">
        <v>59</v>
      </c>
      <c r="E36" s="741"/>
      <c r="F36" s="740" t="s">
        <v>60</v>
      </c>
      <c r="G36" s="742"/>
      <c r="J36" s="725"/>
      <c r="K36" s="725"/>
      <c r="L36" s="733"/>
      <c r="M36" s="733"/>
      <c r="N36" s="734"/>
    </row>
    <row r="37" spans="1:14" s="621" customFormat="1" ht="27" customHeight="1" thickBot="1" x14ac:dyDescent="0.45">
      <c r="A37" s="743" t="s">
        <v>149</v>
      </c>
      <c r="B37" s="744">
        <v>1</v>
      </c>
      <c r="C37" s="745" t="s">
        <v>62</v>
      </c>
      <c r="D37" s="746" t="s">
        <v>63</v>
      </c>
      <c r="E37" s="747" t="s">
        <v>64</v>
      </c>
      <c r="F37" s="746" t="s">
        <v>63</v>
      </c>
      <c r="G37" s="748" t="s">
        <v>64</v>
      </c>
      <c r="I37" s="749" t="s">
        <v>127</v>
      </c>
      <c r="J37" s="725"/>
      <c r="K37" s="725"/>
      <c r="L37" s="733"/>
      <c r="M37" s="733"/>
      <c r="N37" s="734"/>
    </row>
    <row r="38" spans="1:14" s="621" customFormat="1" ht="26.25" customHeight="1" x14ac:dyDescent="0.4">
      <c r="A38" s="743" t="s">
        <v>150</v>
      </c>
      <c r="B38" s="744">
        <v>1</v>
      </c>
      <c r="C38" s="750">
        <v>1</v>
      </c>
      <c r="D38" s="751">
        <v>27186826</v>
      </c>
      <c r="E38" s="752">
        <f>IF(ISBLANK(D38),"-",$D$48/$D$45*D38)</f>
        <v>22802276.568634227</v>
      </c>
      <c r="F38" s="751">
        <v>23662454</v>
      </c>
      <c r="G38" s="753">
        <f>IF(ISBLANK(F38),"-",$D$48/$F$45*F38)</f>
        <v>23374960.683560751</v>
      </c>
      <c r="I38" s="754"/>
      <c r="J38" s="725"/>
      <c r="K38" s="725"/>
      <c r="L38" s="733"/>
      <c r="M38" s="733"/>
      <c r="N38" s="734"/>
    </row>
    <row r="39" spans="1:14" s="621" customFormat="1" ht="26.25" customHeight="1" x14ac:dyDescent="0.4">
      <c r="A39" s="743" t="s">
        <v>151</v>
      </c>
      <c r="B39" s="744">
        <v>1</v>
      </c>
      <c r="C39" s="755">
        <v>2</v>
      </c>
      <c r="D39" s="756">
        <v>27239238</v>
      </c>
      <c r="E39" s="757">
        <f>IF(ISBLANK(D39),"-",$D$48/$D$45*D39)</f>
        <v>22846235.834769793</v>
      </c>
      <c r="F39" s="756">
        <v>23665350</v>
      </c>
      <c r="G39" s="758">
        <f>IF(ISBLANK(F39),"-",$D$48/$F$45*F39)</f>
        <v>23377821.497833841</v>
      </c>
      <c r="I39" s="759">
        <f>ABS((F43/D43*D42)-F42)/D42</f>
        <v>1.9676277688923442E-2</v>
      </c>
      <c r="J39" s="725"/>
      <c r="K39" s="725"/>
      <c r="L39" s="733"/>
      <c r="M39" s="733"/>
      <c r="N39" s="734"/>
    </row>
    <row r="40" spans="1:14" ht="26.25" customHeight="1" x14ac:dyDescent="0.4">
      <c r="A40" s="743" t="s">
        <v>152</v>
      </c>
      <c r="B40" s="744">
        <v>1</v>
      </c>
      <c r="C40" s="755">
        <v>3</v>
      </c>
      <c r="D40" s="756">
        <v>27331474</v>
      </c>
      <c r="E40" s="757">
        <f>IF(ISBLANK(D40),"-",$D$48/$D$45*D40)</f>
        <v>22923596.493994392</v>
      </c>
      <c r="F40" s="756">
        <v>23696371</v>
      </c>
      <c r="G40" s="758">
        <f>IF(ISBLANK(F40),"-",$D$48/$F$45*F40)</f>
        <v>23408465.599893786</v>
      </c>
      <c r="I40" s="759"/>
      <c r="L40" s="733"/>
      <c r="M40" s="733"/>
      <c r="N40" s="701"/>
    </row>
    <row r="41" spans="1:14" ht="27" customHeight="1" thickBot="1" x14ac:dyDescent="0.45">
      <c r="A41" s="743" t="s">
        <v>153</v>
      </c>
      <c r="B41" s="744">
        <v>1</v>
      </c>
      <c r="C41" s="760">
        <v>4</v>
      </c>
      <c r="D41" s="761"/>
      <c r="E41" s="762" t="str">
        <f>IF(ISBLANK(D41),"-",$D$48/$D$45*D41)</f>
        <v>-</v>
      </c>
      <c r="F41" s="761"/>
      <c r="G41" s="763" t="str">
        <f>IF(ISBLANK(F41),"-",$D$48/$F$45*F41)</f>
        <v>-</v>
      </c>
      <c r="I41" s="764"/>
      <c r="L41" s="733"/>
      <c r="M41" s="733"/>
      <c r="N41" s="701"/>
    </row>
    <row r="42" spans="1:14" ht="27" customHeight="1" thickBot="1" x14ac:dyDescent="0.45">
      <c r="A42" s="743" t="s">
        <v>154</v>
      </c>
      <c r="B42" s="744">
        <v>1</v>
      </c>
      <c r="C42" s="765" t="s">
        <v>70</v>
      </c>
      <c r="D42" s="766">
        <f>AVERAGE(D38:D41)</f>
        <v>27252512.666666668</v>
      </c>
      <c r="E42" s="767">
        <f>AVERAGE(E38:E41)</f>
        <v>22857369.632466137</v>
      </c>
      <c r="F42" s="766">
        <f>AVERAGE(F38:F41)</f>
        <v>23674725</v>
      </c>
      <c r="G42" s="768">
        <f>AVERAGE(G38:G41)</f>
        <v>23387082.593762796</v>
      </c>
      <c r="H42" s="645"/>
    </row>
    <row r="43" spans="1:14" ht="26.25" customHeight="1" x14ac:dyDescent="0.4">
      <c r="A43" s="743" t="s">
        <v>155</v>
      </c>
      <c r="B43" s="744">
        <v>1</v>
      </c>
      <c r="C43" s="769" t="s">
        <v>72</v>
      </c>
      <c r="D43" s="770">
        <v>11.99</v>
      </c>
      <c r="E43" s="701"/>
      <c r="F43" s="770">
        <v>10.18</v>
      </c>
      <c r="H43" s="645"/>
    </row>
    <row r="44" spans="1:14" ht="26.25" customHeight="1" x14ac:dyDescent="0.4">
      <c r="A44" s="743" t="s">
        <v>156</v>
      </c>
      <c r="B44" s="744">
        <v>1</v>
      </c>
      <c r="C44" s="771" t="s">
        <v>74</v>
      </c>
      <c r="D44" s="772">
        <f>D43*$B$34</f>
        <v>11.99</v>
      </c>
      <c r="E44" s="773"/>
      <c r="F44" s="772">
        <f>F43*$B$34</f>
        <v>10.18</v>
      </c>
      <c r="H44" s="645"/>
    </row>
    <row r="45" spans="1:14" ht="19.5" customHeight="1" thickBot="1" x14ac:dyDescent="0.35">
      <c r="A45" s="743" t="s">
        <v>75</v>
      </c>
      <c r="B45" s="755">
        <f>(B44/B43)*(B42/B41)*(B40/B39)*(B38/B37)*B36</f>
        <v>100</v>
      </c>
      <c r="C45" s="771" t="s">
        <v>76</v>
      </c>
      <c r="D45" s="774">
        <f>D44*$B$30/100</f>
        <v>11.922855999999999</v>
      </c>
      <c r="E45" s="775"/>
      <c r="F45" s="774">
        <f>F44*$B$30/100</f>
        <v>10.122992</v>
      </c>
      <c r="H45" s="645"/>
    </row>
    <row r="46" spans="1:14" ht="19.5" customHeight="1" thickBot="1" x14ac:dyDescent="0.35">
      <c r="A46" s="776" t="s">
        <v>77</v>
      </c>
      <c r="B46" s="777"/>
      <c r="C46" s="771" t="s">
        <v>78</v>
      </c>
      <c r="D46" s="778">
        <f>D45/$B$45</f>
        <v>0.11922856</v>
      </c>
      <c r="E46" s="779"/>
      <c r="F46" s="780">
        <f>F45/$B$45</f>
        <v>0.10122992</v>
      </c>
      <c r="H46" s="645"/>
    </row>
    <row r="47" spans="1:14" ht="27" customHeight="1" thickBot="1" x14ac:dyDescent="0.45">
      <c r="A47" s="781"/>
      <c r="B47" s="782"/>
      <c r="C47" s="783" t="s">
        <v>128</v>
      </c>
      <c r="D47" s="784">
        <v>0.1</v>
      </c>
      <c r="E47" s="785"/>
      <c r="F47" s="779"/>
      <c r="H47" s="645"/>
    </row>
    <row r="48" spans="1:14" ht="18.75" x14ac:dyDescent="0.3">
      <c r="C48" s="786" t="s">
        <v>80</v>
      </c>
      <c r="D48" s="774">
        <f>D47*$B$45</f>
        <v>10</v>
      </c>
      <c r="F48" s="787"/>
      <c r="H48" s="645"/>
    </row>
    <row r="49" spans="1:12" ht="19.5" customHeight="1" thickBot="1" x14ac:dyDescent="0.35">
      <c r="C49" s="788" t="s">
        <v>81</v>
      </c>
      <c r="D49" s="789">
        <f>D48/B34</f>
        <v>10</v>
      </c>
      <c r="F49" s="787"/>
      <c r="H49" s="645"/>
    </row>
    <row r="50" spans="1:12" ht="18.75" x14ac:dyDescent="0.3">
      <c r="C50" s="738" t="s">
        <v>82</v>
      </c>
      <c r="D50" s="790">
        <f>AVERAGE(E38:E41,G38:G41)</f>
        <v>23122226.113114465</v>
      </c>
      <c r="F50" s="791"/>
      <c r="H50" s="645"/>
    </row>
    <row r="51" spans="1:12" ht="18.75" x14ac:dyDescent="0.3">
      <c r="C51" s="743" t="s">
        <v>83</v>
      </c>
      <c r="D51" s="792">
        <f>STDEV(E38:E41,G38:G41)/D50</f>
        <v>1.2670076132759658E-2</v>
      </c>
      <c r="F51" s="791"/>
      <c r="H51" s="645"/>
    </row>
    <row r="52" spans="1:12" ht="19.5" customHeight="1" thickBot="1" x14ac:dyDescent="0.35">
      <c r="C52" s="793" t="s">
        <v>20</v>
      </c>
      <c r="D52" s="794">
        <f>COUNT(E38:E41,G38:G41)</f>
        <v>6</v>
      </c>
      <c r="F52" s="791"/>
    </row>
    <row r="54" spans="1:12" ht="18.75" x14ac:dyDescent="0.3">
      <c r="A54" s="795" t="s">
        <v>1</v>
      </c>
      <c r="B54" s="796" t="s">
        <v>84</v>
      </c>
    </row>
    <row r="55" spans="1:12" ht="18.75" x14ac:dyDescent="0.3">
      <c r="A55" s="701" t="s">
        <v>85</v>
      </c>
      <c r="B55" s="797" t="str">
        <f>B21</f>
        <v>EACH TABLET CONTAINS 100 MG ACECLOFENAC</v>
      </c>
    </row>
    <row r="56" spans="1:12" ht="26.25" customHeight="1" x14ac:dyDescent="0.4">
      <c r="A56" s="797" t="s">
        <v>86</v>
      </c>
      <c r="B56" s="798">
        <v>100</v>
      </c>
      <c r="C56" s="701" t="str">
        <f>B20</f>
        <v>ACECLOFENAC</v>
      </c>
      <c r="H56" s="773"/>
    </row>
    <row r="57" spans="1:12" ht="18.75" x14ac:dyDescent="0.3">
      <c r="A57" s="797" t="s">
        <v>87</v>
      </c>
      <c r="B57" s="799">
        <f>'Uniformity 3'!C46</f>
        <v>217.96749999999997</v>
      </c>
      <c r="H57" s="773"/>
    </row>
    <row r="58" spans="1:12" ht="19.5" customHeight="1" thickBot="1" x14ac:dyDescent="0.35">
      <c r="H58" s="773"/>
    </row>
    <row r="59" spans="1:12" s="621" customFormat="1" ht="27" customHeight="1" thickBot="1" x14ac:dyDescent="0.45">
      <c r="A59" s="738" t="s">
        <v>129</v>
      </c>
      <c r="B59" s="739">
        <v>50</v>
      </c>
      <c r="C59" s="701"/>
      <c r="D59" s="800" t="s">
        <v>89</v>
      </c>
      <c r="E59" s="801" t="s">
        <v>62</v>
      </c>
      <c r="F59" s="801" t="s">
        <v>63</v>
      </c>
      <c r="G59" s="801" t="s">
        <v>90</v>
      </c>
      <c r="H59" s="745" t="s">
        <v>91</v>
      </c>
      <c r="L59" s="725"/>
    </row>
    <row r="60" spans="1:12" s="621" customFormat="1" ht="26.25" customHeight="1" x14ac:dyDescent="0.4">
      <c r="A60" s="743" t="s">
        <v>157</v>
      </c>
      <c r="B60" s="744">
        <v>5</v>
      </c>
      <c r="C60" s="802" t="s">
        <v>93</v>
      </c>
      <c r="D60" s="803">
        <v>112.6</v>
      </c>
      <c r="E60" s="804">
        <v>1</v>
      </c>
      <c r="F60" s="805">
        <v>19925172</v>
      </c>
      <c r="G60" s="806">
        <f>IF(ISBLANK(F60),"-",(F60/$D$50*$D$47*$B$68)*($B$57/$D$60))</f>
        <v>83.405711605734211</v>
      </c>
      <c r="H60" s="899">
        <f t="shared" ref="H60:H71" si="0">IF(ISBLANK(F60),"-",(G60/$B$56)*100)</f>
        <v>83.405711605734211</v>
      </c>
      <c r="I60" s="898"/>
      <c r="L60" s="725"/>
    </row>
    <row r="61" spans="1:12" s="621" customFormat="1" ht="26.25" customHeight="1" x14ac:dyDescent="0.4">
      <c r="A61" s="743" t="s">
        <v>158</v>
      </c>
      <c r="B61" s="744">
        <v>50</v>
      </c>
      <c r="C61" s="807"/>
      <c r="D61" s="808"/>
      <c r="E61" s="809">
        <v>2</v>
      </c>
      <c r="F61" s="756">
        <v>19974631</v>
      </c>
      <c r="G61" s="810">
        <f>IF(ISBLANK(F61),"-",(F61/$D$50*$D$47*$B$68)*($B$57/$D$60))</f>
        <v>83.612744352568612</v>
      </c>
      <c r="H61" s="900">
        <f t="shared" si="0"/>
        <v>83.612744352568612</v>
      </c>
      <c r="I61" s="898"/>
      <c r="L61" s="725"/>
    </row>
    <row r="62" spans="1:12" s="621" customFormat="1" ht="26.25" customHeight="1" x14ac:dyDescent="0.4">
      <c r="A62" s="743" t="s">
        <v>159</v>
      </c>
      <c r="B62" s="744">
        <v>1</v>
      </c>
      <c r="C62" s="807"/>
      <c r="D62" s="808"/>
      <c r="E62" s="809">
        <v>3</v>
      </c>
      <c r="F62" s="811">
        <v>19980971</v>
      </c>
      <c r="G62" s="810">
        <f>IF(ISBLANK(F62),"-",(F62/$D$50*$D$47*$B$68)*($B$57/$D$60))</f>
        <v>83.63928325580018</v>
      </c>
      <c r="H62" s="900">
        <f t="shared" si="0"/>
        <v>83.63928325580018</v>
      </c>
      <c r="I62" s="898"/>
      <c r="L62" s="725"/>
    </row>
    <row r="63" spans="1:12" ht="27" customHeight="1" thickBot="1" x14ac:dyDescent="0.45">
      <c r="A63" s="743" t="s">
        <v>160</v>
      </c>
      <c r="B63" s="744">
        <v>1</v>
      </c>
      <c r="C63" s="812"/>
      <c r="D63" s="813"/>
      <c r="E63" s="814">
        <v>4</v>
      </c>
      <c r="F63" s="815"/>
      <c r="G63" s="810" t="str">
        <f>IF(ISBLANK(F63),"-",(F63/$D$50*$D$47*$B$68)*($B$57/$D$60))</f>
        <v>-</v>
      </c>
      <c r="H63" s="900" t="str">
        <f t="shared" si="0"/>
        <v>-</v>
      </c>
    </row>
    <row r="64" spans="1:12" ht="26.25" customHeight="1" x14ac:dyDescent="0.4">
      <c r="A64" s="743" t="s">
        <v>161</v>
      </c>
      <c r="B64" s="744">
        <v>1</v>
      </c>
      <c r="C64" s="802" t="s">
        <v>98</v>
      </c>
      <c r="D64" s="803">
        <v>110.32</v>
      </c>
      <c r="E64" s="804">
        <v>1</v>
      </c>
      <c r="F64" s="805">
        <v>19580035</v>
      </c>
      <c r="G64" s="806">
        <f>IF(ISBLANK(F64),"-",(F64/$D$50*$D$47*$B$68)*($B$57/$D$64))</f>
        <v>83.654886466902994</v>
      </c>
      <c r="H64" s="901">
        <f t="shared" si="0"/>
        <v>83.654886466902994</v>
      </c>
    </row>
    <row r="65" spans="1:10" ht="26.25" customHeight="1" x14ac:dyDescent="0.4">
      <c r="A65" s="743" t="s">
        <v>162</v>
      </c>
      <c r="B65" s="744">
        <v>1</v>
      </c>
      <c r="C65" s="807"/>
      <c r="D65" s="808"/>
      <c r="E65" s="809">
        <v>2</v>
      </c>
      <c r="F65" s="756">
        <v>19632032</v>
      </c>
      <c r="G65" s="810">
        <f>IF(ISBLANK(F65),"-",(F65/$D$50*$D$47*$B$68)*($B$57/$D$64))</f>
        <v>83.877041490201947</v>
      </c>
      <c r="H65" s="900">
        <f t="shared" si="0"/>
        <v>83.877041490201947</v>
      </c>
    </row>
    <row r="66" spans="1:10" ht="26.25" customHeight="1" x14ac:dyDescent="0.4">
      <c r="A66" s="743" t="s">
        <v>163</v>
      </c>
      <c r="B66" s="744">
        <v>1</v>
      </c>
      <c r="C66" s="807"/>
      <c r="D66" s="808"/>
      <c r="E66" s="809">
        <v>3</v>
      </c>
      <c r="F66" s="756">
        <v>19669031</v>
      </c>
      <c r="G66" s="810">
        <f>IF(ISBLANK(F66),"-",(F66/$D$50*$D$47*$B$68)*($B$57/$D$64))</f>
        <v>84.035118181300263</v>
      </c>
      <c r="H66" s="900">
        <f t="shared" si="0"/>
        <v>84.035118181300263</v>
      </c>
    </row>
    <row r="67" spans="1:10" ht="27" customHeight="1" thickBot="1" x14ac:dyDescent="0.45">
      <c r="A67" s="743" t="s">
        <v>164</v>
      </c>
      <c r="B67" s="744">
        <v>1</v>
      </c>
      <c r="C67" s="812"/>
      <c r="D67" s="813"/>
      <c r="E67" s="814">
        <v>4</v>
      </c>
      <c r="F67" s="815"/>
      <c r="G67" s="816" t="str">
        <f>IF(ISBLANK(F67),"-",(F67/$D$50*$D$47*$B$68)*($B$57/$D$64))</f>
        <v>-</v>
      </c>
      <c r="H67" s="902" t="str">
        <f t="shared" si="0"/>
        <v>-</v>
      </c>
    </row>
    <row r="68" spans="1:10" ht="26.25" customHeight="1" x14ac:dyDescent="0.4">
      <c r="A68" s="743" t="s">
        <v>102</v>
      </c>
      <c r="B68" s="817">
        <f>(B67/B66)*(B65/B64)*(B63/B62)*(B61/B60)*B59</f>
        <v>500</v>
      </c>
      <c r="C68" s="802" t="s">
        <v>103</v>
      </c>
      <c r="D68" s="803">
        <v>108.13</v>
      </c>
      <c r="E68" s="804">
        <v>1</v>
      </c>
      <c r="F68" s="805">
        <v>18886113</v>
      </c>
      <c r="G68" s="806">
        <f>IF(ISBLANK(F68),"-",(F68/$D$50*$D$47*$B$68)*($B$57/$D$68))</f>
        <v>82.324382981976242</v>
      </c>
      <c r="H68" s="901">
        <f t="shared" si="0"/>
        <v>82.324382981976242</v>
      </c>
    </row>
    <row r="69" spans="1:10" ht="27" customHeight="1" thickBot="1" x14ac:dyDescent="0.45">
      <c r="A69" s="793" t="s">
        <v>131</v>
      </c>
      <c r="B69" s="818">
        <f>(D47*B68)/B56*B57</f>
        <v>108.98374999999999</v>
      </c>
      <c r="C69" s="807"/>
      <c r="D69" s="808"/>
      <c r="E69" s="809">
        <v>2</v>
      </c>
      <c r="F69" s="756">
        <v>18929325</v>
      </c>
      <c r="G69" s="810">
        <f>IF(ISBLANK(F69),"-",(F69/$D$50*$D$47*$B$68)*($B$57/$D$68))</f>
        <v>82.512743669928156</v>
      </c>
      <c r="H69" s="900">
        <f t="shared" si="0"/>
        <v>82.512743669928156</v>
      </c>
    </row>
    <row r="70" spans="1:10" ht="26.25" customHeight="1" x14ac:dyDescent="0.4">
      <c r="A70" s="819" t="s">
        <v>77</v>
      </c>
      <c r="B70" s="820"/>
      <c r="C70" s="807"/>
      <c r="D70" s="808"/>
      <c r="E70" s="809">
        <v>3</v>
      </c>
      <c r="F70" s="756">
        <v>18981955</v>
      </c>
      <c r="G70" s="810">
        <f>IF(ISBLANK(F70),"-",(F70/$D$50*$D$47*$B$68)*($B$57/$D$68))</f>
        <v>82.742157328331103</v>
      </c>
      <c r="H70" s="900">
        <f t="shared" si="0"/>
        <v>82.742157328331103</v>
      </c>
    </row>
    <row r="71" spans="1:10" ht="27" customHeight="1" thickBot="1" x14ac:dyDescent="0.45">
      <c r="A71" s="821"/>
      <c r="B71" s="822"/>
      <c r="C71" s="823"/>
      <c r="D71" s="813"/>
      <c r="E71" s="814">
        <v>4</v>
      </c>
      <c r="F71" s="815"/>
      <c r="G71" s="816" t="str">
        <f>IF(ISBLANK(F71),"-",(F71/$D$50*$D$47*$B$68)*($B$57/$D$68))</f>
        <v>-</v>
      </c>
      <c r="H71" s="903" t="str">
        <f t="shared" si="0"/>
        <v>-</v>
      </c>
      <c r="J71" s="896" t="s">
        <v>173</v>
      </c>
    </row>
    <row r="72" spans="1:10" ht="26.25" customHeight="1" x14ac:dyDescent="0.4">
      <c r="A72" s="773"/>
      <c r="B72" s="773"/>
      <c r="C72" s="773"/>
      <c r="D72" s="773"/>
      <c r="E72" s="773"/>
      <c r="F72" s="824" t="s">
        <v>70</v>
      </c>
      <c r="G72" s="825">
        <f>AVERAGE(G60:G71)</f>
        <v>83.311563259193747</v>
      </c>
      <c r="H72" s="826">
        <f>AVERAGE(H60:H71)</f>
        <v>83.311563259193747</v>
      </c>
      <c r="J72" s="897">
        <f>AVERAGE('Aceclofenac S1 ASSAY'!H60:H71,'Aceclofenac S2 ASSAY'!H60:H71)</f>
        <v>0.80496601906903176</v>
      </c>
    </row>
    <row r="73" spans="1:10" ht="26.25" customHeight="1" thickBot="1" x14ac:dyDescent="0.45">
      <c r="C73" s="773"/>
      <c r="D73" s="773"/>
      <c r="E73" s="773"/>
      <c r="F73" s="827" t="s">
        <v>83</v>
      </c>
      <c r="G73" s="828">
        <f>STDEV(G60:G71)/G72</f>
        <v>7.4779189735537099E-3</v>
      </c>
      <c r="H73" s="828">
        <f>STDEV(H60:H71)/H72</f>
        <v>7.4779189735537099E-3</v>
      </c>
      <c r="J73" s="904">
        <f>STDEV('Aceclofenac S1 ASSAY'!H60:H71,'Aceclofenac S2 ASSAY'!H60:H71)/J72</f>
        <v>5.1020028121189491E-2</v>
      </c>
    </row>
    <row r="74" spans="1:10" ht="27" customHeight="1" thickBot="1" x14ac:dyDescent="0.45">
      <c r="A74" s="773"/>
      <c r="B74" s="773"/>
      <c r="C74" s="773"/>
      <c r="D74" s="773"/>
      <c r="E74" s="775"/>
      <c r="F74" s="829" t="s">
        <v>20</v>
      </c>
      <c r="G74" s="830">
        <f>COUNT(G60:G71)</f>
        <v>9</v>
      </c>
      <c r="H74" s="830">
        <f>COUNT(H60:H71)</f>
        <v>9</v>
      </c>
      <c r="J74" s="830">
        <f>COUNT('Aceclofenac S1 ASSAY'!H60:H71,'Aceclofenac S2 ASSAY'!H60:H71)</f>
        <v>18</v>
      </c>
    </row>
    <row r="76" spans="1:10" ht="26.25" customHeight="1" x14ac:dyDescent="0.4">
      <c r="A76" s="717" t="s">
        <v>132</v>
      </c>
      <c r="B76" s="718" t="s">
        <v>106</v>
      </c>
      <c r="C76" s="831" t="str">
        <f>B26</f>
        <v>ACECLOFENAC</v>
      </c>
      <c r="D76" s="831"/>
      <c r="E76" s="701" t="s">
        <v>107</v>
      </c>
      <c r="F76" s="701"/>
      <c r="G76" s="832">
        <f>H72</f>
        <v>83.311563259193747</v>
      </c>
      <c r="H76" s="726"/>
    </row>
    <row r="77" spans="1:10" ht="18.75" x14ac:dyDescent="0.3">
      <c r="A77" s="716" t="s">
        <v>108</v>
      </c>
      <c r="B77" s="716" t="s">
        <v>109</v>
      </c>
    </row>
    <row r="78" spans="1:10" ht="18.75" x14ac:dyDescent="0.3">
      <c r="A78" s="716"/>
      <c r="B78" s="716"/>
    </row>
    <row r="79" spans="1:10" ht="26.25" customHeight="1" x14ac:dyDescent="0.4">
      <c r="A79" s="717" t="s">
        <v>4</v>
      </c>
      <c r="B79" s="833" t="str">
        <f>B26</f>
        <v>ACECLOFENAC</v>
      </c>
      <c r="C79" s="833"/>
    </row>
    <row r="80" spans="1:10" ht="26.25" customHeight="1" x14ac:dyDescent="0.4">
      <c r="A80" s="718" t="s">
        <v>48</v>
      </c>
      <c r="B80" s="833" t="str">
        <f>B27</f>
        <v>A52-7</v>
      </c>
      <c r="C80" s="833"/>
    </row>
    <row r="81" spans="1:12" ht="27" customHeight="1" thickBot="1" x14ac:dyDescent="0.45">
      <c r="A81" s="718" t="s">
        <v>6</v>
      </c>
      <c r="B81" s="720">
        <f>B28</f>
        <v>99.44</v>
      </c>
    </row>
    <row r="82" spans="1:12" s="621" customFormat="1" ht="27" customHeight="1" thickBot="1" x14ac:dyDescent="0.45">
      <c r="A82" s="718" t="s">
        <v>49</v>
      </c>
      <c r="B82" s="721">
        <v>0</v>
      </c>
      <c r="C82" s="722" t="s">
        <v>117</v>
      </c>
      <c r="D82" s="723"/>
      <c r="E82" s="723"/>
      <c r="F82" s="723"/>
      <c r="G82" s="724"/>
      <c r="I82" s="725"/>
      <c r="J82" s="725"/>
      <c r="K82" s="725"/>
      <c r="L82" s="725"/>
    </row>
    <row r="83" spans="1:12" s="621" customFormat="1" ht="19.5" customHeight="1" thickBot="1" x14ac:dyDescent="0.35">
      <c r="A83" s="718" t="s">
        <v>51</v>
      </c>
      <c r="B83" s="726">
        <f>B81-B82</f>
        <v>99.44</v>
      </c>
      <c r="C83" s="727"/>
      <c r="D83" s="727"/>
      <c r="E83" s="727"/>
      <c r="F83" s="727"/>
      <c r="G83" s="728"/>
      <c r="I83" s="725"/>
      <c r="J83" s="725"/>
      <c r="K83" s="725"/>
      <c r="L83" s="725"/>
    </row>
    <row r="84" spans="1:12" s="621" customFormat="1" ht="27" customHeight="1" thickBot="1" x14ac:dyDescent="0.45">
      <c r="A84" s="718" t="s">
        <v>52</v>
      </c>
      <c r="B84" s="729">
        <v>1</v>
      </c>
      <c r="C84" s="730" t="s">
        <v>133</v>
      </c>
      <c r="D84" s="731"/>
      <c r="E84" s="731"/>
      <c r="F84" s="731"/>
      <c r="G84" s="731"/>
      <c r="H84" s="732"/>
      <c r="I84" s="725"/>
      <c r="J84" s="725"/>
      <c r="K84" s="725"/>
      <c r="L84" s="725"/>
    </row>
    <row r="85" spans="1:12" s="621" customFormat="1" ht="27" customHeight="1" thickBot="1" x14ac:dyDescent="0.45">
      <c r="A85" s="718" t="s">
        <v>54</v>
      </c>
      <c r="B85" s="729">
        <v>1</v>
      </c>
      <c r="C85" s="730" t="s">
        <v>134</v>
      </c>
      <c r="D85" s="731"/>
      <c r="E85" s="731"/>
      <c r="F85" s="731"/>
      <c r="G85" s="731"/>
      <c r="H85" s="732"/>
      <c r="I85" s="725"/>
      <c r="J85" s="725"/>
      <c r="K85" s="725"/>
      <c r="L85" s="725"/>
    </row>
    <row r="86" spans="1:12" s="621" customFormat="1" ht="18.75" x14ac:dyDescent="0.3">
      <c r="A86" s="718"/>
      <c r="B86" s="735"/>
      <c r="C86" s="736"/>
      <c r="D86" s="736"/>
      <c r="E86" s="736"/>
      <c r="F86" s="736"/>
      <c r="G86" s="736"/>
      <c r="H86" s="736"/>
      <c r="I86" s="725"/>
      <c r="J86" s="725"/>
      <c r="K86" s="725"/>
      <c r="L86" s="725"/>
    </row>
    <row r="87" spans="1:12" s="621" customFormat="1" ht="18.75" x14ac:dyDescent="0.3">
      <c r="A87" s="718" t="s">
        <v>56</v>
      </c>
      <c r="B87" s="737">
        <f>B84/B85</f>
        <v>1</v>
      </c>
      <c r="C87" s="701" t="s">
        <v>57</v>
      </c>
      <c r="D87" s="701"/>
      <c r="E87" s="701"/>
      <c r="F87" s="701"/>
      <c r="G87" s="701"/>
      <c r="I87" s="725"/>
      <c r="J87" s="725"/>
      <c r="K87" s="725"/>
      <c r="L87" s="725"/>
    </row>
    <row r="88" spans="1:12" ht="19.5" customHeight="1" thickBot="1" x14ac:dyDescent="0.35">
      <c r="A88" s="716"/>
      <c r="B88" s="716"/>
    </row>
    <row r="89" spans="1:12" ht="27" customHeight="1" thickBot="1" x14ac:dyDescent="0.45">
      <c r="A89" s="738" t="s">
        <v>126</v>
      </c>
      <c r="B89" s="739">
        <v>100</v>
      </c>
      <c r="D89" s="834" t="s">
        <v>59</v>
      </c>
      <c r="E89" s="835"/>
      <c r="F89" s="740" t="s">
        <v>60</v>
      </c>
      <c r="G89" s="742"/>
    </row>
    <row r="90" spans="1:12" ht="27" customHeight="1" thickBot="1" x14ac:dyDescent="0.45">
      <c r="A90" s="743" t="s">
        <v>149</v>
      </c>
      <c r="B90" s="744">
        <v>5</v>
      </c>
      <c r="C90" s="836" t="s">
        <v>62</v>
      </c>
      <c r="D90" s="746" t="s">
        <v>63</v>
      </c>
      <c r="E90" s="747" t="s">
        <v>64</v>
      </c>
      <c r="F90" s="746" t="s">
        <v>63</v>
      </c>
      <c r="G90" s="837" t="s">
        <v>64</v>
      </c>
      <c r="I90" s="749" t="s">
        <v>127</v>
      </c>
    </row>
    <row r="91" spans="1:12" ht="26.25" customHeight="1" x14ac:dyDescent="0.4">
      <c r="A91" s="743" t="s">
        <v>150</v>
      </c>
      <c r="B91" s="744">
        <v>50</v>
      </c>
      <c r="C91" s="838">
        <v>1</v>
      </c>
      <c r="D91" s="839">
        <v>0.29799999999999999</v>
      </c>
      <c r="E91" s="752">
        <f>IF(ISBLANK(D91),"-",$D$101/$D$98*D91)</f>
        <v>0.29106274078116395</v>
      </c>
      <c r="F91" s="839">
        <v>0.318</v>
      </c>
      <c r="G91" s="753">
        <f>IF(ISBLANK(F91),"-",$D$101/$F$98*F91)</f>
        <v>0.29414167461404173</v>
      </c>
      <c r="I91" s="754"/>
    </row>
    <row r="92" spans="1:12" ht="26.25" customHeight="1" x14ac:dyDescent="0.4">
      <c r="A92" s="743" t="s">
        <v>151</v>
      </c>
      <c r="B92" s="744">
        <v>1</v>
      </c>
      <c r="C92" s="773">
        <v>2</v>
      </c>
      <c r="D92" s="840">
        <v>0.3</v>
      </c>
      <c r="E92" s="757">
        <f>IF(ISBLANK(D92),"-",$D$101/$D$98*D92)</f>
        <v>0.29301618199446033</v>
      </c>
      <c r="F92" s="840">
        <v>0.316</v>
      </c>
      <c r="G92" s="758">
        <f>IF(ISBLANK(F92),"-",$D$101/$F$98*F92)</f>
        <v>0.2922917269749597</v>
      </c>
      <c r="I92" s="759">
        <f>ABS((F96/D96*D95)-F95)/D95</f>
        <v>2.0269585486976925E-3</v>
      </c>
    </row>
    <row r="93" spans="1:12" ht="26.25" customHeight="1" x14ac:dyDescent="0.4">
      <c r="A93" s="743" t="s">
        <v>152</v>
      </c>
      <c r="B93" s="744">
        <v>1</v>
      </c>
      <c r="C93" s="773">
        <v>3</v>
      </c>
      <c r="D93" s="840">
        <v>0.29899999999999999</v>
      </c>
      <c r="E93" s="757">
        <f>IF(ISBLANK(D93),"-",$D$101/$D$98*D93)</f>
        <v>0.29203946138781212</v>
      </c>
      <c r="F93" s="840">
        <v>0.315</v>
      </c>
      <c r="G93" s="758">
        <f>IF(ISBLANK(F93),"-",$D$101/$F$98*F93)</f>
        <v>0.29136675315541866</v>
      </c>
      <c r="I93" s="759"/>
    </row>
    <row r="94" spans="1:12" ht="27" customHeight="1" thickBot="1" x14ac:dyDescent="0.45">
      <c r="A94" s="743" t="s">
        <v>153</v>
      </c>
      <c r="B94" s="744">
        <v>1</v>
      </c>
      <c r="C94" s="841">
        <v>4</v>
      </c>
      <c r="D94" s="842"/>
      <c r="E94" s="762" t="str">
        <f>IF(ISBLANK(D94),"-",$D$101/$D$98*D94)</f>
        <v>-</v>
      </c>
      <c r="F94" s="842"/>
      <c r="G94" s="763" t="str">
        <f>IF(ISBLANK(F94),"-",$D$101/$F$98*F94)</f>
        <v>-</v>
      </c>
      <c r="I94" s="764"/>
    </row>
    <row r="95" spans="1:12" ht="27" customHeight="1" thickBot="1" x14ac:dyDescent="0.45">
      <c r="A95" s="743" t="s">
        <v>154</v>
      </c>
      <c r="B95" s="744">
        <v>1</v>
      </c>
      <c r="C95" s="718" t="s">
        <v>70</v>
      </c>
      <c r="D95" s="843">
        <f>AVERAGE(D91:D94)</f>
        <v>0.29899999999999999</v>
      </c>
      <c r="E95" s="767">
        <f>AVERAGE(E91:E94)</f>
        <v>0.29203946138781212</v>
      </c>
      <c r="F95" s="844">
        <f>AVERAGE(F91:F94)</f>
        <v>0.31633333333333336</v>
      </c>
      <c r="G95" s="845">
        <f>AVERAGE(G91:G94)</f>
        <v>0.29260005158147334</v>
      </c>
    </row>
    <row r="96" spans="1:12" ht="26.25" customHeight="1" x14ac:dyDescent="0.4">
      <c r="A96" s="743" t="s">
        <v>155</v>
      </c>
      <c r="B96" s="720">
        <v>1</v>
      </c>
      <c r="C96" s="846" t="s">
        <v>119</v>
      </c>
      <c r="D96" s="847">
        <v>11.44</v>
      </c>
      <c r="E96" s="701"/>
      <c r="F96" s="770">
        <v>12.08</v>
      </c>
    </row>
    <row r="97" spans="1:10" ht="26.25" customHeight="1" x14ac:dyDescent="0.4">
      <c r="A97" s="743" t="s">
        <v>156</v>
      </c>
      <c r="B97" s="720">
        <v>1</v>
      </c>
      <c r="C97" s="848" t="s">
        <v>120</v>
      </c>
      <c r="D97" s="849">
        <f>D96*$B$87</f>
        <v>11.44</v>
      </c>
      <c r="E97" s="773"/>
      <c r="F97" s="772">
        <f>F96*$B$87</f>
        <v>12.08</v>
      </c>
    </row>
    <row r="98" spans="1:10" ht="19.5" customHeight="1" thickBot="1" x14ac:dyDescent="0.35">
      <c r="A98" s="743" t="s">
        <v>75</v>
      </c>
      <c r="B98" s="773">
        <f>(B97/B96)*(B95/B94)*(B93/B92)*(B91/B90)*B89</f>
        <v>1000</v>
      </c>
      <c r="C98" s="848" t="s">
        <v>121</v>
      </c>
      <c r="D98" s="850">
        <f>D97*$B$83/100</f>
        <v>11.375935999999999</v>
      </c>
      <c r="E98" s="775"/>
      <c r="F98" s="774">
        <f>F97*$B$83/100</f>
        <v>12.012352</v>
      </c>
    </row>
    <row r="99" spans="1:10" ht="19.5" customHeight="1" thickBot="1" x14ac:dyDescent="0.35">
      <c r="A99" s="776" t="s">
        <v>77</v>
      </c>
      <c r="B99" s="851"/>
      <c r="C99" s="848" t="s">
        <v>122</v>
      </c>
      <c r="D99" s="852">
        <f>D98/$B$98</f>
        <v>1.1375936E-2</v>
      </c>
      <c r="E99" s="775"/>
      <c r="F99" s="780">
        <f>F98/$B$98</f>
        <v>1.2012352E-2</v>
      </c>
      <c r="H99" s="645"/>
    </row>
    <row r="100" spans="1:10" ht="19.5" customHeight="1" thickBot="1" x14ac:dyDescent="0.35">
      <c r="A100" s="781"/>
      <c r="B100" s="853"/>
      <c r="C100" s="848" t="s">
        <v>128</v>
      </c>
      <c r="D100" s="854">
        <f>$B$56/$B$116</f>
        <v>1.1111111111111112E-2</v>
      </c>
      <c r="F100" s="787"/>
      <c r="G100" s="855"/>
      <c r="H100" s="645"/>
    </row>
    <row r="101" spans="1:10" ht="18.75" x14ac:dyDescent="0.3">
      <c r="C101" s="848" t="s">
        <v>80</v>
      </c>
      <c r="D101" s="849">
        <f>D100*$B$98</f>
        <v>11.111111111111111</v>
      </c>
      <c r="F101" s="787"/>
      <c r="H101" s="645"/>
    </row>
    <row r="102" spans="1:10" ht="19.5" customHeight="1" thickBot="1" x14ac:dyDescent="0.35">
      <c r="C102" s="856" t="s">
        <v>81</v>
      </c>
      <c r="D102" s="857">
        <f>D101/B34</f>
        <v>11.111111111111111</v>
      </c>
      <c r="F102" s="791"/>
      <c r="H102" s="645"/>
      <c r="J102" s="858"/>
    </row>
    <row r="103" spans="1:10" ht="18.75" x14ac:dyDescent="0.3">
      <c r="C103" s="859" t="s">
        <v>110</v>
      </c>
      <c r="D103" s="860">
        <f>AVERAGE(E91:E94,G91:G94)</f>
        <v>0.29231975648464276</v>
      </c>
      <c r="F103" s="791"/>
      <c r="G103" s="855"/>
      <c r="H103" s="645"/>
      <c r="J103" s="861"/>
    </row>
    <row r="104" spans="1:10" ht="18.75" x14ac:dyDescent="0.3">
      <c r="C104" s="827" t="s">
        <v>83</v>
      </c>
      <c r="D104" s="862">
        <f>STDEV(E91:E94,G91:G94)/D103</f>
        <v>3.8618587250558133E-3</v>
      </c>
      <c r="F104" s="791"/>
      <c r="H104" s="645"/>
      <c r="J104" s="861"/>
    </row>
    <row r="105" spans="1:10" ht="19.5" customHeight="1" thickBot="1" x14ac:dyDescent="0.35">
      <c r="C105" s="829" t="s">
        <v>20</v>
      </c>
      <c r="D105" s="863">
        <f>COUNT(E91:E94,G91:G94)</f>
        <v>6</v>
      </c>
      <c r="F105" s="791"/>
      <c r="H105" s="645"/>
      <c r="J105" s="861"/>
    </row>
    <row r="106" spans="1:10" ht="19.5" customHeight="1" thickBot="1" x14ac:dyDescent="0.35">
      <c r="A106" s="795"/>
      <c r="B106" s="795"/>
      <c r="C106" s="795"/>
      <c r="D106" s="795"/>
      <c r="E106" s="795"/>
    </row>
    <row r="107" spans="1:10" ht="27" customHeight="1" thickBot="1" x14ac:dyDescent="0.45">
      <c r="A107" s="738" t="s">
        <v>111</v>
      </c>
      <c r="B107" s="739">
        <v>900</v>
      </c>
      <c r="C107" s="801" t="s">
        <v>165</v>
      </c>
      <c r="D107" s="801" t="s">
        <v>63</v>
      </c>
      <c r="E107" s="801" t="s">
        <v>113</v>
      </c>
      <c r="F107" s="864" t="s">
        <v>114</v>
      </c>
    </row>
    <row r="108" spans="1:10" ht="26.25" customHeight="1" x14ac:dyDescent="0.4">
      <c r="A108" s="743" t="s">
        <v>166</v>
      </c>
      <c r="B108" s="744">
        <v>5</v>
      </c>
      <c r="C108" s="804">
        <v>1</v>
      </c>
      <c r="D108" s="865">
        <v>0.23200000000000001</v>
      </c>
      <c r="E108" s="866">
        <f t="shared" ref="E108:E113" si="1">IF(ISBLANK(D108),"-",D108/$D$103*$D$100*$B$116)</f>
        <v>79.365145479720013</v>
      </c>
      <c r="F108" s="244">
        <f t="shared" ref="F108:F113" si="2">IF(ISBLANK(D108), "-", E108/$B$56)</f>
        <v>0.79365145479720012</v>
      </c>
    </row>
    <row r="109" spans="1:10" ht="26.25" customHeight="1" x14ac:dyDescent="0.4">
      <c r="A109" s="743" t="s">
        <v>158</v>
      </c>
      <c r="B109" s="744">
        <v>50</v>
      </c>
      <c r="C109" s="809">
        <v>2</v>
      </c>
      <c r="D109" s="867">
        <v>0.216</v>
      </c>
      <c r="E109" s="868">
        <f t="shared" si="1"/>
        <v>73.891687170773807</v>
      </c>
      <c r="F109" s="245">
        <f t="shared" si="2"/>
        <v>0.73891687170773812</v>
      </c>
    </row>
    <row r="110" spans="1:10" ht="26.25" customHeight="1" x14ac:dyDescent="0.4">
      <c r="A110" s="743" t="s">
        <v>159</v>
      </c>
      <c r="B110" s="744">
        <v>1</v>
      </c>
      <c r="C110" s="809">
        <v>3</v>
      </c>
      <c r="D110" s="867">
        <v>0.25900000000000001</v>
      </c>
      <c r="E110" s="868">
        <f t="shared" si="1"/>
        <v>88.601606376066755</v>
      </c>
      <c r="F110" s="245">
        <f t="shared" si="2"/>
        <v>0.88601606376066755</v>
      </c>
    </row>
    <row r="111" spans="1:10" ht="26.25" customHeight="1" x14ac:dyDescent="0.4">
      <c r="A111" s="743" t="s">
        <v>160</v>
      </c>
      <c r="B111" s="744">
        <v>1</v>
      </c>
      <c r="C111" s="809">
        <v>4</v>
      </c>
      <c r="D111" s="867">
        <v>0.20200000000000001</v>
      </c>
      <c r="E111" s="868">
        <f t="shared" si="1"/>
        <v>69.102411150445874</v>
      </c>
      <c r="F111" s="245">
        <f t="shared" si="2"/>
        <v>0.69102411150445875</v>
      </c>
    </row>
    <row r="112" spans="1:10" ht="26.25" customHeight="1" x14ac:dyDescent="0.4">
      <c r="A112" s="743" t="s">
        <v>161</v>
      </c>
      <c r="B112" s="744">
        <v>1</v>
      </c>
      <c r="C112" s="809">
        <v>5</v>
      </c>
      <c r="D112" s="867">
        <v>0.20699999999999999</v>
      </c>
      <c r="E112" s="868">
        <f t="shared" si="1"/>
        <v>70.812866871991559</v>
      </c>
      <c r="F112" s="245">
        <f t="shared" si="2"/>
        <v>0.70812866871991564</v>
      </c>
    </row>
    <row r="113" spans="1:10" ht="27" customHeight="1" thickBot="1" x14ac:dyDescent="0.45">
      <c r="A113" s="743" t="s">
        <v>162</v>
      </c>
      <c r="B113" s="744">
        <v>1</v>
      </c>
      <c r="C113" s="814">
        <v>6</v>
      </c>
      <c r="D113" s="870">
        <v>0.20799999999999999</v>
      </c>
      <c r="E113" s="871">
        <f t="shared" si="1"/>
        <v>71.154958016300696</v>
      </c>
      <c r="F113" s="247">
        <f t="shared" si="2"/>
        <v>0.71154958016300696</v>
      </c>
    </row>
    <row r="114" spans="1:10" ht="27" customHeight="1" thickBot="1" x14ac:dyDescent="0.45">
      <c r="A114" s="743" t="s">
        <v>163</v>
      </c>
      <c r="B114" s="744">
        <v>1</v>
      </c>
      <c r="C114" s="872"/>
      <c r="D114" s="773"/>
      <c r="E114" s="701"/>
      <c r="F114" s="869"/>
      <c r="G114" s="905" t="s">
        <v>174</v>
      </c>
    </row>
    <row r="115" spans="1:10" ht="26.25" customHeight="1" x14ac:dyDescent="0.4">
      <c r="A115" s="743" t="s">
        <v>164</v>
      </c>
      <c r="B115" s="744">
        <v>1</v>
      </c>
      <c r="C115" s="872"/>
      <c r="D115" s="873" t="s">
        <v>70</v>
      </c>
      <c r="E115" s="874">
        <f>AVERAGE(E108:E113)</f>
        <v>75.488112510883127</v>
      </c>
      <c r="F115" s="909">
        <f>AVERAGE(F108:F113)</f>
        <v>0.7548811251088311</v>
      </c>
      <c r="G115" s="906">
        <f>AVERAGE('Aceclofenac S2'!F108:F113,'Aceclofenac S2'!F151:F156,F108:F113)</f>
        <v>0.70730078293955689</v>
      </c>
    </row>
    <row r="116" spans="1:10" ht="27" customHeight="1" thickBot="1" x14ac:dyDescent="0.45">
      <c r="A116" s="743" t="s">
        <v>102</v>
      </c>
      <c r="B116" s="755">
        <f>(B115/B114)*(B113/B112)*(B111/B110)*(B109/B108)*B107</f>
        <v>9000</v>
      </c>
      <c r="C116" s="875"/>
      <c r="D116" s="876" t="s">
        <v>83</v>
      </c>
      <c r="E116" s="828">
        <f>STDEV(E108:E113)/E115</f>
        <v>9.7518053777783581E-2</v>
      </c>
      <c r="F116" s="877">
        <f>STDEV(F108:F113)/F115</f>
        <v>9.7518053777783595E-2</v>
      </c>
      <c r="G116" s="910">
        <f>STDEV('Aceclofenac S2'!F108:F113,'Aceclofenac S2'!F151:F156,F108:F113)/G115</f>
        <v>9.3787429683811693E-2</v>
      </c>
      <c r="I116" s="701"/>
    </row>
    <row r="117" spans="1:10" ht="27" customHeight="1" thickBot="1" x14ac:dyDescent="0.45">
      <c r="A117" s="776" t="s">
        <v>77</v>
      </c>
      <c r="B117" s="777"/>
      <c r="C117" s="878"/>
      <c r="D117" s="829" t="s">
        <v>20</v>
      </c>
      <c r="E117" s="879">
        <f>COUNT(E108:E113)</f>
        <v>6</v>
      </c>
      <c r="F117" s="880">
        <f>COUNT(F108:F113)</f>
        <v>6</v>
      </c>
      <c r="G117" s="880">
        <f>COUNT('Aceclofenac S2'!F108:F113,'Aceclofenac S2'!F151:F156,F108:F113)</f>
        <v>18</v>
      </c>
      <c r="I117" s="701"/>
      <c r="J117" s="861"/>
    </row>
    <row r="118" spans="1:10" ht="26.25" customHeight="1" thickBot="1" x14ac:dyDescent="0.35">
      <c r="A118" s="781"/>
      <c r="B118" s="782"/>
      <c r="C118" s="701"/>
      <c r="D118" s="881"/>
      <c r="E118" s="882" t="s">
        <v>167</v>
      </c>
      <c r="F118" s="883"/>
      <c r="G118" s="701"/>
      <c r="H118" s="701"/>
      <c r="I118" s="701"/>
    </row>
    <row r="119" spans="1:10" ht="25.5" customHeight="1" x14ac:dyDescent="0.4">
      <c r="A119" s="884"/>
      <c r="B119" s="736"/>
      <c r="C119" s="701"/>
      <c r="D119" s="876" t="s">
        <v>168</v>
      </c>
      <c r="E119" s="885">
        <f>MIN(E108:E113)</f>
        <v>69.102411150445874</v>
      </c>
      <c r="F119" s="886">
        <f>MIN(F108:F113)</f>
        <v>0.69102411150445875</v>
      </c>
      <c r="G119" s="701"/>
      <c r="H119" s="701"/>
      <c r="I119" s="701"/>
    </row>
    <row r="120" spans="1:10" ht="24" customHeight="1" thickBot="1" x14ac:dyDescent="0.45">
      <c r="A120" s="884"/>
      <c r="B120" s="736"/>
      <c r="C120" s="701"/>
      <c r="D120" s="788" t="s">
        <v>169</v>
      </c>
      <c r="E120" s="887">
        <f>MAX(E108:E113)</f>
        <v>88.601606376066755</v>
      </c>
      <c r="F120" s="888">
        <f>MAX(F108:F113)</f>
        <v>0.88601606376066755</v>
      </c>
      <c r="G120" s="701"/>
      <c r="H120" s="701"/>
      <c r="I120" s="701"/>
    </row>
    <row r="121" spans="1:10" ht="27" customHeight="1" x14ac:dyDescent="0.3">
      <c r="A121" s="884"/>
      <c r="B121" s="736"/>
      <c r="C121" s="701"/>
      <c r="D121" s="701"/>
      <c r="E121" s="701"/>
      <c r="F121" s="773"/>
      <c r="G121" s="701"/>
      <c r="H121" s="701"/>
      <c r="I121" s="701"/>
    </row>
    <row r="122" spans="1:10" ht="25.5" customHeight="1" x14ac:dyDescent="0.3">
      <c r="A122" s="884"/>
      <c r="B122" s="736"/>
      <c r="C122" s="701"/>
      <c r="D122" s="701"/>
      <c r="E122" s="701"/>
      <c r="F122" s="773"/>
      <c r="G122" s="701"/>
      <c r="H122" s="701"/>
      <c r="I122" s="701"/>
    </row>
    <row r="123" spans="1:10" ht="18.75" x14ac:dyDescent="0.3">
      <c r="A123" s="884"/>
      <c r="B123" s="736"/>
      <c r="C123" s="701"/>
      <c r="D123" s="701"/>
      <c r="E123" s="701"/>
      <c r="F123" s="773"/>
      <c r="G123" s="701"/>
      <c r="H123" s="701"/>
      <c r="I123" s="701"/>
    </row>
    <row r="124" spans="1:10" ht="45.75" customHeight="1" x14ac:dyDescent="0.65">
      <c r="A124" s="717" t="s">
        <v>132</v>
      </c>
      <c r="B124" s="718" t="s">
        <v>124</v>
      </c>
      <c r="C124" s="831" t="str">
        <f>B26</f>
        <v>ACECLOFENAC</v>
      </c>
      <c r="D124" s="831"/>
      <c r="E124" s="701" t="s">
        <v>125</v>
      </c>
      <c r="F124" s="701"/>
      <c r="G124" s="911">
        <f>G115</f>
        <v>0.70730078293955689</v>
      </c>
      <c r="H124" s="701"/>
      <c r="I124" s="701"/>
    </row>
    <row r="125" spans="1:10" ht="45.75" customHeight="1" x14ac:dyDescent="0.65">
      <c r="A125" s="717"/>
      <c r="B125" s="718" t="s">
        <v>170</v>
      </c>
      <c r="C125" s="718" t="s">
        <v>171</v>
      </c>
      <c r="D125" s="911">
        <f>MIN('Aceclofenac S2'!F108:F113,'Aceclofenac S2'!F151:F156,F108:F113)</f>
        <v>0.62692329352843645</v>
      </c>
      <c r="E125" s="718" t="s">
        <v>172</v>
      </c>
      <c r="F125" s="911">
        <f>MAX('Aceclofenac S2'!F108:F113,'Aceclofenac S2'!F151:F156,F108:F113)</f>
        <v>0.88601606376066755</v>
      </c>
      <c r="G125" s="832"/>
      <c r="H125" s="701"/>
      <c r="I125" s="701"/>
    </row>
    <row r="126" spans="1:10" ht="19.5" customHeight="1" thickBot="1" x14ac:dyDescent="0.35">
      <c r="A126" s="889"/>
      <c r="B126" s="889"/>
      <c r="C126" s="890"/>
      <c r="D126" s="890"/>
      <c r="E126" s="890"/>
      <c r="F126" s="890"/>
      <c r="G126" s="890"/>
      <c r="H126" s="890"/>
    </row>
    <row r="127" spans="1:10" ht="18.75" x14ac:dyDescent="0.3">
      <c r="B127" s="891" t="s">
        <v>26</v>
      </c>
      <c r="C127" s="891"/>
      <c r="E127" s="836" t="s">
        <v>27</v>
      </c>
      <c r="F127" s="892"/>
      <c r="G127" s="891" t="s">
        <v>28</v>
      </c>
      <c r="H127" s="891"/>
    </row>
    <row r="128" spans="1:10" ht="69.95" customHeight="1" x14ac:dyDescent="0.3">
      <c r="A128" s="717" t="s">
        <v>29</v>
      </c>
      <c r="B128" s="893"/>
      <c r="C128" s="893"/>
      <c r="E128" s="893"/>
      <c r="F128" s="701"/>
      <c r="G128" s="893"/>
      <c r="H128" s="893"/>
    </row>
    <row r="129" spans="1:9" ht="69.95" customHeight="1" x14ac:dyDescent="0.3">
      <c r="A129" s="717" t="s">
        <v>30</v>
      </c>
      <c r="B129" s="894"/>
      <c r="C129" s="894"/>
      <c r="E129" s="894"/>
      <c r="F129" s="701"/>
      <c r="G129" s="895"/>
      <c r="H129" s="895"/>
    </row>
    <row r="130" spans="1:9" ht="18.75" x14ac:dyDescent="0.3">
      <c r="A130" s="773"/>
      <c r="B130" s="773"/>
      <c r="C130" s="773"/>
      <c r="D130" s="773"/>
      <c r="E130" s="773"/>
      <c r="F130" s="775"/>
      <c r="G130" s="773"/>
      <c r="H130" s="773"/>
      <c r="I130" s="701"/>
    </row>
    <row r="131" spans="1:9" ht="18.75" x14ac:dyDescent="0.3">
      <c r="A131" s="773"/>
      <c r="B131" s="773"/>
      <c r="C131" s="773"/>
      <c r="D131" s="773"/>
      <c r="E131" s="773"/>
      <c r="F131" s="775"/>
      <c r="G131" s="773"/>
      <c r="H131" s="773"/>
      <c r="I131" s="701"/>
    </row>
    <row r="132" spans="1:9" ht="18.75" x14ac:dyDescent="0.3">
      <c r="A132" s="773"/>
      <c r="B132" s="773"/>
      <c r="C132" s="773"/>
      <c r="D132" s="773"/>
      <c r="E132" s="773"/>
      <c r="F132" s="775"/>
      <c r="G132" s="773"/>
      <c r="H132" s="773"/>
      <c r="I132" s="701"/>
    </row>
    <row r="133" spans="1:9" ht="18.75" x14ac:dyDescent="0.3">
      <c r="A133" s="773"/>
      <c r="B133" s="773"/>
      <c r="C133" s="773"/>
      <c r="D133" s="773"/>
      <c r="E133" s="773"/>
      <c r="F133" s="775"/>
      <c r="G133" s="773"/>
      <c r="H133" s="773"/>
      <c r="I133" s="701"/>
    </row>
    <row r="134" spans="1:9" ht="18.75" x14ac:dyDescent="0.3">
      <c r="A134" s="773"/>
      <c r="B134" s="773"/>
      <c r="C134" s="773"/>
      <c r="D134" s="773"/>
      <c r="E134" s="773"/>
      <c r="F134" s="775"/>
      <c r="G134" s="773"/>
      <c r="H134" s="773"/>
      <c r="I134" s="701"/>
    </row>
    <row r="135" spans="1:9" ht="18.75" x14ac:dyDescent="0.3">
      <c r="A135" s="773"/>
      <c r="B135" s="773"/>
      <c r="C135" s="773"/>
      <c r="D135" s="773"/>
      <c r="E135" s="773"/>
      <c r="F135" s="775"/>
      <c r="G135" s="773"/>
      <c r="H135" s="773"/>
      <c r="I135" s="701"/>
    </row>
    <row r="136" spans="1:9" ht="18.75" x14ac:dyDescent="0.3">
      <c r="A136" s="773"/>
      <c r="B136" s="773"/>
      <c r="C136" s="773"/>
      <c r="D136" s="773"/>
      <c r="E136" s="773"/>
      <c r="F136" s="775"/>
      <c r="G136" s="773"/>
      <c r="H136" s="773"/>
      <c r="I136" s="701"/>
    </row>
    <row r="137" spans="1:9" ht="18.75" x14ac:dyDescent="0.3">
      <c r="A137" s="773"/>
      <c r="B137" s="773"/>
      <c r="C137" s="773"/>
      <c r="D137" s="773"/>
      <c r="E137" s="773"/>
      <c r="F137" s="775"/>
      <c r="G137" s="773"/>
      <c r="H137" s="773"/>
      <c r="I137" s="701"/>
    </row>
    <row r="138" spans="1:9" ht="18.75" x14ac:dyDescent="0.3">
      <c r="A138" s="773"/>
      <c r="B138" s="773"/>
      <c r="C138" s="773"/>
      <c r="D138" s="773"/>
      <c r="E138" s="773"/>
      <c r="F138" s="775"/>
      <c r="G138" s="773"/>
      <c r="H138" s="773"/>
      <c r="I138" s="701"/>
    </row>
    <row r="250" spans="1:1" x14ac:dyDescent="0.25">
      <c r="A250" s="610">
        <v>0</v>
      </c>
    </row>
  </sheetData>
  <sheetProtection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1" priority="4" operator="greaterThan">
      <formula>0.02</formula>
    </cfRule>
  </conditionalFormatting>
  <conditionalFormatting sqref="D51">
    <cfRule type="cellIs" dxfId="10" priority="5" operator="greaterThan">
      <formula>0.02</formula>
    </cfRule>
  </conditionalFormatting>
  <conditionalFormatting sqref="G73">
    <cfRule type="cellIs" dxfId="9" priority="6" operator="greaterThan">
      <formula>0.02</formula>
    </cfRule>
  </conditionalFormatting>
  <conditionalFormatting sqref="H73">
    <cfRule type="cellIs" dxfId="8" priority="7" operator="greaterThan">
      <formula>0.02</formula>
    </cfRule>
  </conditionalFormatting>
  <conditionalFormatting sqref="D104">
    <cfRule type="cellIs" dxfId="7" priority="8" operator="greaterThan">
      <formula>0.02</formula>
    </cfRule>
  </conditionalFormatting>
  <conditionalFormatting sqref="I39">
    <cfRule type="cellIs" dxfId="6" priority="9" operator="lessThanOrEqual">
      <formula>0.02</formula>
    </cfRule>
  </conditionalFormatting>
  <conditionalFormatting sqref="I39">
    <cfRule type="cellIs" dxfId="5" priority="10" operator="greaterThan">
      <formula>0.02</formula>
    </cfRule>
  </conditionalFormatting>
  <conditionalFormatting sqref="I92">
    <cfRule type="cellIs" dxfId="4" priority="11" operator="lessThanOrEqual">
      <formula>0.02</formula>
    </cfRule>
  </conditionalFormatting>
  <conditionalFormatting sqref="I92">
    <cfRule type="cellIs" dxfId="3" priority="12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SST S1</vt:lpstr>
      <vt:lpstr>SST S2</vt:lpstr>
      <vt:lpstr>Uniformity</vt:lpstr>
      <vt:lpstr>Aceclofenac S1 ASSAY</vt:lpstr>
      <vt:lpstr>Aceclofenac S2 ASSAY</vt:lpstr>
      <vt:lpstr>Aceclofenac S2</vt:lpstr>
      <vt:lpstr>SST 3</vt:lpstr>
      <vt:lpstr>Uniformity 3</vt:lpstr>
      <vt:lpstr>Aceclofenac 3 </vt:lpstr>
      <vt:lpstr>'Aceclofenac 3 '!Print_Area</vt:lpstr>
      <vt:lpstr>'Aceclofenac S1 ASSAY'!Print_Area</vt:lpstr>
      <vt:lpstr>'Aceclofenac S2'!Print_Area</vt:lpstr>
      <vt:lpstr>'Aceclofenac S2 ASSAY'!Print_Area</vt:lpstr>
      <vt:lpstr>'SST S1'!Print_Area</vt:lpstr>
      <vt:lpstr>'SST S2'!Print_Area</vt:lpstr>
      <vt:lpstr>Uniformity!Print_Area</vt:lpstr>
      <vt:lpstr>'Uniformity 3'!Print_Area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2017-05-18T10:17:44Z</cp:lastPrinted>
  <dcterms:created xsi:type="dcterms:W3CDTF">2005-07-05T10:19:27Z</dcterms:created>
  <dcterms:modified xsi:type="dcterms:W3CDTF">2017-05-18T10:24:01Z</dcterms:modified>
</cp:coreProperties>
</file>