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3"/>
  </bookViews>
  <sheets>
    <sheet name="SST" sheetId="1" r:id="rId1"/>
    <sheet name="SST (2)" sheetId="7" r:id="rId2"/>
    <sheet name="Uniformity" sheetId="2" r:id="rId3"/>
    <sheet name="paracetamol " sheetId="3" r:id="rId4"/>
    <sheet name="phenylephrine hcl" sheetId="4" r:id="rId5"/>
    <sheet name="chlorpheniramine maleate" sheetId="5" r:id="rId6"/>
    <sheet name="caffeine anhydrous" sheetId="6" r:id="rId7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7" l="1"/>
  <c r="B21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42" i="1"/>
  <c r="B21" i="1"/>
  <c r="B20" i="1"/>
  <c r="C124" i="6"/>
  <c r="B116" i="6"/>
  <c r="D100" i="6"/>
  <c r="D101" i="6" s="1"/>
  <c r="B98" i="6"/>
  <c r="F95" i="6"/>
  <c r="D95" i="6"/>
  <c r="I92" i="6"/>
  <c r="B87" i="6"/>
  <c r="F97" i="6" s="1"/>
  <c r="B83" i="6"/>
  <c r="B81" i="6"/>
  <c r="B80" i="6"/>
  <c r="B79" i="6"/>
  <c r="C76" i="6"/>
  <c r="B68" i="6"/>
  <c r="C56" i="6"/>
  <c r="B55" i="6"/>
  <c r="B45" i="6"/>
  <c r="D48" i="6" s="1"/>
  <c r="F42" i="6"/>
  <c r="D42" i="6"/>
  <c r="B34" i="6"/>
  <c r="F44" i="6" s="1"/>
  <c r="B30" i="6"/>
  <c r="C124" i="5"/>
  <c r="B116" i="5"/>
  <c r="D100" i="5"/>
  <c r="D101" i="5" s="1"/>
  <c r="B98" i="5"/>
  <c r="F97" i="5"/>
  <c r="F95" i="5"/>
  <c r="I92" i="5" s="1"/>
  <c r="D95" i="5"/>
  <c r="B87" i="5"/>
  <c r="D97" i="5" s="1"/>
  <c r="B83" i="5"/>
  <c r="B81" i="5"/>
  <c r="B80" i="5"/>
  <c r="B79" i="5"/>
  <c r="C76" i="5"/>
  <c r="B68" i="5"/>
  <c r="C56" i="5"/>
  <c r="B55" i="5"/>
  <c r="B45" i="5"/>
  <c r="D48" i="5" s="1"/>
  <c r="F42" i="5"/>
  <c r="D42" i="5"/>
  <c r="I39" i="5" s="1"/>
  <c r="B34" i="5"/>
  <c r="F44" i="5" s="1"/>
  <c r="F45" i="5" s="1"/>
  <c r="B30" i="5"/>
  <c r="C124" i="4"/>
  <c r="B116" i="4"/>
  <c r="D100" i="4"/>
  <c r="D101" i="4" s="1"/>
  <c r="B98" i="4"/>
  <c r="F95" i="4"/>
  <c r="D95" i="4"/>
  <c r="I92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D101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C46" i="2"/>
  <c r="D41" i="2" s="1"/>
  <c r="C45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6" l="1"/>
  <c r="F45" i="6"/>
  <c r="F46" i="6" s="1"/>
  <c r="F98" i="6"/>
  <c r="F99" i="6" s="1"/>
  <c r="F46" i="5"/>
  <c r="D44" i="5"/>
  <c r="D45" i="5" s="1"/>
  <c r="D46" i="5" s="1"/>
  <c r="D98" i="5"/>
  <c r="D99" i="5" s="1"/>
  <c r="F98" i="5"/>
  <c r="F99" i="5" s="1"/>
  <c r="I39" i="4"/>
  <c r="F45" i="4"/>
  <c r="F46" i="4" s="1"/>
  <c r="F98" i="4"/>
  <c r="F99" i="4" s="1"/>
  <c r="I39" i="3"/>
  <c r="D44" i="3"/>
  <c r="D45" i="3" s="1"/>
  <c r="D49" i="3"/>
  <c r="G41" i="3"/>
  <c r="F46" i="3"/>
  <c r="G40" i="3"/>
  <c r="F98" i="3"/>
  <c r="G93" i="3"/>
  <c r="D35" i="2"/>
  <c r="C49" i="2"/>
  <c r="D102" i="5"/>
  <c r="G93" i="5"/>
  <c r="G91" i="5"/>
  <c r="G94" i="5"/>
  <c r="G92" i="5"/>
  <c r="D27" i="2"/>
  <c r="D31" i="2"/>
  <c r="D39" i="2"/>
  <c r="D43" i="2"/>
  <c r="D24" i="2"/>
  <c r="D28" i="2"/>
  <c r="D32" i="2"/>
  <c r="D36" i="2"/>
  <c r="D40" i="2"/>
  <c r="D49" i="2"/>
  <c r="G39" i="3"/>
  <c r="B57" i="3"/>
  <c r="B69" i="3" s="1"/>
  <c r="D102" i="3"/>
  <c r="G92" i="4"/>
  <c r="D102" i="4"/>
  <c r="G93" i="4"/>
  <c r="G91" i="4"/>
  <c r="D49" i="5"/>
  <c r="G38" i="5"/>
  <c r="G41" i="5"/>
  <c r="G39" i="5"/>
  <c r="G40" i="5"/>
  <c r="G94" i="6"/>
  <c r="G92" i="6"/>
  <c r="D102" i="6"/>
  <c r="G93" i="6"/>
  <c r="G91" i="6"/>
  <c r="D33" i="2"/>
  <c r="D37" i="2"/>
  <c r="D97" i="3"/>
  <c r="D98" i="3" s="1"/>
  <c r="E91" i="3" s="1"/>
  <c r="B57" i="6"/>
  <c r="B69" i="6" s="1"/>
  <c r="B57" i="4"/>
  <c r="B69" i="4" s="1"/>
  <c r="B57" i="5"/>
  <c r="B69" i="5" s="1"/>
  <c r="C50" i="2"/>
  <c r="D26" i="2"/>
  <c r="D30" i="2"/>
  <c r="D34" i="2"/>
  <c r="D38" i="2"/>
  <c r="D42" i="2"/>
  <c r="B49" i="2"/>
  <c r="D50" i="2"/>
  <c r="G38" i="3"/>
  <c r="D49" i="4"/>
  <c r="D49" i="6"/>
  <c r="D97" i="4"/>
  <c r="D98" i="4" s="1"/>
  <c r="D99" i="4" s="1"/>
  <c r="D97" i="6"/>
  <c r="D98" i="6" s="1"/>
  <c r="D99" i="6" s="1"/>
  <c r="D44" i="4"/>
  <c r="D45" i="4" s="1"/>
  <c r="D46" i="4" s="1"/>
  <c r="D44" i="6"/>
  <c r="D45" i="6" s="1"/>
  <c r="D46" i="6" s="1"/>
  <c r="G40" i="6" l="1"/>
  <c r="G39" i="6"/>
  <c r="G41" i="6"/>
  <c r="E94" i="6"/>
  <c r="E93" i="6"/>
  <c r="E92" i="6"/>
  <c r="G38" i="6"/>
  <c r="G95" i="6"/>
  <c r="E40" i="5"/>
  <c r="E41" i="5"/>
  <c r="G42" i="5"/>
  <c r="E94" i="5"/>
  <c r="E93" i="5"/>
  <c r="E39" i="5"/>
  <c r="E38" i="5"/>
  <c r="E91" i="5"/>
  <c r="E92" i="5"/>
  <c r="G95" i="5"/>
  <c r="E40" i="4"/>
  <c r="E93" i="4"/>
  <c r="E91" i="4"/>
  <c r="G41" i="4"/>
  <c r="G40" i="4"/>
  <c r="G94" i="4"/>
  <c r="G95" i="4" s="1"/>
  <c r="G38" i="4"/>
  <c r="G39" i="4"/>
  <c r="E41" i="3"/>
  <c r="E38" i="3"/>
  <c r="D50" i="3" s="1"/>
  <c r="D46" i="3"/>
  <c r="E40" i="3"/>
  <c r="E39" i="3"/>
  <c r="G42" i="3"/>
  <c r="E41" i="4"/>
  <c r="E38" i="6"/>
  <c r="E41" i="6"/>
  <c r="D99" i="3"/>
  <c r="E93" i="3"/>
  <c r="E94" i="3"/>
  <c r="E38" i="4"/>
  <c r="E39" i="4"/>
  <c r="E92" i="3"/>
  <c r="E91" i="6"/>
  <c r="F99" i="3"/>
  <c r="G91" i="3"/>
  <c r="G92" i="3"/>
  <c r="E40" i="6"/>
  <c r="E92" i="4"/>
  <c r="E94" i="4"/>
  <c r="G94" i="3"/>
  <c r="E39" i="6"/>
  <c r="G42" i="6" l="1"/>
  <c r="E95" i="5"/>
  <c r="E42" i="5"/>
  <c r="D52" i="5"/>
  <c r="D103" i="5"/>
  <c r="E113" i="5" s="1"/>
  <c r="F113" i="5" s="1"/>
  <c r="D105" i="5"/>
  <c r="D50" i="5"/>
  <c r="G69" i="5" s="1"/>
  <c r="H69" i="5" s="1"/>
  <c r="D105" i="4"/>
  <c r="E95" i="4"/>
  <c r="D103" i="4"/>
  <c r="E113" i="4" s="1"/>
  <c r="F113" i="4" s="1"/>
  <c r="G42" i="4"/>
  <c r="D103" i="3"/>
  <c r="D104" i="3" s="1"/>
  <c r="E42" i="3"/>
  <c r="D52" i="3"/>
  <c r="D105" i="3"/>
  <c r="G95" i="3"/>
  <c r="E95" i="3"/>
  <c r="D103" i="6"/>
  <c r="E95" i="6"/>
  <c r="D105" i="6"/>
  <c r="E113" i="3"/>
  <c r="F113" i="3" s="1"/>
  <c r="E111" i="3"/>
  <c r="F111" i="3" s="1"/>
  <c r="E109" i="3"/>
  <c r="F109" i="3" s="1"/>
  <c r="E110" i="3"/>
  <c r="F110" i="3" s="1"/>
  <c r="E108" i="3"/>
  <c r="E112" i="3"/>
  <c r="F112" i="3" s="1"/>
  <c r="D50" i="4"/>
  <c r="E42" i="4"/>
  <c r="D52" i="4"/>
  <c r="D50" i="6"/>
  <c r="E42" i="6"/>
  <c r="D52" i="6"/>
  <c r="G68" i="3"/>
  <c r="H68" i="3" s="1"/>
  <c r="G69" i="3"/>
  <c r="H69" i="3" s="1"/>
  <c r="G66" i="3"/>
  <c r="H66" i="3" s="1"/>
  <c r="G64" i="3"/>
  <c r="H64" i="3" s="1"/>
  <c r="G62" i="3"/>
  <c r="H62" i="3" s="1"/>
  <c r="G60" i="3"/>
  <c r="G71" i="3"/>
  <c r="H71" i="3" s="1"/>
  <c r="D51" i="3"/>
  <c r="G70" i="3"/>
  <c r="H70" i="3" s="1"/>
  <c r="G67" i="3"/>
  <c r="H67" i="3" s="1"/>
  <c r="G63" i="3"/>
  <c r="H63" i="3" s="1"/>
  <c r="G65" i="3"/>
  <c r="H65" i="3" s="1"/>
  <c r="G61" i="3"/>
  <c r="H61" i="3" s="1"/>
  <c r="E110" i="4"/>
  <c r="F110" i="4" s="1"/>
  <c r="D104" i="5" l="1"/>
  <c r="G71" i="5"/>
  <c r="H71" i="5" s="1"/>
  <c r="G61" i="5"/>
  <c r="H61" i="5" s="1"/>
  <c r="G67" i="5"/>
  <c r="H67" i="5" s="1"/>
  <c r="D51" i="5"/>
  <c r="G62" i="5"/>
  <c r="H62" i="5" s="1"/>
  <c r="G68" i="5"/>
  <c r="H68" i="5" s="1"/>
  <c r="G63" i="5"/>
  <c r="H63" i="5" s="1"/>
  <c r="G64" i="5"/>
  <c r="H64" i="5" s="1"/>
  <c r="G70" i="5"/>
  <c r="H70" i="5" s="1"/>
  <c r="G66" i="5"/>
  <c r="H66" i="5" s="1"/>
  <c r="G65" i="5"/>
  <c r="H65" i="5" s="1"/>
  <c r="G60" i="5"/>
  <c r="E109" i="5"/>
  <c r="F109" i="5" s="1"/>
  <c r="E110" i="5"/>
  <c r="F110" i="5" s="1"/>
  <c r="E108" i="5"/>
  <c r="F108" i="5" s="1"/>
  <c r="E111" i="5"/>
  <c r="F111" i="5" s="1"/>
  <c r="E112" i="5"/>
  <c r="F112" i="5" s="1"/>
  <c r="E111" i="4"/>
  <c r="F111" i="4" s="1"/>
  <c r="E112" i="4"/>
  <c r="F112" i="4" s="1"/>
  <c r="D104" i="4"/>
  <c r="E108" i="4"/>
  <c r="E120" i="4" s="1"/>
  <c r="E109" i="4"/>
  <c r="F109" i="4" s="1"/>
  <c r="F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3"/>
  <c r="G72" i="3"/>
  <c r="G73" i="3" s="1"/>
  <c r="G74" i="3"/>
  <c r="D51" i="6"/>
  <c r="G70" i="6"/>
  <c r="H70" i="6" s="1"/>
  <c r="G67" i="6"/>
  <c r="H67" i="6" s="1"/>
  <c r="G65" i="6"/>
  <c r="H65" i="6" s="1"/>
  <c r="G63" i="6"/>
  <c r="H63" i="6" s="1"/>
  <c r="G61" i="6"/>
  <c r="H61" i="6" s="1"/>
  <c r="G68" i="6"/>
  <c r="H68" i="6" s="1"/>
  <c r="G71" i="6"/>
  <c r="H71" i="6" s="1"/>
  <c r="G69" i="6"/>
  <c r="H69" i="6" s="1"/>
  <c r="G66" i="6"/>
  <c r="H66" i="6" s="1"/>
  <c r="G64" i="6"/>
  <c r="H64" i="6" s="1"/>
  <c r="G62" i="6"/>
  <c r="H62" i="6" s="1"/>
  <c r="G60" i="6"/>
  <c r="E115" i="3"/>
  <c r="E116" i="3" s="1"/>
  <c r="E119" i="3"/>
  <c r="E120" i="3"/>
  <c r="E117" i="3"/>
  <c r="F108" i="3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E120" i="5" l="1"/>
  <c r="G74" i="5"/>
  <c r="H60" i="5"/>
  <c r="H72" i="5" s="1"/>
  <c r="G72" i="5"/>
  <c r="G73" i="5" s="1"/>
  <c r="E119" i="5"/>
  <c r="E115" i="5"/>
  <c r="E116" i="5" s="1"/>
  <c r="E117" i="5"/>
  <c r="E115" i="4"/>
  <c r="E116" i="4" s="1"/>
  <c r="E117" i="4"/>
  <c r="E119" i="4"/>
  <c r="F119" i="3"/>
  <c r="F125" i="3"/>
  <c r="F120" i="3"/>
  <c r="F117" i="3"/>
  <c r="D125" i="3"/>
  <c r="F115" i="3"/>
  <c r="F125" i="4"/>
  <c r="F120" i="4"/>
  <c r="F117" i="4"/>
  <c r="D125" i="4"/>
  <c r="F115" i="4"/>
  <c r="F119" i="4"/>
  <c r="F119" i="5"/>
  <c r="F125" i="5"/>
  <c r="F120" i="5"/>
  <c r="F117" i="5"/>
  <c r="D125" i="5"/>
  <c r="F115" i="5"/>
  <c r="H74" i="3"/>
  <c r="H72" i="3"/>
  <c r="E120" i="6"/>
  <c r="E117" i="6"/>
  <c r="F108" i="6"/>
  <c r="E115" i="6"/>
  <c r="E116" i="6" s="1"/>
  <c r="E119" i="6"/>
  <c r="G74" i="6"/>
  <c r="G72" i="6"/>
  <c r="G73" i="6" s="1"/>
  <c r="H60" i="6"/>
  <c r="G74" i="4"/>
  <c r="G72" i="4"/>
  <c r="G73" i="4" s="1"/>
  <c r="H60" i="4"/>
  <c r="H74" i="5" l="1"/>
  <c r="G76" i="5"/>
  <c r="H73" i="5"/>
  <c r="H74" i="4"/>
  <c r="H72" i="4"/>
  <c r="F125" i="6"/>
  <c r="F120" i="6"/>
  <c r="F117" i="6"/>
  <c r="D125" i="6"/>
  <c r="F115" i="6"/>
  <c r="F119" i="6"/>
  <c r="G76" i="3"/>
  <c r="H73" i="3"/>
  <c r="G124" i="4"/>
  <c r="F116" i="4"/>
  <c r="G124" i="5"/>
  <c r="F116" i="5"/>
  <c r="G124" i="3"/>
  <c r="F116" i="3"/>
  <c r="H74" i="6"/>
  <c r="H72" i="6"/>
  <c r="G124" i="6" l="1"/>
  <c r="F116" i="6"/>
  <c r="G76" i="4"/>
  <c r="H73" i="4"/>
  <c r="G76" i="6"/>
  <c r="H73" i="6"/>
</calcChain>
</file>

<file path=xl/sharedStrings.xml><?xml version="1.0" encoding="utf-8"?>
<sst xmlns="http://schemas.openxmlformats.org/spreadsheetml/2006/main" count="784" uniqueCount="141">
  <si>
    <t>HPLC System Suitability Report</t>
  </si>
  <si>
    <t>Analysis Data</t>
  </si>
  <si>
    <t>Assay</t>
  </si>
  <si>
    <t>Sample(s)</t>
  </si>
  <si>
    <t>Reference Substance:</t>
  </si>
  <si>
    <t>TRI COLD TABLETS</t>
  </si>
  <si>
    <t>% age Purity:</t>
  </si>
  <si>
    <t>NDQD201605933r1</t>
  </si>
  <si>
    <t>Weight (mg):</t>
  </si>
  <si>
    <t>Paracetamol, Caffeine, Chlorpheniramine maleate and Phenylephrine hydrochloride</t>
  </si>
  <si>
    <t>Standard Conc (mg/mL):</t>
  </si>
  <si>
    <t>Each tablet contains Paracetamol BP 500mg, Phenylephrine HCl BP 10 mg, Chlorpheniramine maleate BP 2mg and Caffeine 30mg</t>
  </si>
  <si>
    <t>2016-05-13 09:44:36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</si>
  <si>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</si>
  <si>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</si>
  <si>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</si>
  <si>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</si>
  <si>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</si>
  <si>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</si>
  <si>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</si>
  <si>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</si>
  <si>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</si>
  <si>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</si>
  <si>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</si>
  <si>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</si>
  <si>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</si>
  <si>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</si>
  <si>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</si>
  <si>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</si>
  <si>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</si>
  <si>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</si>
  <si>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</si>
  <si>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</si>
  <si>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</si>
  <si>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</si>
  <si>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</si>
  <si>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</si>
  <si>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</si>
  <si>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</si>
  <si>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</si>
  <si>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</si>
  <si>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</si>
  <si>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</si>
  <si>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</si>
  <si>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</si>
  <si>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</si>
  <si>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</si>
  <si>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</si>
  <si>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</si>
  <si>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</si>
  <si>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</si>
  <si>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</si>
  <si>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</si>
  <si>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</si>
  <si>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</si>
  <si>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</si>
  <si>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</si>
  <si>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</si>
  <si>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</si>
  <si>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</si>
  <si>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</si>
  <si>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</si>
  <si>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</si>
  <si>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</si>
  <si>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</si>
  <si>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</si>
  <si>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</si>
  <si>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</si>
  <si>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</si>
  <si>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</si>
  <si>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</si>
  <si>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</si>
  <si>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</si>
  <si>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</si>
  <si>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</si>
  <si>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</si>
  <si>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</si>
  <si>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</si>
  <si>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</si>
  <si>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</si>
  <si>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</si>
  <si>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</si>
  <si>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</si>
  <si>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</si>
  <si>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</si>
  <si>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</si>
  <si>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</si>
  <si>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</si>
  <si>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</si>
  <si>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</si>
  <si>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</si>
  <si>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</si>
  <si>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</si>
  <si>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</si>
  <si>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</si>
  <si>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</si>
  <si>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</si>
  <si>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</si>
  <si>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</si>
  <si>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</si>
  <si>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</si>
  <si>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</si>
  <si>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</si>
  <si>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</si>
  <si>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</si>
  <si>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</si>
  <si>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</si>
  <si>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</si>
  <si>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</si>
  <si>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</si>
  <si>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</si>
  <si>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</si>
  <si>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</si>
  <si>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</si>
  <si>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</si>
  <si>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</si>
  <si>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</si>
  <si>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</si>
  <si>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</si>
  <si>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</si>
  <si>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</si>
  <si>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</si>
  <si>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</si>
  <si>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</si>
  <si>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</si>
  <si>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</si>
  <si>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</si>
  <si>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</si>
  <si>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</si>
  <si>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</si>
  <si>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Phenylephrine hcl</t>
  </si>
  <si>
    <t>Chlorpheniramine maleate</t>
  </si>
  <si>
    <t>C 30 1</t>
  </si>
  <si>
    <t>Paracetamol</t>
  </si>
  <si>
    <t>Caffeine</t>
  </si>
  <si>
    <t>P 49 2</t>
  </si>
  <si>
    <t>P 24 1</t>
  </si>
  <si>
    <t>Phenylephrine hydrochloride</t>
  </si>
  <si>
    <t xml:space="preserve"> Chlorpheniramine maleate</t>
  </si>
  <si>
    <t>C55 1</t>
  </si>
  <si>
    <t xml:space="preserve"> Caffeine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</si>
</sst>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846" t="s">
        <v>0</v>
      </c>
      <c r="B15" s="846"/>
      <c r="C15" s="846"/>
      <c r="D15" s="846"/>
      <c r="E15" s="84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99.09</v>
      </c>
      <c r="C19" s="10"/>
      <c r="D19" s="10"/>
      <c r="E19" s="10"/>
    </row>
    <row r="20" spans="1:6" ht="16.5" customHeight="1" x14ac:dyDescent="0.3">
      <c r="A20" s="7" t="s">
        <v>8</v>
      </c>
      <c r="B20" s="12">
        <f>13.65</f>
        <v>13.65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B20/100*2/100</f>
        <v>2.7300000000000002E-3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1497668</v>
      </c>
      <c r="C24" s="18">
        <v>11439.3</v>
      </c>
      <c r="D24" s="19">
        <v>1</v>
      </c>
      <c r="E24" s="20">
        <v>2.8</v>
      </c>
    </row>
    <row r="25" spans="1:6" ht="16.5" customHeight="1" x14ac:dyDescent="0.3">
      <c r="A25" s="17">
        <v>2</v>
      </c>
      <c r="B25" s="18">
        <v>1493096</v>
      </c>
      <c r="C25" s="18">
        <v>11496.5</v>
      </c>
      <c r="D25" s="19">
        <v>1.1000000000000001</v>
      </c>
      <c r="E25" s="19">
        <v>2.8</v>
      </c>
    </row>
    <row r="26" spans="1:6" ht="16.5" customHeight="1" x14ac:dyDescent="0.3">
      <c r="A26" s="17">
        <v>3</v>
      </c>
      <c r="B26" s="18">
        <v>1491863</v>
      </c>
      <c r="C26" s="18">
        <v>11549</v>
      </c>
      <c r="D26" s="19">
        <v>1.1000000000000001</v>
      </c>
      <c r="E26" s="19">
        <v>2.8</v>
      </c>
    </row>
    <row r="27" spans="1:6" ht="16.5" customHeight="1" x14ac:dyDescent="0.3">
      <c r="A27" s="17">
        <v>4</v>
      </c>
      <c r="B27" s="18">
        <v>1492066</v>
      </c>
      <c r="C27" s="18">
        <v>11555.3</v>
      </c>
      <c r="D27" s="19">
        <v>1.1000000000000001</v>
      </c>
      <c r="E27" s="19">
        <v>2.8</v>
      </c>
    </row>
    <row r="28" spans="1:6" ht="16.5" customHeight="1" x14ac:dyDescent="0.3">
      <c r="A28" s="17">
        <v>5</v>
      </c>
      <c r="B28" s="18">
        <v>1489069</v>
      </c>
      <c r="C28" s="18">
        <v>11590.1</v>
      </c>
      <c r="D28" s="19">
        <v>1</v>
      </c>
      <c r="E28" s="19">
        <v>2.8</v>
      </c>
    </row>
    <row r="29" spans="1:6" ht="16.5" customHeight="1" x14ac:dyDescent="0.3">
      <c r="A29" s="17">
        <v>6</v>
      </c>
      <c r="B29" s="21">
        <v>1490887</v>
      </c>
      <c r="C29" s="21">
        <v>11643.7</v>
      </c>
      <c r="D29" s="22">
        <v>1.1000000000000001</v>
      </c>
      <c r="E29" s="22">
        <v>2.8</v>
      </c>
    </row>
    <row r="30" spans="1:6" ht="16.5" customHeight="1" x14ac:dyDescent="0.3">
      <c r="A30" s="23" t="s">
        <v>18</v>
      </c>
      <c r="B30" s="24">
        <f>AVERAGE(B24:B29)</f>
        <v>1492441.5</v>
      </c>
      <c r="C30" s="25">
        <f>AVERAGE(C24:C29)</f>
        <v>11545.650000000001</v>
      </c>
      <c r="D30" s="26">
        <f>AVERAGE(D24:D29)</f>
        <v>1.0666666666666667</v>
      </c>
      <c r="E30" s="26">
        <f>AVERAGE(E24:E29)</f>
        <v>2.8000000000000003</v>
      </c>
    </row>
    <row r="31" spans="1:6" ht="16.5" customHeight="1" x14ac:dyDescent="0.3">
      <c r="A31" s="27" t="s">
        <v>19</v>
      </c>
      <c r="B31" s="28">
        <f>(STDEV(B24:B29)/B30)</f>
        <v>1.9422133012933643E-3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99.01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19.88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B41/10*1/100*2/100</f>
        <v>3.9759999999999996E-4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210059</v>
      </c>
      <c r="C45" s="18">
        <v>4387.3999999999996</v>
      </c>
      <c r="D45" s="19">
        <v>1.1000000000000001</v>
      </c>
      <c r="E45" s="20">
        <v>3.4</v>
      </c>
    </row>
    <row r="46" spans="1:6" ht="16.5" customHeight="1" x14ac:dyDescent="0.3">
      <c r="A46" s="17">
        <v>2</v>
      </c>
      <c r="B46" s="18">
        <v>212800</v>
      </c>
      <c r="C46" s="18">
        <v>4420.3</v>
      </c>
      <c r="D46" s="19">
        <v>1.1000000000000001</v>
      </c>
      <c r="E46" s="19">
        <v>3.4</v>
      </c>
    </row>
    <row r="47" spans="1:6" ht="16.5" customHeight="1" x14ac:dyDescent="0.3">
      <c r="A47" s="17">
        <v>3</v>
      </c>
      <c r="B47" s="18">
        <v>221325</v>
      </c>
      <c r="C47" s="18">
        <v>4433.3</v>
      </c>
      <c r="D47" s="19">
        <v>1.1000000000000001</v>
      </c>
      <c r="E47" s="19">
        <v>3.4</v>
      </c>
    </row>
    <row r="48" spans="1:6" ht="16.5" customHeight="1" x14ac:dyDescent="0.3">
      <c r="A48" s="17">
        <v>4</v>
      </c>
      <c r="B48" s="18">
        <v>215331</v>
      </c>
      <c r="C48" s="18">
        <v>4549.8999999999996</v>
      </c>
      <c r="D48" s="19">
        <v>1.1000000000000001</v>
      </c>
      <c r="E48" s="19">
        <v>3.4</v>
      </c>
    </row>
    <row r="49" spans="1:7" ht="16.5" customHeight="1" x14ac:dyDescent="0.3">
      <c r="A49" s="17">
        <v>5</v>
      </c>
      <c r="B49" s="18">
        <v>218456</v>
      </c>
      <c r="C49" s="18">
        <v>4509.5</v>
      </c>
      <c r="D49" s="19">
        <v>1.1000000000000001</v>
      </c>
      <c r="E49" s="19">
        <v>3.4</v>
      </c>
    </row>
    <row r="50" spans="1:7" ht="16.5" customHeight="1" x14ac:dyDescent="0.3">
      <c r="A50" s="17">
        <v>6</v>
      </c>
      <c r="B50" s="21">
        <v>216768</v>
      </c>
      <c r="C50" s="21">
        <v>4637.8</v>
      </c>
      <c r="D50" s="22">
        <v>1.1000000000000001</v>
      </c>
      <c r="E50" s="22">
        <v>3.4</v>
      </c>
    </row>
    <row r="51" spans="1:7" ht="16.5" customHeight="1" x14ac:dyDescent="0.3">
      <c r="A51" s="23" t="s">
        <v>18</v>
      </c>
      <c r="B51" s="24">
        <f>AVERAGE(B45:B50)</f>
        <v>215789.83333333334</v>
      </c>
      <c r="C51" s="25">
        <f>AVERAGE(C45:C50)</f>
        <v>4489.7</v>
      </c>
      <c r="D51" s="26">
        <f>AVERAGE(D45:D50)</f>
        <v>1.0999999999999999</v>
      </c>
      <c r="E51" s="26">
        <f>AVERAGE(E45:E50)</f>
        <v>3.4</v>
      </c>
    </row>
    <row r="52" spans="1:7" ht="16.5" customHeight="1" x14ac:dyDescent="0.3">
      <c r="A52" s="27" t="s">
        <v>19</v>
      </c>
      <c r="B52" s="28">
        <f>(STDEV(B45:B50)/B51)</f>
        <v>1.8616945439804671E-2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847" t="s">
        <v>25</v>
      </c>
      <c r="C59" s="84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workbookViewId="0">
      <selection activeCell="E51" sqref="E51"/>
    </sheetView>
  </sheetViews>
  <sheetFormatPr defaultRowHeight="13.5" x14ac:dyDescent="0.25"/>
  <cols>
    <col min="1" max="1" width="27.5703125" style="781" customWidth="1"/>
    <col min="2" max="2" width="20.42578125" style="781" customWidth="1"/>
    <col min="3" max="3" width="31.85546875" style="781" customWidth="1"/>
    <col min="4" max="4" width="25.85546875" style="781" customWidth="1"/>
    <col min="5" max="5" width="25.7109375" style="781" customWidth="1"/>
    <col min="6" max="6" width="23.140625" style="781" customWidth="1"/>
    <col min="7" max="7" width="28.42578125" style="781" customWidth="1"/>
    <col min="8" max="8" width="21.5703125" style="781" customWidth="1"/>
    <col min="9" max="9" width="9.140625" style="78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46" t="s">
        <v>0</v>
      </c>
      <c r="B15" s="846"/>
      <c r="C15" s="846"/>
      <c r="D15" s="846"/>
      <c r="E15" s="84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20.89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B20/20*10/100</f>
        <v>0.10445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63338970</v>
      </c>
      <c r="C24" s="18">
        <v>5528.4</v>
      </c>
      <c r="D24" s="19">
        <v>1</v>
      </c>
      <c r="E24" s="20">
        <v>5</v>
      </c>
    </row>
    <row r="25" spans="1:5" ht="16.5" customHeight="1" x14ac:dyDescent="0.3">
      <c r="A25" s="17">
        <v>2</v>
      </c>
      <c r="B25" s="18">
        <v>63363716</v>
      </c>
      <c r="C25" s="18">
        <v>5535.4</v>
      </c>
      <c r="D25" s="19">
        <v>1</v>
      </c>
      <c r="E25" s="19">
        <v>5</v>
      </c>
    </row>
    <row r="26" spans="1:5" ht="16.5" customHeight="1" x14ac:dyDescent="0.3">
      <c r="A26" s="17">
        <v>3</v>
      </c>
      <c r="B26" s="18">
        <v>63524030</v>
      </c>
      <c r="C26" s="18">
        <v>5547.6</v>
      </c>
      <c r="D26" s="19">
        <v>1.1000000000000001</v>
      </c>
      <c r="E26" s="19">
        <v>5</v>
      </c>
    </row>
    <row r="27" spans="1:5" ht="16.5" customHeight="1" x14ac:dyDescent="0.3">
      <c r="A27" s="17">
        <v>4</v>
      </c>
      <c r="B27" s="18">
        <v>63376479</v>
      </c>
      <c r="C27" s="18">
        <v>5567.8</v>
      </c>
      <c r="D27" s="19">
        <v>1.1000000000000001</v>
      </c>
      <c r="E27" s="19">
        <v>5</v>
      </c>
    </row>
    <row r="28" spans="1:5" ht="16.5" customHeight="1" x14ac:dyDescent="0.3">
      <c r="A28" s="17">
        <v>5</v>
      </c>
      <c r="B28" s="18">
        <v>63521618</v>
      </c>
      <c r="C28" s="18">
        <v>5580.7</v>
      </c>
      <c r="D28" s="19">
        <v>1.1000000000000001</v>
      </c>
      <c r="E28" s="19">
        <v>5</v>
      </c>
    </row>
    <row r="29" spans="1:5" ht="16.5" customHeight="1" x14ac:dyDescent="0.3">
      <c r="A29" s="17">
        <v>6</v>
      </c>
      <c r="B29" s="21">
        <v>63536804</v>
      </c>
      <c r="C29" s="21">
        <v>5606.7</v>
      </c>
      <c r="D29" s="22">
        <v>1.1000000000000001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63443602.833333336</v>
      </c>
      <c r="C30" s="25">
        <f>AVERAGE(C24:C29)</f>
        <v>5561.0999999999995</v>
      </c>
      <c r="D30" s="26">
        <f>AVERAGE(D24:D29)</f>
        <v>1.0666666666666667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1.4630169912921431E-3</v>
      </c>
      <c r="C31" s="29"/>
      <c r="D31" s="29"/>
      <c r="E31" s="30"/>
    </row>
    <row r="32" spans="1:5" s="78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781" customFormat="1" ht="15.75" customHeight="1" x14ac:dyDescent="0.25">
      <c r="A33" s="72"/>
      <c r="B33" s="72"/>
      <c r="C33" s="72"/>
      <c r="D33" s="72"/>
      <c r="E33" s="72"/>
    </row>
    <row r="34" spans="1:5" s="78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/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29.61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B41/100*2/100</f>
        <v>5.9219999999999993E-3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8864380</v>
      </c>
      <c r="C45" s="18">
        <v>6356.6</v>
      </c>
      <c r="D45" s="19">
        <v>1</v>
      </c>
      <c r="E45" s="20">
        <v>6.7</v>
      </c>
    </row>
    <row r="46" spans="1:5" ht="16.5" customHeight="1" x14ac:dyDescent="0.3">
      <c r="A46" s="17">
        <v>2</v>
      </c>
      <c r="B46" s="18">
        <v>8864875</v>
      </c>
      <c r="C46" s="18">
        <v>6372.6</v>
      </c>
      <c r="D46" s="19">
        <v>1.1000000000000001</v>
      </c>
      <c r="E46" s="19">
        <v>6.7</v>
      </c>
    </row>
    <row r="47" spans="1:5" ht="16.5" customHeight="1" x14ac:dyDescent="0.3">
      <c r="A47" s="17">
        <v>3</v>
      </c>
      <c r="B47" s="18">
        <v>8886651</v>
      </c>
      <c r="C47" s="18">
        <v>6379</v>
      </c>
      <c r="D47" s="19">
        <v>1</v>
      </c>
      <c r="E47" s="19">
        <v>6.7</v>
      </c>
    </row>
    <row r="48" spans="1:5" ht="16.5" customHeight="1" x14ac:dyDescent="0.3">
      <c r="A48" s="17">
        <v>4</v>
      </c>
      <c r="B48" s="18">
        <v>8864779</v>
      </c>
      <c r="C48" s="18">
        <v>6382.6</v>
      </c>
      <c r="D48" s="19">
        <v>1</v>
      </c>
      <c r="E48" s="19">
        <v>6.7</v>
      </c>
    </row>
    <row r="49" spans="1:7" ht="16.5" customHeight="1" x14ac:dyDescent="0.3">
      <c r="A49" s="17">
        <v>5</v>
      </c>
      <c r="B49" s="18">
        <v>8887499</v>
      </c>
      <c r="C49" s="18">
        <v>6390.4</v>
      </c>
      <c r="D49" s="19">
        <v>1</v>
      </c>
      <c r="E49" s="19">
        <v>6.7</v>
      </c>
    </row>
    <row r="50" spans="1:7" ht="16.5" customHeight="1" x14ac:dyDescent="0.3">
      <c r="A50" s="17">
        <v>6</v>
      </c>
      <c r="B50" s="21">
        <v>8876985</v>
      </c>
      <c r="C50" s="21">
        <v>6447.1</v>
      </c>
      <c r="D50" s="22">
        <v>1</v>
      </c>
      <c r="E50" s="22">
        <v>6.7</v>
      </c>
    </row>
    <row r="51" spans="1:7" ht="16.5" customHeight="1" x14ac:dyDescent="0.3">
      <c r="A51" s="23" t="s">
        <v>18</v>
      </c>
      <c r="B51" s="24">
        <f>AVERAGE(B45:B50)</f>
        <v>8874194.833333334</v>
      </c>
      <c r="C51" s="25">
        <f>AVERAGE(C45:C50)</f>
        <v>6388.05</v>
      </c>
      <c r="D51" s="26">
        <f>AVERAGE(D45:D50)</f>
        <v>1.0166666666666666</v>
      </c>
      <c r="E51" s="26">
        <f>AVERAGE(E45:E50)</f>
        <v>6.7</v>
      </c>
    </row>
    <row r="52" spans="1:7" ht="16.5" customHeight="1" x14ac:dyDescent="0.3">
      <c r="A52" s="27" t="s">
        <v>19</v>
      </c>
      <c r="B52" s="28">
        <f>(STDEV(B45:B50)/B51)</f>
        <v>1.2464856195959467E-3</v>
      </c>
      <c r="C52" s="29"/>
      <c r="D52" s="29"/>
      <c r="E52" s="30"/>
    </row>
    <row r="53" spans="1:7" s="78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781" customFormat="1" ht="15.75" customHeight="1" x14ac:dyDescent="0.25">
      <c r="A54" s="72"/>
      <c r="B54" s="72"/>
      <c r="C54" s="72"/>
      <c r="D54" s="72"/>
      <c r="E54" s="72"/>
    </row>
    <row r="55" spans="1:7" s="78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711"/>
      <c r="D58" s="43"/>
      <c r="F58" s="44"/>
      <c r="G58" s="44"/>
    </row>
    <row r="59" spans="1:7" ht="15" customHeight="1" x14ac:dyDescent="0.3">
      <c r="B59" s="847" t="s">
        <v>25</v>
      </c>
      <c r="C59" s="84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51" t="s">
        <v>30</v>
      </c>
      <c r="B11" s="852"/>
      <c r="C11" s="852"/>
      <c r="D11" s="852"/>
      <c r="E11" s="852"/>
      <c r="F11" s="853"/>
      <c r="G11" s="91"/>
    </row>
    <row r="12" spans="1:7" ht="16.5" customHeight="1" x14ac:dyDescent="0.3">
      <c r="A12" s="850" t="s">
        <v>31</v>
      </c>
      <c r="B12" s="850"/>
      <c r="C12" s="850"/>
      <c r="D12" s="850"/>
      <c r="E12" s="850"/>
      <c r="F12" s="850"/>
      <c r="G12" s="90"/>
    </row>
    <row r="14" spans="1:7" ht="16.5" customHeight="1" x14ac:dyDescent="0.3">
      <c r="A14" s="855" t="s">
        <v>32</v>
      </c>
      <c r="B14" s="855"/>
      <c r="C14" s="60" t="s">
        <v>5</v>
      </c>
    </row>
    <row r="15" spans="1:7" ht="16.5" customHeight="1" x14ac:dyDescent="0.3">
      <c r="A15" s="855" t="s">
        <v>33</v>
      </c>
      <c r="B15" s="855"/>
      <c r="C15" s="60" t="s">
        <v>7</v>
      </c>
    </row>
    <row r="16" spans="1:7" ht="16.5" customHeight="1" x14ac:dyDescent="0.3">
      <c r="A16" s="855" t="s">
        <v>34</v>
      </c>
      <c r="B16" s="855"/>
      <c r="C16" s="60" t="s">
        <v>9</v>
      </c>
    </row>
    <row r="17" spans="1:5" ht="16.5" customHeight="1" x14ac:dyDescent="0.3">
      <c r="A17" s="855" t="s">
        <v>35</v>
      </c>
      <c r="B17" s="855"/>
      <c r="C17" s="60" t="s">
        <v>11</v>
      </c>
    </row>
    <row r="18" spans="1:5" ht="16.5" customHeight="1" x14ac:dyDescent="0.3">
      <c r="A18" s="855" t="s">
        <v>36</v>
      </c>
      <c r="B18" s="855"/>
      <c r="C18" s="97" t="s">
        <v>12</v>
      </c>
    </row>
    <row r="19" spans="1:5" ht="16.5" customHeight="1" x14ac:dyDescent="0.3">
      <c r="A19" s="855" t="s">
        <v>37</v>
      </c>
      <c r="B19" s="85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850" t="s">
        <v>1</v>
      </c>
      <c r="B21" s="850"/>
      <c r="C21" s="59" t="s">
        <v>38</v>
      </c>
      <c r="D21" s="66"/>
    </row>
    <row r="22" spans="1:5" ht="15.75" customHeight="1" x14ac:dyDescent="0.3">
      <c r="A22" s="854"/>
      <c r="B22" s="854"/>
      <c r="C22" s="57"/>
      <c r="D22" s="854"/>
      <c r="E22" s="854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627.61</v>
      </c>
      <c r="D24" s="87">
        <f t="shared" ref="D24:D43" si="0">(C24-$C$46)/$C$46</f>
        <v>5.4654088402968709E-3</v>
      </c>
      <c r="E24" s="53"/>
    </row>
    <row r="25" spans="1:5" ht="15.75" customHeight="1" x14ac:dyDescent="0.3">
      <c r="C25" s="95">
        <v>620.73</v>
      </c>
      <c r="D25" s="88">
        <f t="shared" si="0"/>
        <v>-5.5567259453522385E-3</v>
      </c>
      <c r="E25" s="53"/>
    </row>
    <row r="26" spans="1:5" ht="15.75" customHeight="1" x14ac:dyDescent="0.3">
      <c r="C26" s="95">
        <v>636.08000000000004</v>
      </c>
      <c r="D26" s="88">
        <f t="shared" si="0"/>
        <v>1.9034810240652733E-2</v>
      </c>
      <c r="E26" s="53"/>
    </row>
    <row r="27" spans="1:5" ht="15.75" customHeight="1" x14ac:dyDescent="0.3">
      <c r="C27" s="95">
        <v>616.09</v>
      </c>
      <c r="D27" s="88">
        <f t="shared" si="0"/>
        <v>-1.2990258707766737E-2</v>
      </c>
      <c r="E27" s="53"/>
    </row>
    <row r="28" spans="1:5" ht="15.75" customHeight="1" x14ac:dyDescent="0.3">
      <c r="C28" s="95">
        <v>624.25</v>
      </c>
      <c r="D28" s="88">
        <f t="shared" si="0"/>
        <v>8.2505805444955005E-5</v>
      </c>
      <c r="E28" s="53"/>
    </row>
    <row r="29" spans="1:5" ht="15.75" customHeight="1" x14ac:dyDescent="0.3">
      <c r="C29" s="95">
        <v>631.76</v>
      </c>
      <c r="D29" s="88">
        <f t="shared" si="0"/>
        <v>1.2113934910128788E-2</v>
      </c>
      <c r="E29" s="53"/>
    </row>
    <row r="30" spans="1:5" ht="15.75" customHeight="1" x14ac:dyDescent="0.3">
      <c r="C30" s="95">
        <v>616.94000000000005</v>
      </c>
      <c r="D30" s="88">
        <f t="shared" si="0"/>
        <v>-1.1628512404307144E-2</v>
      </c>
      <c r="E30" s="53"/>
    </row>
    <row r="31" spans="1:5" ht="15.75" customHeight="1" x14ac:dyDescent="0.3">
      <c r="C31" s="95">
        <v>632.03</v>
      </c>
      <c r="D31" s="88">
        <f t="shared" si="0"/>
        <v>1.2546489618286499E-2</v>
      </c>
      <c r="E31" s="53"/>
    </row>
    <row r="32" spans="1:5" ht="15.75" customHeight="1" x14ac:dyDescent="0.3">
      <c r="C32" s="95">
        <v>617.24</v>
      </c>
      <c r="D32" s="88">
        <f t="shared" si="0"/>
        <v>-1.1147896061909726E-2</v>
      </c>
      <c r="E32" s="53"/>
    </row>
    <row r="33" spans="1:7" ht="15.75" customHeight="1" x14ac:dyDescent="0.3">
      <c r="C33" s="95">
        <v>613.20000000000005</v>
      </c>
      <c r="D33" s="88">
        <f t="shared" si="0"/>
        <v>-1.7620196139529209E-2</v>
      </c>
      <c r="E33" s="53"/>
    </row>
    <row r="34" spans="1:7" ht="15.75" customHeight="1" x14ac:dyDescent="0.3">
      <c r="C34" s="95">
        <v>623.27</v>
      </c>
      <c r="D34" s="88">
        <f t="shared" si="0"/>
        <v>-1.4875075797202101E-3</v>
      </c>
      <c r="E34" s="53"/>
    </row>
    <row r="35" spans="1:7" ht="15.75" customHeight="1" x14ac:dyDescent="0.3">
      <c r="C35" s="95">
        <v>620.11</v>
      </c>
      <c r="D35" s="88">
        <f t="shared" si="0"/>
        <v>-6.5499997196403932E-3</v>
      </c>
      <c r="E35" s="53"/>
    </row>
    <row r="36" spans="1:7" ht="15.75" customHeight="1" x14ac:dyDescent="0.3">
      <c r="C36" s="95">
        <v>630.95000000000005</v>
      </c>
      <c r="D36" s="88">
        <f t="shared" si="0"/>
        <v>1.0816270785655651E-2</v>
      </c>
      <c r="E36" s="53"/>
    </row>
    <row r="37" spans="1:7" ht="15.75" customHeight="1" x14ac:dyDescent="0.3">
      <c r="C37" s="95">
        <v>619.98</v>
      </c>
      <c r="D37" s="88">
        <f t="shared" si="0"/>
        <v>-6.758266801345965E-3</v>
      </c>
      <c r="E37" s="53"/>
    </row>
    <row r="38" spans="1:7" ht="15.75" customHeight="1" x14ac:dyDescent="0.3">
      <c r="C38" s="95">
        <v>627.69000000000005</v>
      </c>
      <c r="D38" s="88">
        <f t="shared" si="0"/>
        <v>5.5935731982696005E-3</v>
      </c>
      <c r="E38" s="53"/>
    </row>
    <row r="39" spans="1:7" ht="15.75" customHeight="1" x14ac:dyDescent="0.3">
      <c r="C39" s="95">
        <v>618.55999999999995</v>
      </c>
      <c r="D39" s="88">
        <f t="shared" si="0"/>
        <v>-9.0331841553608697E-3</v>
      </c>
      <c r="E39" s="53"/>
    </row>
    <row r="40" spans="1:7" ht="15.75" customHeight="1" x14ac:dyDescent="0.3">
      <c r="C40" s="95">
        <v>635.4</v>
      </c>
      <c r="D40" s="88">
        <f t="shared" si="0"/>
        <v>1.7945413197884983E-2</v>
      </c>
      <c r="E40" s="53"/>
    </row>
    <row r="41" spans="1:7" ht="15.75" customHeight="1" x14ac:dyDescent="0.3">
      <c r="C41" s="95">
        <v>638.94000000000005</v>
      </c>
      <c r="D41" s="88">
        <f t="shared" si="0"/>
        <v>2.3616686038175499E-2</v>
      </c>
      <c r="E41" s="53"/>
    </row>
    <row r="42" spans="1:7" ht="15.75" customHeight="1" x14ac:dyDescent="0.3">
      <c r="C42" s="95">
        <v>622.15</v>
      </c>
      <c r="D42" s="88">
        <f t="shared" si="0"/>
        <v>-3.2818085913375152E-3</v>
      </c>
      <c r="E42" s="53"/>
    </row>
    <row r="43" spans="1:7" ht="16.5" customHeight="1" x14ac:dyDescent="0.3">
      <c r="C43" s="96">
        <v>610.99</v>
      </c>
      <c r="D43" s="89">
        <f t="shared" si="0"/>
        <v>-2.1160736528524113E-2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12483.97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624.19849999999997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848">
        <f>C46</f>
        <v>624.19849999999997</v>
      </c>
      <c r="C49" s="93">
        <f>-IF(C46&lt;=80,10%,IF(C46&lt;250,7.5%,5%))</f>
        <v>-0.05</v>
      </c>
      <c r="D49" s="81">
        <f>IF(C46&lt;=80,C46*0.9,IF(C46&lt;250,C46*0.925,C46*0.95))</f>
        <v>592.98857499999997</v>
      </c>
    </row>
    <row r="50" spans="1:6" ht="17.25" customHeight="1" x14ac:dyDescent="0.3">
      <c r="B50" s="849"/>
      <c r="C50" s="94">
        <f>IF(C46&lt;=80, 10%, IF(C46&lt;250, 7.5%, 5%))</f>
        <v>0.05</v>
      </c>
      <c r="D50" s="81">
        <f>IF(C46&lt;=80, C46*1.1, IF(C46&lt;250, C46*1.075, C46*1.05))</f>
        <v>655.40842499999997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4" zoomScale="55" zoomScaleNormal="40" zoomScalePageLayoutView="55" workbookViewId="0">
      <selection activeCell="D60" sqref="D60:D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56" t="s">
        <v>44</v>
      </c>
      <c r="B1" s="856"/>
      <c r="C1" s="856"/>
      <c r="D1" s="856"/>
      <c r="E1" s="856"/>
      <c r="F1" s="856"/>
      <c r="G1" s="856"/>
      <c r="H1" s="856"/>
      <c r="I1" s="856"/>
    </row>
    <row r="2" spans="1:9" ht="18.75" customHeight="1" x14ac:dyDescent="0.25">
      <c r="A2" s="856"/>
      <c r="B2" s="856"/>
      <c r="C2" s="856"/>
      <c r="D2" s="856"/>
      <c r="E2" s="856"/>
      <c r="F2" s="856"/>
      <c r="G2" s="856"/>
      <c r="H2" s="856"/>
      <c r="I2" s="856"/>
    </row>
    <row r="3" spans="1:9" ht="18.75" customHeight="1" x14ac:dyDescent="0.25">
      <c r="A3" s="856"/>
      <c r="B3" s="856"/>
      <c r="C3" s="856"/>
      <c r="D3" s="856"/>
      <c r="E3" s="856"/>
      <c r="F3" s="856"/>
      <c r="G3" s="856"/>
      <c r="H3" s="856"/>
      <c r="I3" s="856"/>
    </row>
    <row r="4" spans="1:9" ht="18.75" customHeight="1" x14ac:dyDescent="0.25">
      <c r="A4" s="856"/>
      <c r="B4" s="856"/>
      <c r="C4" s="856"/>
      <c r="D4" s="856"/>
      <c r="E4" s="856"/>
      <c r="F4" s="856"/>
      <c r="G4" s="856"/>
      <c r="H4" s="856"/>
      <c r="I4" s="856"/>
    </row>
    <row r="5" spans="1:9" ht="18.75" customHeight="1" x14ac:dyDescent="0.25">
      <c r="A5" s="856"/>
      <c r="B5" s="856"/>
      <c r="C5" s="856"/>
      <c r="D5" s="856"/>
      <c r="E5" s="856"/>
      <c r="F5" s="856"/>
      <c r="G5" s="856"/>
      <c r="H5" s="856"/>
      <c r="I5" s="856"/>
    </row>
    <row r="6" spans="1:9" ht="18.75" customHeight="1" x14ac:dyDescent="0.25">
      <c r="A6" s="856"/>
      <c r="B6" s="856"/>
      <c r="C6" s="856"/>
      <c r="D6" s="856"/>
      <c r="E6" s="856"/>
      <c r="F6" s="856"/>
      <c r="G6" s="856"/>
      <c r="H6" s="856"/>
      <c r="I6" s="856"/>
    </row>
    <row r="7" spans="1:9" ht="18.75" customHeight="1" x14ac:dyDescent="0.25">
      <c r="A7" s="856"/>
      <c r="B7" s="856"/>
      <c r="C7" s="856"/>
      <c r="D7" s="856"/>
      <c r="E7" s="856"/>
      <c r="F7" s="856"/>
      <c r="G7" s="856"/>
      <c r="H7" s="856"/>
      <c r="I7" s="856"/>
    </row>
    <row r="8" spans="1:9" x14ac:dyDescent="0.25">
      <c r="A8" s="857" t="s">
        <v>45</v>
      </c>
      <c r="B8" s="857"/>
      <c r="C8" s="857"/>
      <c r="D8" s="857"/>
      <c r="E8" s="857"/>
      <c r="F8" s="857"/>
      <c r="G8" s="857"/>
      <c r="H8" s="857"/>
      <c r="I8" s="857"/>
    </row>
    <row r="9" spans="1:9" x14ac:dyDescent="0.25">
      <c r="A9" s="857"/>
      <c r="B9" s="857"/>
      <c r="C9" s="857"/>
      <c r="D9" s="857"/>
      <c r="E9" s="857"/>
      <c r="F9" s="857"/>
      <c r="G9" s="857"/>
      <c r="H9" s="857"/>
      <c r="I9" s="857"/>
    </row>
    <row r="10" spans="1:9" x14ac:dyDescent="0.25">
      <c r="A10" s="857"/>
      <c r="B10" s="857"/>
      <c r="C10" s="857"/>
      <c r="D10" s="857"/>
      <c r="E10" s="857"/>
      <c r="F10" s="857"/>
      <c r="G10" s="857"/>
      <c r="H10" s="857"/>
      <c r="I10" s="857"/>
    </row>
    <row r="11" spans="1:9" x14ac:dyDescent="0.25">
      <c r="A11" s="857"/>
      <c r="B11" s="857"/>
      <c r="C11" s="857"/>
      <c r="D11" s="857"/>
      <c r="E11" s="857"/>
      <c r="F11" s="857"/>
      <c r="G11" s="857"/>
      <c r="H11" s="857"/>
      <c r="I11" s="857"/>
    </row>
    <row r="12" spans="1:9" x14ac:dyDescent="0.25">
      <c r="A12" s="857"/>
      <c r="B12" s="857"/>
      <c r="C12" s="857"/>
      <c r="D12" s="857"/>
      <c r="E12" s="857"/>
      <c r="F12" s="857"/>
      <c r="G12" s="857"/>
      <c r="H12" s="857"/>
      <c r="I12" s="857"/>
    </row>
    <row r="13" spans="1:9" x14ac:dyDescent="0.25">
      <c r="A13" s="857"/>
      <c r="B13" s="857"/>
      <c r="C13" s="857"/>
      <c r="D13" s="857"/>
      <c r="E13" s="857"/>
      <c r="F13" s="857"/>
      <c r="G13" s="857"/>
      <c r="H13" s="857"/>
      <c r="I13" s="857"/>
    </row>
    <row r="14" spans="1:9" x14ac:dyDescent="0.25">
      <c r="A14" s="857"/>
      <c r="B14" s="857"/>
      <c r="C14" s="857"/>
      <c r="D14" s="857"/>
      <c r="E14" s="857"/>
      <c r="F14" s="857"/>
      <c r="G14" s="857"/>
      <c r="H14" s="857"/>
      <c r="I14" s="857"/>
    </row>
    <row r="15" spans="1:9" ht="19.5" customHeight="1" x14ac:dyDescent="0.3">
      <c r="A15" s="98"/>
    </row>
    <row r="16" spans="1:9" ht="19.5" customHeight="1" x14ac:dyDescent="0.3">
      <c r="A16" s="889" t="s">
        <v>30</v>
      </c>
      <c r="B16" s="890"/>
      <c r="C16" s="890"/>
      <c r="D16" s="890"/>
      <c r="E16" s="890"/>
      <c r="F16" s="890"/>
      <c r="G16" s="890"/>
      <c r="H16" s="891"/>
    </row>
    <row r="17" spans="1:14" ht="20.25" customHeight="1" x14ac:dyDescent="0.25">
      <c r="A17" s="892" t="s">
        <v>46</v>
      </c>
      <c r="B17" s="892"/>
      <c r="C17" s="892"/>
      <c r="D17" s="892"/>
      <c r="E17" s="892"/>
      <c r="F17" s="892"/>
      <c r="G17" s="892"/>
      <c r="H17" s="892"/>
    </row>
    <row r="18" spans="1:14" ht="26.25" customHeight="1" x14ac:dyDescent="0.4">
      <c r="A18" s="100" t="s">
        <v>32</v>
      </c>
      <c r="B18" s="888" t="s">
        <v>5</v>
      </c>
      <c r="C18" s="888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893" t="s">
        <v>133</v>
      </c>
      <c r="C20" s="89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893" t="s">
        <v>11</v>
      </c>
      <c r="C21" s="893"/>
      <c r="D21" s="893"/>
      <c r="E21" s="893"/>
      <c r="F21" s="893"/>
      <c r="G21" s="893"/>
      <c r="H21" s="893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888" t="s">
        <v>133</v>
      </c>
      <c r="C26" s="888"/>
    </row>
    <row r="27" spans="1:14" ht="26.25" customHeight="1" x14ac:dyDescent="0.4">
      <c r="A27" s="109" t="s">
        <v>47</v>
      </c>
      <c r="B27" s="894" t="s">
        <v>135</v>
      </c>
      <c r="C27" s="894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48</v>
      </c>
      <c r="B29" s="111">
        <v>0</v>
      </c>
      <c r="C29" s="864" t="s">
        <v>49</v>
      </c>
      <c r="D29" s="865"/>
      <c r="E29" s="865"/>
      <c r="F29" s="865"/>
      <c r="G29" s="866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867" t="s">
        <v>52</v>
      </c>
      <c r="D31" s="868"/>
      <c r="E31" s="868"/>
      <c r="F31" s="868"/>
      <c r="G31" s="868"/>
      <c r="H31" s="869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867" t="s">
        <v>54</v>
      </c>
      <c r="D32" s="868"/>
      <c r="E32" s="868"/>
      <c r="F32" s="868"/>
      <c r="G32" s="868"/>
      <c r="H32" s="86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870" t="s">
        <v>58</v>
      </c>
      <c r="E36" s="895"/>
      <c r="F36" s="870" t="s">
        <v>59</v>
      </c>
      <c r="G36" s="87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100</v>
      </c>
      <c r="C38" s="131">
        <v>1</v>
      </c>
      <c r="D38" s="132">
        <v>63629121</v>
      </c>
      <c r="E38" s="133">
        <f>IF(ISBLANK(D38),"-",$D$48/$D$45*D38)</f>
        <v>61285974.342946135</v>
      </c>
      <c r="F38" s="132">
        <v>64030338</v>
      </c>
      <c r="G38" s="134">
        <f>IF(ISBLANK(F38),"-",$D$48/$F$45*F38)</f>
        <v>62088519.551041178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63639436</v>
      </c>
      <c r="E39" s="138">
        <f>IF(ISBLANK(D39),"-",$D$48/$D$45*D39)</f>
        <v>61295909.492377907</v>
      </c>
      <c r="F39" s="137">
        <v>64215477</v>
      </c>
      <c r="G39" s="139">
        <f>IF(ISBLANK(F39),"-",$D$48/$F$45*F39)</f>
        <v>62268043.92620784</v>
      </c>
      <c r="I39" s="872">
        <f>ABS((F43/D43*D42)-F42)/D42</f>
        <v>1.6228676695693202E-2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63531278</v>
      </c>
      <c r="E40" s="138">
        <f>IF(ISBLANK(D40),"-",$D$48/$D$45*D40)</f>
        <v>61191734.417996727</v>
      </c>
      <c r="F40" s="137">
        <v>64371752</v>
      </c>
      <c r="G40" s="139">
        <f>IF(ISBLANK(F40),"-",$D$48/$F$45*F40)</f>
        <v>62419579.646554016</v>
      </c>
      <c r="I40" s="872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63599945</v>
      </c>
      <c r="E42" s="148">
        <f>AVERAGE(E38:E41)</f>
        <v>61257872.751106925</v>
      </c>
      <c r="F42" s="147">
        <f>AVERAGE(F38:F41)</f>
        <v>64205855.666666664</v>
      </c>
      <c r="G42" s="149">
        <f>AVERAGE(G38:G41)</f>
        <v>62258714.374601014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20.89</v>
      </c>
      <c r="E43" s="140"/>
      <c r="F43" s="152">
        <v>20.75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20.89</v>
      </c>
      <c r="E44" s="155"/>
      <c r="F44" s="154">
        <f>F43*$B$34</f>
        <v>20.75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200</v>
      </c>
      <c r="C45" s="153" t="s">
        <v>76</v>
      </c>
      <c r="D45" s="157">
        <f>D44*$B$30/100</f>
        <v>20.764660000000003</v>
      </c>
      <c r="E45" s="158"/>
      <c r="F45" s="157">
        <f>F44*$B$30/100</f>
        <v>20.625500000000002</v>
      </c>
      <c r="H45" s="150"/>
    </row>
    <row r="46" spans="1:14" ht="19.5" customHeight="1" x14ac:dyDescent="0.3">
      <c r="A46" s="858" t="s">
        <v>77</v>
      </c>
      <c r="B46" s="859"/>
      <c r="C46" s="153" t="s">
        <v>78</v>
      </c>
      <c r="D46" s="159">
        <f>D45/$B$45</f>
        <v>0.10382330000000001</v>
      </c>
      <c r="E46" s="160"/>
      <c r="F46" s="161">
        <f>F45/$B$45</f>
        <v>0.10312750000000001</v>
      </c>
      <c r="H46" s="150"/>
    </row>
    <row r="47" spans="1:14" ht="27" customHeight="1" x14ac:dyDescent="0.4">
      <c r="A47" s="860"/>
      <c r="B47" s="861"/>
      <c r="C47" s="162" t="s">
        <v>79</v>
      </c>
      <c r="D47" s="163">
        <v>0.1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61758293.56285397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9.0562307222774949E-3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177" t="s">
        <v>86</v>
      </c>
      <c r="B56" s="178">
        <v>500</v>
      </c>
      <c r="C56" s="99" t="str">
        <f>B20</f>
        <v>Paracetamol</v>
      </c>
      <c r="H56" s="179"/>
    </row>
    <row r="57" spans="1:12" ht="18.75" x14ac:dyDescent="0.3">
      <c r="A57" s="176" t="s">
        <v>87</v>
      </c>
      <c r="B57" s="247">
        <f>Uniformity!C46</f>
        <v>624.19849999999997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2</v>
      </c>
      <c r="C60" s="875" t="s">
        <v>93</v>
      </c>
      <c r="D60" s="878">
        <v>639.64</v>
      </c>
      <c r="E60" s="182">
        <v>1</v>
      </c>
      <c r="F60" s="183">
        <v>58098060</v>
      </c>
      <c r="G60" s="248">
        <f>IF(ISBLANK(F60),"-",(F60/$D$50*$D$47*$B$68)*($B$57/$D$60))</f>
        <v>459.01138078138331</v>
      </c>
      <c r="H60" s="266">
        <f t="shared" ref="H60:H71" si="0">IF(ISBLANK(F60),"-",(G60/$B$56)*100)</f>
        <v>91.802276156276662</v>
      </c>
      <c r="L60" s="112"/>
    </row>
    <row r="61" spans="1:12" s="14" customFormat="1" ht="26.25" customHeight="1" x14ac:dyDescent="0.4">
      <c r="A61" s="124" t="s">
        <v>94</v>
      </c>
      <c r="B61" s="125">
        <v>100</v>
      </c>
      <c r="C61" s="876"/>
      <c r="D61" s="879"/>
      <c r="E61" s="184">
        <v>2</v>
      </c>
      <c r="F61" s="137">
        <v>58152954</v>
      </c>
      <c r="G61" s="249">
        <f>IF(ISBLANK(F61),"-",(F61/$D$50*$D$47*$B$68)*($B$57/$D$60))</f>
        <v>459.44507806381603</v>
      </c>
      <c r="H61" s="267">
        <f t="shared" si="0"/>
        <v>91.889015612763203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876"/>
      <c r="D62" s="879"/>
      <c r="E62" s="184">
        <v>3</v>
      </c>
      <c r="F62" s="185">
        <v>58012646</v>
      </c>
      <c r="G62" s="249">
        <f>IF(ISBLANK(F62),"-",(F62/$D$50*$D$47*$B$68)*($B$57/$D$60))</f>
        <v>458.33655621619027</v>
      </c>
      <c r="H62" s="267">
        <f t="shared" si="0"/>
        <v>91.667311243238061</v>
      </c>
      <c r="L62" s="112"/>
    </row>
    <row r="63" spans="1:12" ht="27" customHeight="1" x14ac:dyDescent="0.4">
      <c r="A63" s="124" t="s">
        <v>96</v>
      </c>
      <c r="B63" s="125">
        <v>1</v>
      </c>
      <c r="C63" s="885"/>
      <c r="D63" s="88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875" t="s">
        <v>98</v>
      </c>
      <c r="D64" s="878">
        <v>633.63</v>
      </c>
      <c r="E64" s="182">
        <v>1</v>
      </c>
      <c r="F64" s="183">
        <v>58233589</v>
      </c>
      <c r="G64" s="248">
        <f>IF(ISBLANK(F64),"-",(F64/$D$50*$D$47*$B$68)*($B$57/$D$64))</f>
        <v>464.44603878250973</v>
      </c>
      <c r="H64" s="266">
        <f t="shared" si="0"/>
        <v>92.889207756501946</v>
      </c>
    </row>
    <row r="65" spans="1:8" ht="26.25" customHeight="1" x14ac:dyDescent="0.4">
      <c r="A65" s="124" t="s">
        <v>99</v>
      </c>
      <c r="B65" s="125">
        <v>1</v>
      </c>
      <c r="C65" s="876"/>
      <c r="D65" s="879"/>
      <c r="E65" s="184">
        <v>2</v>
      </c>
      <c r="F65" s="137">
        <v>58306294</v>
      </c>
      <c r="G65" s="249">
        <f>IF(ISBLANK(F65),"-",(F65/$D$50*$D$47*$B$68)*($B$57/$D$64))</f>
        <v>465.02590256610176</v>
      </c>
      <c r="H65" s="267">
        <f t="shared" si="0"/>
        <v>93.005180513220353</v>
      </c>
    </row>
    <row r="66" spans="1:8" ht="26.25" customHeight="1" x14ac:dyDescent="0.4">
      <c r="A66" s="124" t="s">
        <v>100</v>
      </c>
      <c r="B66" s="125">
        <v>1</v>
      </c>
      <c r="C66" s="876"/>
      <c r="D66" s="879"/>
      <c r="E66" s="184">
        <v>3</v>
      </c>
      <c r="F66" s="137">
        <v>58308711</v>
      </c>
      <c r="G66" s="249">
        <f>IF(ISBLANK(F66),"-",(F66/$D$50*$D$47*$B$68)*($B$57/$D$64))</f>
        <v>465.04517951768611</v>
      </c>
      <c r="H66" s="267">
        <f t="shared" si="0"/>
        <v>93.009035903537224</v>
      </c>
    </row>
    <row r="67" spans="1:8" ht="27" customHeight="1" x14ac:dyDescent="0.4">
      <c r="A67" s="124" t="s">
        <v>101</v>
      </c>
      <c r="B67" s="125">
        <v>1</v>
      </c>
      <c r="C67" s="885"/>
      <c r="D67" s="88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5000</v>
      </c>
      <c r="C68" s="875" t="s">
        <v>103</v>
      </c>
      <c r="D68" s="878">
        <v>627.22</v>
      </c>
      <c r="E68" s="182">
        <v>1</v>
      </c>
      <c r="F68" s="183">
        <v>57734001</v>
      </c>
      <c r="G68" s="248">
        <f>IF(ISBLANK(F68),"-",(F68/$D$50*$D$47*$B$68)*($B$57/$D$68))</f>
        <v>465.16731857387828</v>
      </c>
      <c r="H68" s="267">
        <f t="shared" si="0"/>
        <v>93.03346371477565</v>
      </c>
    </row>
    <row r="69" spans="1:8" ht="27" customHeight="1" x14ac:dyDescent="0.4">
      <c r="A69" s="172" t="s">
        <v>104</v>
      </c>
      <c r="B69" s="189">
        <f>(D47*B68)/B56*B57</f>
        <v>624.19849999999997</v>
      </c>
      <c r="C69" s="876"/>
      <c r="D69" s="879"/>
      <c r="E69" s="184">
        <v>2</v>
      </c>
      <c r="F69" s="137">
        <v>57614637</v>
      </c>
      <c r="G69" s="249">
        <f>IF(ISBLANK(F69),"-",(F69/$D$50*$D$47*$B$68)*($B$57/$D$68))</f>
        <v>464.20559357903079</v>
      </c>
      <c r="H69" s="267">
        <f t="shared" si="0"/>
        <v>92.841118715806161</v>
      </c>
    </row>
    <row r="70" spans="1:8" ht="26.25" customHeight="1" x14ac:dyDescent="0.4">
      <c r="A70" s="881" t="s">
        <v>77</v>
      </c>
      <c r="B70" s="882"/>
      <c r="C70" s="876"/>
      <c r="D70" s="879"/>
      <c r="E70" s="184">
        <v>3</v>
      </c>
      <c r="F70" s="137">
        <v>57609456</v>
      </c>
      <c r="G70" s="249">
        <f>IF(ISBLANK(F70),"-",(F70/$D$50*$D$47*$B$68)*($B$57/$D$68))</f>
        <v>464.16384986067095</v>
      </c>
      <c r="H70" s="267">
        <f t="shared" si="0"/>
        <v>92.832769972134187</v>
      </c>
    </row>
    <row r="71" spans="1:8" ht="27" customHeight="1" x14ac:dyDescent="0.4">
      <c r="A71" s="883"/>
      <c r="B71" s="884"/>
      <c r="C71" s="877"/>
      <c r="D71" s="88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462.76076643791862</v>
      </c>
      <c r="H72" s="269">
        <f>AVERAGE(H60:H71)</f>
        <v>92.552153287583721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6.2845258878549675E-3</v>
      </c>
      <c r="H73" s="253">
        <f>STDEV(H60:H71)/H72</f>
        <v>6.284525887854958E-3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862" t="str">
        <f>B26</f>
        <v>Paracetamol</v>
      </c>
      <c r="D76" s="862"/>
      <c r="E76" s="198" t="s">
        <v>107</v>
      </c>
      <c r="F76" s="198"/>
      <c r="G76" s="199">
        <f>H72</f>
        <v>92.552153287583721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896" t="str">
        <f>B26</f>
        <v>Paracetamol</v>
      </c>
      <c r="C79" s="896"/>
    </row>
    <row r="80" spans="1:8" ht="26.25" customHeight="1" x14ac:dyDescent="0.4">
      <c r="A80" s="109" t="s">
        <v>47</v>
      </c>
      <c r="B80" s="896" t="str">
        <f>B27</f>
        <v>P 49 2</v>
      </c>
      <c r="C80" s="896"/>
    </row>
    <row r="81" spans="1:12" ht="27" customHeight="1" x14ac:dyDescent="0.4">
      <c r="A81" s="109" t="s">
        <v>6</v>
      </c>
      <c r="B81" s="201">
        <f>B28</f>
        <v>99.4</v>
      </c>
    </row>
    <row r="82" spans="1:12" s="14" customFormat="1" ht="27" customHeight="1" x14ac:dyDescent="0.4">
      <c r="A82" s="109" t="s">
        <v>48</v>
      </c>
      <c r="B82" s="111">
        <v>0</v>
      </c>
      <c r="C82" s="864" t="s">
        <v>49</v>
      </c>
      <c r="D82" s="865"/>
      <c r="E82" s="865"/>
      <c r="F82" s="865"/>
      <c r="G82" s="866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154.46</v>
      </c>
      <c r="C84" s="867" t="s">
        <v>110</v>
      </c>
      <c r="D84" s="868"/>
      <c r="E84" s="868"/>
      <c r="F84" s="868"/>
      <c r="G84" s="868"/>
      <c r="H84" s="869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165.23</v>
      </c>
      <c r="C85" s="867" t="s">
        <v>111</v>
      </c>
      <c r="D85" s="868"/>
      <c r="E85" s="868"/>
      <c r="F85" s="868"/>
      <c r="G85" s="868"/>
      <c r="H85" s="86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0.93481813230042976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02" t="s">
        <v>58</v>
      </c>
      <c r="E89" s="203"/>
      <c r="F89" s="870" t="s">
        <v>59</v>
      </c>
      <c r="G89" s="871"/>
    </row>
    <row r="90" spans="1:12" ht="27" customHeight="1" x14ac:dyDescent="0.4">
      <c r="A90" s="124" t="s">
        <v>60</v>
      </c>
      <c r="B90" s="125">
        <v>4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200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872" t="e">
        <f>ABS((F96/D96*D95)-F95)/D95</f>
        <v>#DIV/0!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872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25.12</v>
      </c>
      <c r="E96" s="140"/>
      <c r="F96" s="152">
        <v>25.78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75</v>
      </c>
      <c r="B98" s="217">
        <f>(B97/B96)*(B95/B94)*(B93/B92)*(B91/B90)*B89</f>
        <v>1250</v>
      </c>
      <c r="C98" s="215" t="s">
        <v>114</v>
      </c>
      <c r="D98" s="218">
        <f>D97*$B$83/100</f>
        <v>23.341735694486477</v>
      </c>
      <c r="E98" s="158"/>
      <c r="F98" s="157">
        <f>F97*$B$83/100</f>
        <v>23.955013782000851</v>
      </c>
    </row>
    <row r="99" spans="1:10" ht="19.5" customHeight="1" x14ac:dyDescent="0.3">
      <c r="A99" s="858" t="s">
        <v>77</v>
      </c>
      <c r="B99" s="873"/>
      <c r="C99" s="215" t="s">
        <v>115</v>
      </c>
      <c r="D99" s="219">
        <f>D98/$B$98</f>
        <v>1.8673388555589181E-2</v>
      </c>
      <c r="E99" s="158"/>
      <c r="F99" s="161">
        <f>F98/$B$98</f>
        <v>1.9164011025600679E-2</v>
      </c>
      <c r="G99" s="220"/>
      <c r="H99" s="150"/>
    </row>
    <row r="100" spans="1:10" ht="19.5" customHeight="1" x14ac:dyDescent="0.3">
      <c r="A100" s="860"/>
      <c r="B100" s="874"/>
      <c r="C100" s="215" t="s">
        <v>79</v>
      </c>
      <c r="D100" s="221">
        <f>$B$56/$B$116</f>
        <v>5.5555555555555552E-2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69.444444444444443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69.444444444444443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900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5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94</v>
      </c>
      <c r="B109" s="125">
        <v>50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102</v>
      </c>
      <c r="B116" s="156">
        <f>(B115/B114)*(B113/B112)*(B111/B110)*(B109/B108)*B107</f>
        <v>9000</v>
      </c>
      <c r="C116" s="234"/>
      <c r="D116" s="258" t="s">
        <v>83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858" t="s">
        <v>77</v>
      </c>
      <c r="B117" s="859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860"/>
      <c r="B118" s="861"/>
      <c r="C118" s="98"/>
      <c r="D118" s="260"/>
      <c r="E118" s="886" t="s">
        <v>122</v>
      </c>
      <c r="F118" s="88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862" t="str">
        <f>B26</f>
        <v>Paracetamol</v>
      </c>
      <c r="D124" s="862"/>
      <c r="E124" s="198" t="s">
        <v>126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0</v>
      </c>
      <c r="E125" s="209" t="s">
        <v>129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863" t="s">
        <v>25</v>
      </c>
      <c r="C127" s="863"/>
      <c r="E127" s="204" t="s">
        <v>26</v>
      </c>
      <c r="F127" s="239"/>
      <c r="G127" s="863" t="s">
        <v>27</v>
      </c>
      <c r="H127" s="863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4" zoomScale="55" zoomScaleNormal="40" zoomScalePageLayoutView="55" workbookViewId="0">
      <selection activeCell="D60" sqref="D60:D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56" t="s">
        <v>44</v>
      </c>
      <c r="B1" s="856"/>
      <c r="C1" s="856"/>
      <c r="D1" s="856"/>
      <c r="E1" s="856"/>
      <c r="F1" s="856"/>
      <c r="G1" s="856"/>
      <c r="H1" s="856"/>
      <c r="I1" s="856"/>
    </row>
    <row r="2" spans="1:9" ht="18.75" customHeight="1" x14ac:dyDescent="0.25">
      <c r="A2" s="856"/>
      <c r="B2" s="856"/>
      <c r="C2" s="856"/>
      <c r="D2" s="856"/>
      <c r="E2" s="856"/>
      <c r="F2" s="856"/>
      <c r="G2" s="856"/>
      <c r="H2" s="856"/>
      <c r="I2" s="856"/>
    </row>
    <row r="3" spans="1:9" ht="18.75" customHeight="1" x14ac:dyDescent="0.25">
      <c r="A3" s="856"/>
      <c r="B3" s="856"/>
      <c r="C3" s="856"/>
      <c r="D3" s="856"/>
      <c r="E3" s="856"/>
      <c r="F3" s="856"/>
      <c r="G3" s="856"/>
      <c r="H3" s="856"/>
      <c r="I3" s="856"/>
    </row>
    <row r="4" spans="1:9" ht="18.75" customHeight="1" x14ac:dyDescent="0.25">
      <c r="A4" s="856"/>
      <c r="B4" s="856"/>
      <c r="C4" s="856"/>
      <c r="D4" s="856"/>
      <c r="E4" s="856"/>
      <c r="F4" s="856"/>
      <c r="G4" s="856"/>
      <c r="H4" s="856"/>
      <c r="I4" s="856"/>
    </row>
    <row r="5" spans="1:9" ht="18.75" customHeight="1" x14ac:dyDescent="0.25">
      <c r="A5" s="856"/>
      <c r="B5" s="856"/>
      <c r="C5" s="856"/>
      <c r="D5" s="856"/>
      <c r="E5" s="856"/>
      <c r="F5" s="856"/>
      <c r="G5" s="856"/>
      <c r="H5" s="856"/>
      <c r="I5" s="856"/>
    </row>
    <row r="6" spans="1:9" ht="18.75" customHeight="1" x14ac:dyDescent="0.25">
      <c r="A6" s="856"/>
      <c r="B6" s="856"/>
      <c r="C6" s="856"/>
      <c r="D6" s="856"/>
      <c r="E6" s="856"/>
      <c r="F6" s="856"/>
      <c r="G6" s="856"/>
      <c r="H6" s="856"/>
      <c r="I6" s="856"/>
    </row>
    <row r="7" spans="1:9" ht="18.75" customHeight="1" x14ac:dyDescent="0.25">
      <c r="A7" s="856"/>
      <c r="B7" s="856"/>
      <c r="C7" s="856"/>
      <c r="D7" s="856"/>
      <c r="E7" s="856"/>
      <c r="F7" s="856"/>
      <c r="G7" s="856"/>
      <c r="H7" s="856"/>
      <c r="I7" s="856"/>
    </row>
    <row r="8" spans="1:9" x14ac:dyDescent="0.25">
      <c r="A8" s="857" t="s">
        <v>45</v>
      </c>
      <c r="B8" s="857"/>
      <c r="C8" s="857"/>
      <c r="D8" s="857"/>
      <c r="E8" s="857"/>
      <c r="F8" s="857"/>
      <c r="G8" s="857"/>
      <c r="H8" s="857"/>
      <c r="I8" s="857"/>
    </row>
    <row r="9" spans="1:9" x14ac:dyDescent="0.25">
      <c r="A9" s="857"/>
      <c r="B9" s="857"/>
      <c r="C9" s="857"/>
      <c r="D9" s="857"/>
      <c r="E9" s="857"/>
      <c r="F9" s="857"/>
      <c r="G9" s="857"/>
      <c r="H9" s="857"/>
      <c r="I9" s="857"/>
    </row>
    <row r="10" spans="1:9" x14ac:dyDescent="0.25">
      <c r="A10" s="857"/>
      <c r="B10" s="857"/>
      <c r="C10" s="857"/>
      <c r="D10" s="857"/>
      <c r="E10" s="857"/>
      <c r="F10" s="857"/>
      <c r="G10" s="857"/>
      <c r="H10" s="857"/>
      <c r="I10" s="857"/>
    </row>
    <row r="11" spans="1:9" x14ac:dyDescent="0.25">
      <c r="A11" s="857"/>
      <c r="B11" s="857"/>
      <c r="C11" s="857"/>
      <c r="D11" s="857"/>
      <c r="E11" s="857"/>
      <c r="F11" s="857"/>
      <c r="G11" s="857"/>
      <c r="H11" s="857"/>
      <c r="I11" s="857"/>
    </row>
    <row r="12" spans="1:9" x14ac:dyDescent="0.25">
      <c r="A12" s="857"/>
      <c r="B12" s="857"/>
      <c r="C12" s="857"/>
      <c r="D12" s="857"/>
      <c r="E12" s="857"/>
      <c r="F12" s="857"/>
      <c r="G12" s="857"/>
      <c r="H12" s="857"/>
      <c r="I12" s="857"/>
    </row>
    <row r="13" spans="1:9" x14ac:dyDescent="0.25">
      <c r="A13" s="857"/>
      <c r="B13" s="857"/>
      <c r="C13" s="857"/>
      <c r="D13" s="857"/>
      <c r="E13" s="857"/>
      <c r="F13" s="857"/>
      <c r="G13" s="857"/>
      <c r="H13" s="857"/>
      <c r="I13" s="857"/>
    </row>
    <row r="14" spans="1:9" x14ac:dyDescent="0.25">
      <c r="A14" s="857"/>
      <c r="B14" s="857"/>
      <c r="C14" s="857"/>
      <c r="D14" s="857"/>
      <c r="E14" s="857"/>
      <c r="F14" s="857"/>
      <c r="G14" s="857"/>
      <c r="H14" s="857"/>
      <c r="I14" s="857"/>
    </row>
    <row r="15" spans="1:9" ht="19.5" customHeight="1" x14ac:dyDescent="0.3">
      <c r="A15" s="285"/>
    </row>
    <row r="16" spans="1:9" ht="19.5" customHeight="1" x14ac:dyDescent="0.3">
      <c r="A16" s="889" t="s">
        <v>30</v>
      </c>
      <c r="B16" s="890"/>
      <c r="C16" s="890"/>
      <c r="D16" s="890"/>
      <c r="E16" s="890"/>
      <c r="F16" s="890"/>
      <c r="G16" s="890"/>
      <c r="H16" s="891"/>
    </row>
    <row r="17" spans="1:14" ht="20.25" customHeight="1" x14ac:dyDescent="0.25">
      <c r="A17" s="892" t="s">
        <v>46</v>
      </c>
      <c r="B17" s="892"/>
      <c r="C17" s="892"/>
      <c r="D17" s="892"/>
      <c r="E17" s="892"/>
      <c r="F17" s="892"/>
      <c r="G17" s="892"/>
      <c r="H17" s="892"/>
    </row>
    <row r="18" spans="1:14" ht="26.25" customHeight="1" x14ac:dyDescent="0.4">
      <c r="A18" s="287" t="s">
        <v>32</v>
      </c>
      <c r="B18" s="888" t="s">
        <v>5</v>
      </c>
      <c r="C18" s="888"/>
      <c r="D18" s="433"/>
      <c r="E18" s="288"/>
      <c r="F18" s="289"/>
      <c r="G18" s="289"/>
      <c r="H18" s="289"/>
    </row>
    <row r="19" spans="1:14" ht="26.25" customHeight="1" x14ac:dyDescent="0.4">
      <c r="A19" s="287" t="s">
        <v>33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34</v>
      </c>
      <c r="B20" s="893" t="s">
        <v>137</v>
      </c>
      <c r="C20" s="893"/>
      <c r="D20" s="289"/>
      <c r="E20" s="289"/>
      <c r="F20" s="289"/>
      <c r="G20" s="289"/>
      <c r="H20" s="289"/>
    </row>
    <row r="21" spans="1:14" ht="26.25" customHeight="1" x14ac:dyDescent="0.4">
      <c r="A21" s="287" t="s">
        <v>35</v>
      </c>
      <c r="B21" s="893" t="s">
        <v>11</v>
      </c>
      <c r="C21" s="893"/>
      <c r="D21" s="893"/>
      <c r="E21" s="893"/>
      <c r="F21" s="893"/>
      <c r="G21" s="893"/>
      <c r="H21" s="893"/>
      <c r="I21" s="291"/>
    </row>
    <row r="22" spans="1:14" ht="26.25" customHeight="1" x14ac:dyDescent="0.4">
      <c r="A22" s="287" t="s">
        <v>36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37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888" t="s">
        <v>130</v>
      </c>
      <c r="C26" s="888"/>
    </row>
    <row r="27" spans="1:14" ht="26.25" customHeight="1" x14ac:dyDescent="0.4">
      <c r="A27" s="296" t="s">
        <v>47</v>
      </c>
      <c r="B27" s="894" t="s">
        <v>136</v>
      </c>
      <c r="C27" s="894"/>
    </row>
    <row r="28" spans="1:14" ht="27" customHeight="1" x14ac:dyDescent="0.4">
      <c r="A28" s="296" t="s">
        <v>6</v>
      </c>
      <c r="B28" s="297">
        <v>99.09</v>
      </c>
    </row>
    <row r="29" spans="1:14" s="14" customFormat="1" ht="27" customHeight="1" x14ac:dyDescent="0.4">
      <c r="A29" s="296" t="s">
        <v>48</v>
      </c>
      <c r="B29" s="298">
        <v>0</v>
      </c>
      <c r="C29" s="864" t="s">
        <v>49</v>
      </c>
      <c r="D29" s="865"/>
      <c r="E29" s="865"/>
      <c r="F29" s="865"/>
      <c r="G29" s="866"/>
      <c r="I29" s="299"/>
      <c r="J29" s="299"/>
      <c r="K29" s="299"/>
      <c r="L29" s="299"/>
    </row>
    <row r="30" spans="1:14" s="14" customFormat="1" ht="19.5" customHeight="1" x14ac:dyDescent="0.3">
      <c r="A30" s="296" t="s">
        <v>50</v>
      </c>
      <c r="B30" s="300">
        <f>B28-B29</f>
        <v>99.09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51</v>
      </c>
      <c r="B31" s="303">
        <v>1</v>
      </c>
      <c r="C31" s="867" t="s">
        <v>52</v>
      </c>
      <c r="D31" s="868"/>
      <c r="E31" s="868"/>
      <c r="F31" s="868"/>
      <c r="G31" s="868"/>
      <c r="H31" s="869"/>
      <c r="I31" s="299"/>
      <c r="J31" s="299"/>
      <c r="K31" s="299"/>
      <c r="L31" s="299"/>
    </row>
    <row r="32" spans="1:14" s="14" customFormat="1" ht="27" customHeight="1" x14ac:dyDescent="0.4">
      <c r="A32" s="296" t="s">
        <v>53</v>
      </c>
      <c r="B32" s="303">
        <v>1</v>
      </c>
      <c r="C32" s="867" t="s">
        <v>54</v>
      </c>
      <c r="D32" s="868"/>
      <c r="E32" s="868"/>
      <c r="F32" s="868"/>
      <c r="G32" s="868"/>
      <c r="H32" s="869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55</v>
      </c>
      <c r="B34" s="308">
        <f>B31/B32</f>
        <v>1</v>
      </c>
      <c r="C34" s="286" t="s">
        <v>56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57</v>
      </c>
      <c r="B36" s="310">
        <v>100</v>
      </c>
      <c r="C36" s="286"/>
      <c r="D36" s="870" t="s">
        <v>58</v>
      </c>
      <c r="E36" s="895"/>
      <c r="F36" s="870" t="s">
        <v>59</v>
      </c>
      <c r="G36" s="871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60</v>
      </c>
      <c r="B37" s="312">
        <v>2</v>
      </c>
      <c r="C37" s="313" t="s">
        <v>61</v>
      </c>
      <c r="D37" s="314" t="s">
        <v>62</v>
      </c>
      <c r="E37" s="315" t="s">
        <v>63</v>
      </c>
      <c r="F37" s="314" t="s">
        <v>62</v>
      </c>
      <c r="G37" s="316" t="s">
        <v>63</v>
      </c>
      <c r="I37" s="317" t="s">
        <v>64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65</v>
      </c>
      <c r="B38" s="312">
        <v>100</v>
      </c>
      <c r="C38" s="318">
        <v>1</v>
      </c>
      <c r="D38" s="319">
        <v>1490939</v>
      </c>
      <c r="E38" s="320">
        <f>IF(ISBLANK(D38),"-",$D$48/$D$45*D38)</f>
        <v>11022938.7795237</v>
      </c>
      <c r="F38" s="319">
        <v>1089908</v>
      </c>
      <c r="G38" s="321">
        <f>IF(ISBLANK(F38),"-",$D$48/$F$45*F38)</f>
        <v>11054444.692936882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66</v>
      </c>
      <c r="B39" s="312">
        <v>1</v>
      </c>
      <c r="C39" s="323">
        <v>2</v>
      </c>
      <c r="D39" s="324">
        <v>1489686</v>
      </c>
      <c r="E39" s="325">
        <f>IF(ISBLANK(D39),"-",$D$48/$D$45*D39)</f>
        <v>11013674.991876625</v>
      </c>
      <c r="F39" s="324">
        <v>1090661</v>
      </c>
      <c r="G39" s="326">
        <f>IF(ISBLANK(F39),"-",$D$48/$F$45*F39)</f>
        <v>11062082.031917587</v>
      </c>
      <c r="I39" s="872">
        <f>ABS((F43/D43*D42)-F42)/D42</f>
        <v>3.8264021816187383E-3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67</v>
      </c>
      <c r="B40" s="312">
        <v>1</v>
      </c>
      <c r="C40" s="323">
        <v>3</v>
      </c>
      <c r="D40" s="324">
        <v>1482698</v>
      </c>
      <c r="E40" s="325">
        <f>IF(ISBLANK(D40),"-",$D$48/$D$45*D40)</f>
        <v>10962010.707696447</v>
      </c>
      <c r="F40" s="324">
        <v>1089994</v>
      </c>
      <c r="G40" s="326">
        <f>IF(ISBLANK(F40),"-",$D$48/$F$45*F40)</f>
        <v>11055316.952103339</v>
      </c>
      <c r="I40" s="872"/>
      <c r="L40" s="304"/>
      <c r="M40" s="304"/>
      <c r="N40" s="327"/>
    </row>
    <row r="41" spans="1:14" ht="27" customHeight="1" x14ac:dyDescent="0.4">
      <c r="A41" s="311" t="s">
        <v>68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69</v>
      </c>
      <c r="B42" s="312">
        <v>1</v>
      </c>
      <c r="C42" s="333" t="s">
        <v>70</v>
      </c>
      <c r="D42" s="334">
        <f>AVERAGE(D38:D41)</f>
        <v>1487774.3333333333</v>
      </c>
      <c r="E42" s="335">
        <f>AVERAGE(E38:E41)</f>
        <v>10999541.493032256</v>
      </c>
      <c r="F42" s="334">
        <f>AVERAGE(F38:F41)</f>
        <v>1090187.6666666667</v>
      </c>
      <c r="G42" s="336">
        <f>AVERAGE(G38:G41)</f>
        <v>11057281.225652603</v>
      </c>
      <c r="H42" s="337"/>
    </row>
    <row r="43" spans="1:14" ht="26.25" customHeight="1" x14ac:dyDescent="0.4">
      <c r="A43" s="311" t="s">
        <v>71</v>
      </c>
      <c r="B43" s="312">
        <v>1</v>
      </c>
      <c r="C43" s="338" t="s">
        <v>72</v>
      </c>
      <c r="D43" s="339">
        <v>13.65</v>
      </c>
      <c r="E43" s="327"/>
      <c r="F43" s="339">
        <v>9.9499999999999993</v>
      </c>
      <c r="H43" s="337"/>
    </row>
    <row r="44" spans="1:14" ht="26.25" customHeight="1" x14ac:dyDescent="0.4">
      <c r="A44" s="311" t="s">
        <v>73</v>
      </c>
      <c r="B44" s="312">
        <v>1</v>
      </c>
      <c r="C44" s="340" t="s">
        <v>74</v>
      </c>
      <c r="D44" s="341">
        <f>D43*$B$34</f>
        <v>13.65</v>
      </c>
      <c r="E44" s="342"/>
      <c r="F44" s="341">
        <f>F43*$B$34</f>
        <v>9.9499999999999993</v>
      </c>
      <c r="H44" s="337"/>
    </row>
    <row r="45" spans="1:14" ht="19.5" customHeight="1" x14ac:dyDescent="0.3">
      <c r="A45" s="311" t="s">
        <v>75</v>
      </c>
      <c r="B45" s="343">
        <f>(B44/B43)*(B42/B41)*(B40/B39)*(B38/B37)*B36</f>
        <v>5000</v>
      </c>
      <c r="C45" s="340" t="s">
        <v>76</v>
      </c>
      <c r="D45" s="344">
        <f>D44*$B$30/100</f>
        <v>13.525785000000001</v>
      </c>
      <c r="E45" s="345"/>
      <c r="F45" s="344">
        <f>F44*$B$30/100</f>
        <v>9.8594549999999987</v>
      </c>
      <c r="H45" s="337"/>
    </row>
    <row r="46" spans="1:14" ht="19.5" customHeight="1" x14ac:dyDescent="0.3">
      <c r="A46" s="858" t="s">
        <v>77</v>
      </c>
      <c r="B46" s="859"/>
      <c r="C46" s="340" t="s">
        <v>78</v>
      </c>
      <c r="D46" s="346">
        <f>D45/$B$45</f>
        <v>2.7051570000000001E-3</v>
      </c>
      <c r="E46" s="347"/>
      <c r="F46" s="348">
        <f>F45/$B$45</f>
        <v>1.9718909999999999E-3</v>
      </c>
      <c r="H46" s="337"/>
    </row>
    <row r="47" spans="1:14" ht="27" customHeight="1" x14ac:dyDescent="0.4">
      <c r="A47" s="860"/>
      <c r="B47" s="861"/>
      <c r="C47" s="349" t="s">
        <v>79</v>
      </c>
      <c r="D47" s="350">
        <v>0.02</v>
      </c>
      <c r="E47" s="351"/>
      <c r="F47" s="347"/>
      <c r="H47" s="337"/>
    </row>
    <row r="48" spans="1:14" ht="18.75" x14ac:dyDescent="0.3">
      <c r="C48" s="352" t="s">
        <v>80</v>
      </c>
      <c r="D48" s="344">
        <f>D47*$B$45</f>
        <v>100</v>
      </c>
      <c r="F48" s="353"/>
      <c r="H48" s="337"/>
    </row>
    <row r="49" spans="1:12" ht="19.5" customHeight="1" x14ac:dyDescent="0.3">
      <c r="C49" s="354" t="s">
        <v>81</v>
      </c>
      <c r="D49" s="355">
        <f>D48/B34</f>
        <v>100</v>
      </c>
      <c r="F49" s="353"/>
      <c r="H49" s="337"/>
    </row>
    <row r="50" spans="1:12" ht="18.75" x14ac:dyDescent="0.3">
      <c r="C50" s="309" t="s">
        <v>82</v>
      </c>
      <c r="D50" s="356">
        <f>AVERAGE(E38:E41,G38:G41)</f>
        <v>11028411.35934243</v>
      </c>
      <c r="F50" s="357"/>
      <c r="H50" s="337"/>
    </row>
    <row r="51" spans="1:12" ht="18.75" x14ac:dyDescent="0.3">
      <c r="C51" s="311" t="s">
        <v>83</v>
      </c>
      <c r="D51" s="358">
        <f>STDEV(E38:E41,G38:G41)/D50</f>
        <v>3.4388422935592261E-3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84</v>
      </c>
    </row>
    <row r="55" spans="1:12" ht="18.75" x14ac:dyDescent="0.3">
      <c r="A55" s="286" t="s">
        <v>85</v>
      </c>
      <c r="B55" s="363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364" t="s">
        <v>86</v>
      </c>
      <c r="B56" s="365">
        <v>10</v>
      </c>
      <c r="C56" s="286" t="str">
        <f>B20</f>
        <v>Phenylephrine hydrochloride</v>
      </c>
      <c r="H56" s="366"/>
    </row>
    <row r="57" spans="1:12" ht="18.75" x14ac:dyDescent="0.3">
      <c r="A57" s="363" t="s">
        <v>87</v>
      </c>
      <c r="B57" s="434">
        <f>Uniformity!C46</f>
        <v>624.19849999999997</v>
      </c>
      <c r="H57" s="366"/>
    </row>
    <row r="58" spans="1:12" ht="19.5" customHeight="1" x14ac:dyDescent="0.3">
      <c r="H58" s="366"/>
    </row>
    <row r="59" spans="1:12" s="14" customFormat="1" ht="27" customHeight="1" thickBot="1" x14ac:dyDescent="0.45">
      <c r="A59" s="309" t="s">
        <v>88</v>
      </c>
      <c r="B59" s="310">
        <v>100</v>
      </c>
      <c r="C59" s="286"/>
      <c r="D59" s="367" t="s">
        <v>89</v>
      </c>
      <c r="E59" s="368" t="s">
        <v>61</v>
      </c>
      <c r="F59" s="368" t="s">
        <v>62</v>
      </c>
      <c r="G59" s="368" t="s">
        <v>90</v>
      </c>
      <c r="H59" s="313" t="s">
        <v>91</v>
      </c>
      <c r="L59" s="299"/>
    </row>
    <row r="60" spans="1:12" s="14" customFormat="1" ht="26.25" customHeight="1" x14ac:dyDescent="0.4">
      <c r="A60" s="311" t="s">
        <v>92</v>
      </c>
      <c r="B60" s="312">
        <v>2</v>
      </c>
      <c r="C60" s="875" t="s">
        <v>93</v>
      </c>
      <c r="D60" s="878">
        <v>639.64</v>
      </c>
      <c r="E60" s="369">
        <v>1</v>
      </c>
      <c r="F60" s="370">
        <v>986647</v>
      </c>
      <c r="G60" s="435">
        <f>IF(ISBLANK(F60),"-",(F60/$D$50*$D$47*$B$68)*($B$57/$D$60))</f>
        <v>8.7304363190101899</v>
      </c>
      <c r="H60" s="453">
        <f t="shared" ref="H60:H71" si="0">IF(ISBLANK(F60),"-",(G60/$B$56)*100)</f>
        <v>87.304363190101895</v>
      </c>
      <c r="L60" s="299"/>
    </row>
    <row r="61" spans="1:12" s="14" customFormat="1" ht="26.25" customHeight="1" x14ac:dyDescent="0.4">
      <c r="A61" s="311" t="s">
        <v>94</v>
      </c>
      <c r="B61" s="312">
        <v>100</v>
      </c>
      <c r="C61" s="876"/>
      <c r="D61" s="879"/>
      <c r="E61" s="371">
        <v>2</v>
      </c>
      <c r="F61" s="324">
        <v>989917</v>
      </c>
      <c r="G61" s="436">
        <f>IF(ISBLANK(F61),"-",(F61/$D$50*$D$47*$B$68)*($B$57/$D$60))</f>
        <v>8.7593712134183885</v>
      </c>
      <c r="H61" s="454">
        <f t="shared" si="0"/>
        <v>87.593712134183889</v>
      </c>
      <c r="L61" s="299"/>
    </row>
    <row r="62" spans="1:12" s="14" customFormat="1" ht="26.25" customHeight="1" x14ac:dyDescent="0.4">
      <c r="A62" s="311" t="s">
        <v>95</v>
      </c>
      <c r="B62" s="312">
        <v>1</v>
      </c>
      <c r="C62" s="876"/>
      <c r="D62" s="879"/>
      <c r="E62" s="371">
        <v>3</v>
      </c>
      <c r="F62" s="372">
        <v>982130</v>
      </c>
      <c r="G62" s="436">
        <f>IF(ISBLANK(F62),"-",(F62/$D$50*$D$47*$B$68)*($B$57/$D$60))</f>
        <v>8.690467230924007</v>
      </c>
      <c r="H62" s="454">
        <f t="shared" si="0"/>
        <v>86.90467230924007</v>
      </c>
      <c r="L62" s="299"/>
    </row>
    <row r="63" spans="1:12" ht="27" customHeight="1" thickBot="1" x14ac:dyDescent="0.45">
      <c r="A63" s="311" t="s">
        <v>96</v>
      </c>
      <c r="B63" s="312">
        <v>1</v>
      </c>
      <c r="C63" s="885"/>
      <c r="D63" s="880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97</v>
      </c>
      <c r="B64" s="312">
        <v>1</v>
      </c>
      <c r="C64" s="875" t="s">
        <v>98</v>
      </c>
      <c r="D64" s="878">
        <v>633.63</v>
      </c>
      <c r="E64" s="369">
        <v>1</v>
      </c>
      <c r="F64" s="370">
        <v>993769</v>
      </c>
      <c r="G64" s="435">
        <f>IF(ISBLANK(F64),"-",(F64/$D$50*$D$47*$B$68)*($B$57/$D$64))</f>
        <v>8.8768621880882499</v>
      </c>
      <c r="H64" s="453">
        <f t="shared" si="0"/>
        <v>88.768621880882506</v>
      </c>
    </row>
    <row r="65" spans="1:8" ht="26.25" customHeight="1" x14ac:dyDescent="0.4">
      <c r="A65" s="311" t="s">
        <v>99</v>
      </c>
      <c r="B65" s="312">
        <v>1</v>
      </c>
      <c r="C65" s="876"/>
      <c r="D65" s="879"/>
      <c r="E65" s="371">
        <v>2</v>
      </c>
      <c r="F65" s="324">
        <v>988097</v>
      </c>
      <c r="G65" s="436">
        <f>IF(ISBLANK(F65),"-",(F65/$D$50*$D$47*$B$68)*($B$57/$D$64))</f>
        <v>8.8261969305376127</v>
      </c>
      <c r="H65" s="454">
        <f t="shared" si="0"/>
        <v>88.261969305376127</v>
      </c>
    </row>
    <row r="66" spans="1:8" ht="26.25" customHeight="1" x14ac:dyDescent="0.4">
      <c r="A66" s="311" t="s">
        <v>100</v>
      </c>
      <c r="B66" s="312">
        <v>1</v>
      </c>
      <c r="C66" s="876"/>
      <c r="D66" s="879"/>
      <c r="E66" s="371">
        <v>3</v>
      </c>
      <c r="F66" s="324">
        <v>987234</v>
      </c>
      <c r="G66" s="436">
        <f>IF(ISBLANK(F66),"-",(F66/$D$50*$D$47*$B$68)*($B$57/$D$64))</f>
        <v>8.8184881651521785</v>
      </c>
      <c r="H66" s="454">
        <f t="shared" si="0"/>
        <v>88.184881651521778</v>
      </c>
    </row>
    <row r="67" spans="1:8" ht="27" customHeight="1" thickBot="1" x14ac:dyDescent="0.45">
      <c r="A67" s="311" t="s">
        <v>101</v>
      </c>
      <c r="B67" s="312">
        <v>1</v>
      </c>
      <c r="C67" s="885"/>
      <c r="D67" s="880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102</v>
      </c>
      <c r="B68" s="375">
        <f>(B67/B66)*(B65/B64)*(B63/B62)*(B61/B60)*B59</f>
        <v>5000</v>
      </c>
      <c r="C68" s="875" t="s">
        <v>103</v>
      </c>
      <c r="D68" s="878">
        <v>627.22</v>
      </c>
      <c r="E68" s="369">
        <v>1</v>
      </c>
      <c r="F68" s="370">
        <v>985737</v>
      </c>
      <c r="G68" s="435">
        <f>IF(ISBLANK(F68),"-",(F68/$D$50*$D$47*$B$68)*($B$57/$D$68))</f>
        <v>8.8951018241836746</v>
      </c>
      <c r="H68" s="454">
        <f t="shared" si="0"/>
        <v>88.951018241836749</v>
      </c>
    </row>
    <row r="69" spans="1:8" ht="27" customHeight="1" thickBot="1" x14ac:dyDescent="0.45">
      <c r="A69" s="359" t="s">
        <v>104</v>
      </c>
      <c r="B69" s="376">
        <f>(D47*B68)/B56*B57</f>
        <v>6241.9849999999997</v>
      </c>
      <c r="C69" s="876"/>
      <c r="D69" s="879"/>
      <c r="E69" s="371">
        <v>2</v>
      </c>
      <c r="F69" s="324">
        <v>982041</v>
      </c>
      <c r="G69" s="436">
        <f>IF(ISBLANK(F69),"-",(F69/$D$50*$D$47*$B$68)*($B$57/$D$68))</f>
        <v>8.8617498283245535</v>
      </c>
      <c r="H69" s="454">
        <f t="shared" si="0"/>
        <v>88.617498283245538</v>
      </c>
    </row>
    <row r="70" spans="1:8" ht="26.25" customHeight="1" x14ac:dyDescent="0.4">
      <c r="A70" s="881" t="s">
        <v>77</v>
      </c>
      <c r="B70" s="882"/>
      <c r="C70" s="876"/>
      <c r="D70" s="879"/>
      <c r="E70" s="371">
        <v>3</v>
      </c>
      <c r="F70" s="324">
        <v>984133</v>
      </c>
      <c r="G70" s="436">
        <f>IF(ISBLANK(F70),"-",(F70/$D$50*$D$47*$B$68)*($B$57/$D$68))</f>
        <v>8.8806276355045526</v>
      </c>
      <c r="H70" s="454">
        <f t="shared" si="0"/>
        <v>88.806276355045526</v>
      </c>
    </row>
    <row r="71" spans="1:8" ht="27" customHeight="1" thickBot="1" x14ac:dyDescent="0.45">
      <c r="A71" s="883"/>
      <c r="B71" s="884"/>
      <c r="C71" s="877"/>
      <c r="D71" s="880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70</v>
      </c>
      <c r="G72" s="441">
        <f>AVERAGE(G60:G71)</f>
        <v>8.8154779261270466</v>
      </c>
      <c r="H72" s="456">
        <f>AVERAGE(H60:H71)</f>
        <v>88.154779261270448</v>
      </c>
    </row>
    <row r="73" spans="1:8" ht="26.25" customHeight="1" x14ac:dyDescent="0.4">
      <c r="C73" s="377"/>
      <c r="D73" s="377"/>
      <c r="E73" s="377"/>
      <c r="F73" s="380" t="s">
        <v>83</v>
      </c>
      <c r="G73" s="440">
        <f>STDEV(G60:G71)/G72</f>
        <v>8.2802328052274093E-3</v>
      </c>
      <c r="H73" s="440">
        <f>STDEV(H60:H71)/H72</f>
        <v>8.2802328052274301E-3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105</v>
      </c>
      <c r="B76" s="384" t="s">
        <v>106</v>
      </c>
      <c r="C76" s="862" t="str">
        <f>B26</f>
        <v>Phenylephrine hcl</v>
      </c>
      <c r="D76" s="862"/>
      <c r="E76" s="385" t="s">
        <v>107</v>
      </c>
      <c r="F76" s="385"/>
      <c r="G76" s="386">
        <f>H72</f>
        <v>88.154779261270448</v>
      </c>
      <c r="H76" s="387"/>
    </row>
    <row r="77" spans="1:8" ht="18.75" x14ac:dyDescent="0.3">
      <c r="A77" s="294" t="s">
        <v>108</v>
      </c>
      <c r="B77" s="294" t="s">
        <v>109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896" t="str">
        <f>B26</f>
        <v>Phenylephrine hcl</v>
      </c>
      <c r="C79" s="896"/>
    </row>
    <row r="80" spans="1:8" ht="26.25" customHeight="1" x14ac:dyDescent="0.4">
      <c r="A80" s="296" t="s">
        <v>47</v>
      </c>
      <c r="B80" s="896" t="str">
        <f>B27</f>
        <v>P 24 1</v>
      </c>
      <c r="C80" s="896"/>
    </row>
    <row r="81" spans="1:12" ht="27" customHeight="1" x14ac:dyDescent="0.4">
      <c r="A81" s="296" t="s">
        <v>6</v>
      </c>
      <c r="B81" s="388">
        <f>B28</f>
        <v>99.09</v>
      </c>
    </row>
    <row r="82" spans="1:12" s="14" customFormat="1" ht="27" customHeight="1" x14ac:dyDescent="0.4">
      <c r="A82" s="296" t="s">
        <v>48</v>
      </c>
      <c r="B82" s="298">
        <v>0</v>
      </c>
      <c r="C82" s="864" t="s">
        <v>49</v>
      </c>
      <c r="D82" s="865"/>
      <c r="E82" s="865"/>
      <c r="F82" s="865"/>
      <c r="G82" s="866"/>
      <c r="I82" s="299"/>
      <c r="J82" s="299"/>
      <c r="K82" s="299"/>
      <c r="L82" s="299"/>
    </row>
    <row r="83" spans="1:12" s="14" customFormat="1" ht="19.5" customHeight="1" x14ac:dyDescent="0.3">
      <c r="A83" s="296" t="s">
        <v>50</v>
      </c>
      <c r="B83" s="300">
        <f>B81-B82</f>
        <v>99.09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51</v>
      </c>
      <c r="B84" s="303">
        <v>154.46</v>
      </c>
      <c r="C84" s="867" t="s">
        <v>110</v>
      </c>
      <c r="D84" s="868"/>
      <c r="E84" s="868"/>
      <c r="F84" s="868"/>
      <c r="G84" s="868"/>
      <c r="H84" s="869"/>
      <c r="I84" s="299"/>
      <c r="J84" s="299"/>
      <c r="K84" s="299"/>
      <c r="L84" s="299"/>
    </row>
    <row r="85" spans="1:12" s="14" customFormat="1" ht="27" customHeight="1" x14ac:dyDescent="0.4">
      <c r="A85" s="296" t="s">
        <v>53</v>
      </c>
      <c r="B85" s="303">
        <v>165.23</v>
      </c>
      <c r="C85" s="867" t="s">
        <v>111</v>
      </c>
      <c r="D85" s="868"/>
      <c r="E85" s="868"/>
      <c r="F85" s="868"/>
      <c r="G85" s="868"/>
      <c r="H85" s="869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55</v>
      </c>
      <c r="B87" s="308">
        <f>B84/B85</f>
        <v>0.93481813230042976</v>
      </c>
      <c r="C87" s="286" t="s">
        <v>56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57</v>
      </c>
      <c r="B89" s="310">
        <v>25</v>
      </c>
      <c r="D89" s="389" t="s">
        <v>58</v>
      </c>
      <c r="E89" s="390"/>
      <c r="F89" s="870" t="s">
        <v>59</v>
      </c>
      <c r="G89" s="871"/>
    </row>
    <row r="90" spans="1:12" ht="27" customHeight="1" x14ac:dyDescent="0.4">
      <c r="A90" s="311" t="s">
        <v>60</v>
      </c>
      <c r="B90" s="312">
        <v>4</v>
      </c>
      <c r="C90" s="391" t="s">
        <v>61</v>
      </c>
      <c r="D90" s="314" t="s">
        <v>62</v>
      </c>
      <c r="E90" s="315" t="s">
        <v>63</v>
      </c>
      <c r="F90" s="314" t="s">
        <v>62</v>
      </c>
      <c r="G90" s="392" t="s">
        <v>63</v>
      </c>
      <c r="I90" s="317" t="s">
        <v>64</v>
      </c>
    </row>
    <row r="91" spans="1:12" ht="26.25" customHeight="1" x14ac:dyDescent="0.4">
      <c r="A91" s="311" t="s">
        <v>65</v>
      </c>
      <c r="B91" s="312">
        <v>200</v>
      </c>
      <c r="C91" s="393">
        <v>1</v>
      </c>
      <c r="D91" s="319">
        <v>52522362</v>
      </c>
      <c r="E91" s="320">
        <f>IF(ISBLANK(D91),"-",$D$101/$D$98*D91)</f>
        <v>3134982.7904428919</v>
      </c>
      <c r="F91" s="319">
        <v>53289728</v>
      </c>
      <c r="G91" s="321">
        <f>IF(ISBLANK(F91),"-",$D$101/$F$98*F91)</f>
        <v>3099353.6788136088</v>
      </c>
      <c r="I91" s="322"/>
    </row>
    <row r="92" spans="1:12" ht="26.25" customHeight="1" x14ac:dyDescent="0.4">
      <c r="A92" s="311" t="s">
        <v>66</v>
      </c>
      <c r="B92" s="312">
        <v>1</v>
      </c>
      <c r="C92" s="378">
        <v>2</v>
      </c>
      <c r="D92" s="324">
        <v>52553125</v>
      </c>
      <c r="E92" s="325">
        <f>IF(ISBLANK(D92),"-",$D$101/$D$98*D92)</f>
        <v>3136818.9888145947</v>
      </c>
      <c r="F92" s="324">
        <v>53121237</v>
      </c>
      <c r="G92" s="326">
        <f>IF(ISBLANK(F92),"-",$D$101/$F$98*F92)</f>
        <v>3089554.1692214981</v>
      </c>
      <c r="I92" s="872">
        <f>ABS((F96/D96*D95)-F95)/D95</f>
        <v>9.1663928758481394E-3</v>
      </c>
    </row>
    <row r="93" spans="1:12" ht="26.25" customHeight="1" x14ac:dyDescent="0.4">
      <c r="A93" s="311" t="s">
        <v>67</v>
      </c>
      <c r="B93" s="312">
        <v>1</v>
      </c>
      <c r="C93" s="378">
        <v>3</v>
      </c>
      <c r="D93" s="324">
        <v>52565096</v>
      </c>
      <c r="E93" s="325">
        <f>IF(ISBLANK(D93),"-",$D$101/$D$98*D93)</f>
        <v>3137533.5202552103</v>
      </c>
      <c r="F93" s="324">
        <v>54057613</v>
      </c>
      <c r="G93" s="326">
        <f>IF(ISBLANK(F93),"-",$D$101/$F$98*F93)</f>
        <v>3144014.2032519355</v>
      </c>
      <c r="I93" s="872"/>
    </row>
    <row r="94" spans="1:12" ht="27" customHeight="1" x14ac:dyDescent="0.4">
      <c r="A94" s="311" t="s">
        <v>68</v>
      </c>
      <c r="B94" s="312">
        <v>1</v>
      </c>
      <c r="C94" s="394">
        <v>4</v>
      </c>
      <c r="D94" s="329">
        <v>52522362</v>
      </c>
      <c r="E94" s="330">
        <f>IF(ISBLANK(D94),"-",$D$101/$D$98*D94)</f>
        <v>3134982.7904428919</v>
      </c>
      <c r="F94" s="395">
        <v>53289728</v>
      </c>
      <c r="G94" s="331">
        <f>IF(ISBLANK(F94),"-",$D$101/$F$98*F94)</f>
        <v>3099353.6788136088</v>
      </c>
      <c r="I94" s="332"/>
    </row>
    <row r="95" spans="1:12" ht="27" customHeight="1" x14ac:dyDescent="0.4">
      <c r="A95" s="311" t="s">
        <v>69</v>
      </c>
      <c r="B95" s="312">
        <v>1</v>
      </c>
      <c r="C95" s="396" t="s">
        <v>70</v>
      </c>
      <c r="D95" s="397">
        <f>AVERAGE(D91:D94)</f>
        <v>52540736.25</v>
      </c>
      <c r="E95" s="335">
        <f>AVERAGE(E91:E94)</f>
        <v>3136079.5224888972</v>
      </c>
      <c r="F95" s="398">
        <f>AVERAGE(F91:F94)</f>
        <v>53439576.5</v>
      </c>
      <c r="G95" s="399">
        <f>AVERAGE(G91:G94)</f>
        <v>3108068.9325251626</v>
      </c>
    </row>
    <row r="96" spans="1:12" ht="26.25" customHeight="1" x14ac:dyDescent="0.4">
      <c r="A96" s="311" t="s">
        <v>71</v>
      </c>
      <c r="B96" s="297">
        <v>1</v>
      </c>
      <c r="C96" s="400" t="s">
        <v>112</v>
      </c>
      <c r="D96" s="401">
        <v>25.12</v>
      </c>
      <c r="E96" s="327"/>
      <c r="F96" s="339">
        <v>25.78</v>
      </c>
    </row>
    <row r="97" spans="1:10" ht="26.25" customHeight="1" x14ac:dyDescent="0.4">
      <c r="A97" s="311" t="s">
        <v>73</v>
      </c>
      <c r="B97" s="297">
        <v>1</v>
      </c>
      <c r="C97" s="402" t="s">
        <v>113</v>
      </c>
      <c r="D97" s="403">
        <f>D96*$B$87</f>
        <v>23.482631483386797</v>
      </c>
      <c r="E97" s="342"/>
      <c r="F97" s="341">
        <f>F96*$B$87</f>
        <v>24.09961145070508</v>
      </c>
    </row>
    <row r="98" spans="1:10" ht="19.5" customHeight="1" x14ac:dyDescent="0.3">
      <c r="A98" s="311" t="s">
        <v>75</v>
      </c>
      <c r="B98" s="404">
        <f>(B97/B96)*(B95/B94)*(B93/B92)*(B91/B90)*B89</f>
        <v>1250</v>
      </c>
      <c r="C98" s="402" t="s">
        <v>114</v>
      </c>
      <c r="D98" s="405">
        <f>D97*$B$83/100</f>
        <v>23.268939536887977</v>
      </c>
      <c r="E98" s="345"/>
      <c r="F98" s="344">
        <f>F97*$B$83/100</f>
        <v>23.880304986503667</v>
      </c>
    </row>
    <row r="99" spans="1:10" ht="19.5" customHeight="1" x14ac:dyDescent="0.3">
      <c r="A99" s="858" t="s">
        <v>77</v>
      </c>
      <c r="B99" s="873"/>
      <c r="C99" s="402" t="s">
        <v>115</v>
      </c>
      <c r="D99" s="406">
        <f>D98/$B$98</f>
        <v>1.8615151629510381E-2</v>
      </c>
      <c r="E99" s="345"/>
      <c r="F99" s="348">
        <f>F98/$B$98</f>
        <v>1.9104243989202935E-2</v>
      </c>
      <c r="G99" s="407"/>
      <c r="H99" s="337"/>
    </row>
    <row r="100" spans="1:10" ht="19.5" customHeight="1" x14ac:dyDescent="0.3">
      <c r="A100" s="860"/>
      <c r="B100" s="874"/>
      <c r="C100" s="402" t="s">
        <v>79</v>
      </c>
      <c r="D100" s="408">
        <f>$B$56/$B$116</f>
        <v>1.1111111111111111E-3</v>
      </c>
      <c r="F100" s="353"/>
      <c r="G100" s="409"/>
      <c r="H100" s="337"/>
    </row>
    <row r="101" spans="1:10" ht="18.75" x14ac:dyDescent="0.3">
      <c r="C101" s="402" t="s">
        <v>80</v>
      </c>
      <c r="D101" s="403">
        <f>D100*$B$98</f>
        <v>1.3888888888888888</v>
      </c>
      <c r="F101" s="353"/>
      <c r="G101" s="407"/>
      <c r="H101" s="337"/>
    </row>
    <row r="102" spans="1:10" ht="19.5" customHeight="1" x14ac:dyDescent="0.3">
      <c r="C102" s="410" t="s">
        <v>81</v>
      </c>
      <c r="D102" s="411">
        <f>D101/B34</f>
        <v>1.3888888888888888</v>
      </c>
      <c r="F102" s="357"/>
      <c r="G102" s="407"/>
      <c r="H102" s="337"/>
      <c r="J102" s="412"/>
    </row>
    <row r="103" spans="1:10" ht="18.75" x14ac:dyDescent="0.3">
      <c r="C103" s="413" t="s">
        <v>116</v>
      </c>
      <c r="D103" s="414">
        <f>AVERAGE(E91:E94,G91:G94)</f>
        <v>3122074.2275070301</v>
      </c>
      <c r="F103" s="357"/>
      <c r="G103" s="415"/>
      <c r="H103" s="337"/>
      <c r="J103" s="416"/>
    </row>
    <row r="104" spans="1:10" ht="18.75" x14ac:dyDescent="0.3">
      <c r="C104" s="380" t="s">
        <v>83</v>
      </c>
      <c r="D104" s="417">
        <f>STDEV(E91:E94,G91:G94)/D103</f>
        <v>7.0184870796218424E-3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8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117</v>
      </c>
      <c r="B107" s="310">
        <v>900</v>
      </c>
      <c r="C107" s="457" t="s">
        <v>118</v>
      </c>
      <c r="D107" s="457" t="s">
        <v>62</v>
      </c>
      <c r="E107" s="457" t="s">
        <v>119</v>
      </c>
      <c r="F107" s="419" t="s">
        <v>120</v>
      </c>
    </row>
    <row r="108" spans="1:10" ht="26.25" customHeight="1" x14ac:dyDescent="0.4">
      <c r="A108" s="311" t="s">
        <v>121</v>
      </c>
      <c r="B108" s="312">
        <v>5</v>
      </c>
      <c r="C108" s="462">
        <v>1</v>
      </c>
      <c r="D108" s="463">
        <v>87619284</v>
      </c>
      <c r="E108" s="437">
        <f t="shared" ref="E108:E113" si="1">IF(ISBLANK(D108),"-",D108/$D$103*$D$100*$B$116)</f>
        <v>280.64446139054104</v>
      </c>
      <c r="F108" s="464">
        <f t="shared" ref="F108:F113" si="2">IF(ISBLANK(D108), "-", (E108/$B$56)*100)</f>
        <v>2806.4446139054107</v>
      </c>
    </row>
    <row r="109" spans="1:10" ht="26.25" customHeight="1" x14ac:dyDescent="0.4">
      <c r="A109" s="311" t="s">
        <v>94</v>
      </c>
      <c r="B109" s="312">
        <v>50</v>
      </c>
      <c r="C109" s="458">
        <v>2</v>
      </c>
      <c r="D109" s="460">
        <v>87231228</v>
      </c>
      <c r="E109" s="438">
        <f t="shared" si="1"/>
        <v>279.40151848873228</v>
      </c>
      <c r="F109" s="465">
        <f t="shared" si="2"/>
        <v>2794.0151848873229</v>
      </c>
    </row>
    <row r="110" spans="1:10" ht="26.25" customHeight="1" x14ac:dyDescent="0.4">
      <c r="A110" s="311" t="s">
        <v>95</v>
      </c>
      <c r="B110" s="312">
        <v>1</v>
      </c>
      <c r="C110" s="458">
        <v>3</v>
      </c>
      <c r="D110" s="460">
        <v>87224653</v>
      </c>
      <c r="E110" s="438">
        <f t="shared" si="1"/>
        <v>279.3804587716312</v>
      </c>
      <c r="F110" s="465">
        <f t="shared" si="2"/>
        <v>2793.8045877163122</v>
      </c>
    </row>
    <row r="111" spans="1:10" ht="26.25" customHeight="1" x14ac:dyDescent="0.4">
      <c r="A111" s="311" t="s">
        <v>96</v>
      </c>
      <c r="B111" s="312">
        <v>1</v>
      </c>
      <c r="C111" s="458">
        <v>4</v>
      </c>
      <c r="D111" s="460">
        <v>86491264</v>
      </c>
      <c r="E111" s="438">
        <f t="shared" si="1"/>
        <v>277.03141468568828</v>
      </c>
      <c r="F111" s="465">
        <f t="shared" si="2"/>
        <v>2770.3141468568829</v>
      </c>
    </row>
    <row r="112" spans="1:10" ht="26.25" customHeight="1" x14ac:dyDescent="0.4">
      <c r="A112" s="311" t="s">
        <v>97</v>
      </c>
      <c r="B112" s="312">
        <v>1</v>
      </c>
      <c r="C112" s="458">
        <v>5</v>
      </c>
      <c r="D112" s="460">
        <v>88080316</v>
      </c>
      <c r="E112" s="438">
        <f t="shared" si="1"/>
        <v>282.1211463326801</v>
      </c>
      <c r="F112" s="465">
        <f t="shared" si="2"/>
        <v>2821.2114633268006</v>
      </c>
    </row>
    <row r="113" spans="1:10" ht="27" customHeight="1" x14ac:dyDescent="0.4">
      <c r="A113" s="311" t="s">
        <v>99</v>
      </c>
      <c r="B113" s="312">
        <v>1</v>
      </c>
      <c r="C113" s="459">
        <v>6</v>
      </c>
      <c r="D113" s="461">
        <v>87568449</v>
      </c>
      <c r="E113" s="439">
        <f t="shared" si="1"/>
        <v>280.48163694661173</v>
      </c>
      <c r="F113" s="466">
        <f t="shared" si="2"/>
        <v>2804.8163694661175</v>
      </c>
    </row>
    <row r="114" spans="1:10" ht="27" customHeight="1" x14ac:dyDescent="0.4">
      <c r="A114" s="311" t="s">
        <v>100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101</v>
      </c>
      <c r="B115" s="312">
        <v>1</v>
      </c>
      <c r="C115" s="420"/>
      <c r="D115" s="444" t="s">
        <v>70</v>
      </c>
      <c r="E115" s="446">
        <f>AVERAGE(E108:E113)</f>
        <v>279.84343943598077</v>
      </c>
      <c r="F115" s="468">
        <f>AVERAGE(F108:F113)</f>
        <v>2798.4343943598083</v>
      </c>
    </row>
    <row r="116" spans="1:10" ht="27" customHeight="1" x14ac:dyDescent="0.4">
      <c r="A116" s="311" t="s">
        <v>102</v>
      </c>
      <c r="B116" s="343">
        <f>(B115/B114)*(B113/B112)*(B111/B110)*(B109/B108)*B107</f>
        <v>9000</v>
      </c>
      <c r="C116" s="421"/>
      <c r="D116" s="445" t="s">
        <v>83</v>
      </c>
      <c r="E116" s="443">
        <f>STDEV(E108:E113)/E115</f>
        <v>6.0966490078912536E-3</v>
      </c>
      <c r="F116" s="422">
        <f>STDEV(F108:F113)/F115</f>
        <v>6.0966490078912163E-3</v>
      </c>
      <c r="I116" s="285"/>
    </row>
    <row r="117" spans="1:10" ht="27" customHeight="1" x14ac:dyDescent="0.4">
      <c r="A117" s="858" t="s">
        <v>77</v>
      </c>
      <c r="B117" s="859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860"/>
      <c r="B118" s="861"/>
      <c r="C118" s="285"/>
      <c r="D118" s="447"/>
      <c r="E118" s="886" t="s">
        <v>122</v>
      </c>
      <c r="F118" s="887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123</v>
      </c>
      <c r="E119" s="450">
        <f>MIN(E108:E113)</f>
        <v>277.03141468568828</v>
      </c>
      <c r="F119" s="469">
        <f>MIN(F108:F113)</f>
        <v>2770.3141468568829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124</v>
      </c>
      <c r="E120" s="451">
        <f>MAX(E108:E113)</f>
        <v>282.1211463326801</v>
      </c>
      <c r="F120" s="470">
        <f>MAX(F108:F113)</f>
        <v>2821.2114633268006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105</v>
      </c>
      <c r="B124" s="384" t="s">
        <v>125</v>
      </c>
      <c r="C124" s="862" t="str">
        <f>B26</f>
        <v>Phenylephrine hcl</v>
      </c>
      <c r="D124" s="862"/>
      <c r="E124" s="385" t="s">
        <v>126</v>
      </c>
      <c r="F124" s="385"/>
      <c r="G124" s="471">
        <f>F115</f>
        <v>2798.4343943598083</v>
      </c>
      <c r="H124" s="285"/>
      <c r="I124" s="285"/>
    </row>
    <row r="125" spans="1:10" ht="45.75" customHeight="1" x14ac:dyDescent="0.65">
      <c r="A125" s="295"/>
      <c r="B125" s="384" t="s">
        <v>127</v>
      </c>
      <c r="C125" s="296" t="s">
        <v>128</v>
      </c>
      <c r="D125" s="471">
        <f>MIN(F108:F113)</f>
        <v>2770.3141468568829</v>
      </c>
      <c r="E125" s="396" t="s">
        <v>129</v>
      </c>
      <c r="F125" s="471">
        <f>MAX(F108:F113)</f>
        <v>2821.2114633268006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863" t="s">
        <v>25</v>
      </c>
      <c r="C127" s="863"/>
      <c r="E127" s="391" t="s">
        <v>26</v>
      </c>
      <c r="F127" s="426"/>
      <c r="G127" s="863" t="s">
        <v>27</v>
      </c>
      <c r="H127" s="863"/>
    </row>
    <row r="128" spans="1:10" ht="69.95" customHeight="1" x14ac:dyDescent="0.3">
      <c r="A128" s="427" t="s">
        <v>28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29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2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56" t="s">
        <v>44</v>
      </c>
      <c r="B1" s="856"/>
      <c r="C1" s="856"/>
      <c r="D1" s="856"/>
      <c r="E1" s="856"/>
      <c r="F1" s="856"/>
      <c r="G1" s="856"/>
      <c r="H1" s="856"/>
      <c r="I1" s="856"/>
    </row>
    <row r="2" spans="1:9" ht="18.75" customHeight="1" x14ac:dyDescent="0.25">
      <c r="A2" s="856"/>
      <c r="B2" s="856"/>
      <c r="C2" s="856"/>
      <c r="D2" s="856"/>
      <c r="E2" s="856"/>
      <c r="F2" s="856"/>
      <c r="G2" s="856"/>
      <c r="H2" s="856"/>
      <c r="I2" s="856"/>
    </row>
    <row r="3" spans="1:9" ht="18.75" customHeight="1" x14ac:dyDescent="0.25">
      <c r="A3" s="856"/>
      <c r="B3" s="856"/>
      <c r="C3" s="856"/>
      <c r="D3" s="856"/>
      <c r="E3" s="856"/>
      <c r="F3" s="856"/>
      <c r="G3" s="856"/>
      <c r="H3" s="856"/>
      <c r="I3" s="856"/>
    </row>
    <row r="4" spans="1:9" ht="18.75" customHeight="1" x14ac:dyDescent="0.25">
      <c r="A4" s="856"/>
      <c r="B4" s="856"/>
      <c r="C4" s="856"/>
      <c r="D4" s="856"/>
      <c r="E4" s="856"/>
      <c r="F4" s="856"/>
      <c r="G4" s="856"/>
      <c r="H4" s="856"/>
      <c r="I4" s="856"/>
    </row>
    <row r="5" spans="1:9" ht="18.75" customHeight="1" x14ac:dyDescent="0.25">
      <c r="A5" s="856"/>
      <c r="B5" s="856"/>
      <c r="C5" s="856"/>
      <c r="D5" s="856"/>
      <c r="E5" s="856"/>
      <c r="F5" s="856"/>
      <c r="G5" s="856"/>
      <c r="H5" s="856"/>
      <c r="I5" s="856"/>
    </row>
    <row r="6" spans="1:9" ht="18.75" customHeight="1" x14ac:dyDescent="0.25">
      <c r="A6" s="856"/>
      <c r="B6" s="856"/>
      <c r="C6" s="856"/>
      <c r="D6" s="856"/>
      <c r="E6" s="856"/>
      <c r="F6" s="856"/>
      <c r="G6" s="856"/>
      <c r="H6" s="856"/>
      <c r="I6" s="856"/>
    </row>
    <row r="7" spans="1:9" ht="18.75" customHeight="1" x14ac:dyDescent="0.25">
      <c r="A7" s="856"/>
      <c r="B7" s="856"/>
      <c r="C7" s="856"/>
      <c r="D7" s="856"/>
      <c r="E7" s="856"/>
      <c r="F7" s="856"/>
      <c r="G7" s="856"/>
      <c r="H7" s="856"/>
      <c r="I7" s="856"/>
    </row>
    <row r="8" spans="1:9" x14ac:dyDescent="0.25">
      <c r="A8" s="857" t="s">
        <v>45</v>
      </c>
      <c r="B8" s="857"/>
      <c r="C8" s="857"/>
      <c r="D8" s="857"/>
      <c r="E8" s="857"/>
      <c r="F8" s="857"/>
      <c r="G8" s="857"/>
      <c r="H8" s="857"/>
      <c r="I8" s="857"/>
    </row>
    <row r="9" spans="1:9" x14ac:dyDescent="0.25">
      <c r="A9" s="857"/>
      <c r="B9" s="857"/>
      <c r="C9" s="857"/>
      <c r="D9" s="857"/>
      <c r="E9" s="857"/>
      <c r="F9" s="857"/>
      <c r="G9" s="857"/>
      <c r="H9" s="857"/>
      <c r="I9" s="857"/>
    </row>
    <row r="10" spans="1:9" x14ac:dyDescent="0.25">
      <c r="A10" s="857"/>
      <c r="B10" s="857"/>
      <c r="C10" s="857"/>
      <c r="D10" s="857"/>
      <c r="E10" s="857"/>
      <c r="F10" s="857"/>
      <c r="G10" s="857"/>
      <c r="H10" s="857"/>
      <c r="I10" s="857"/>
    </row>
    <row r="11" spans="1:9" x14ac:dyDescent="0.25">
      <c r="A11" s="857"/>
      <c r="B11" s="857"/>
      <c r="C11" s="857"/>
      <c r="D11" s="857"/>
      <c r="E11" s="857"/>
      <c r="F11" s="857"/>
      <c r="G11" s="857"/>
      <c r="H11" s="857"/>
      <c r="I11" s="857"/>
    </row>
    <row r="12" spans="1:9" x14ac:dyDescent="0.25">
      <c r="A12" s="857"/>
      <c r="B12" s="857"/>
      <c r="C12" s="857"/>
      <c r="D12" s="857"/>
      <c r="E12" s="857"/>
      <c r="F12" s="857"/>
      <c r="G12" s="857"/>
      <c r="H12" s="857"/>
      <c r="I12" s="857"/>
    </row>
    <row r="13" spans="1:9" x14ac:dyDescent="0.25">
      <c r="A13" s="857"/>
      <c r="B13" s="857"/>
      <c r="C13" s="857"/>
      <c r="D13" s="857"/>
      <c r="E13" s="857"/>
      <c r="F13" s="857"/>
      <c r="G13" s="857"/>
      <c r="H13" s="857"/>
      <c r="I13" s="857"/>
    </row>
    <row r="14" spans="1:9" x14ac:dyDescent="0.25">
      <c r="A14" s="857"/>
      <c r="B14" s="857"/>
      <c r="C14" s="857"/>
      <c r="D14" s="857"/>
      <c r="E14" s="857"/>
      <c r="F14" s="857"/>
      <c r="G14" s="857"/>
      <c r="H14" s="857"/>
      <c r="I14" s="857"/>
    </row>
    <row r="15" spans="1:9" ht="19.5" customHeight="1" x14ac:dyDescent="0.3">
      <c r="A15" s="472"/>
    </row>
    <row r="16" spans="1:9" ht="19.5" customHeight="1" x14ac:dyDescent="0.3">
      <c r="A16" s="889" t="s">
        <v>30</v>
      </c>
      <c r="B16" s="890"/>
      <c r="C16" s="890"/>
      <c r="D16" s="890"/>
      <c r="E16" s="890"/>
      <c r="F16" s="890"/>
      <c r="G16" s="890"/>
      <c r="H16" s="891"/>
    </row>
    <row r="17" spans="1:14" ht="20.25" customHeight="1" x14ac:dyDescent="0.25">
      <c r="A17" s="892" t="s">
        <v>46</v>
      </c>
      <c r="B17" s="892"/>
      <c r="C17" s="892"/>
      <c r="D17" s="892"/>
      <c r="E17" s="892"/>
      <c r="F17" s="892"/>
      <c r="G17" s="892"/>
      <c r="H17" s="892"/>
    </row>
    <row r="18" spans="1:14" ht="26.25" customHeight="1" x14ac:dyDescent="0.4">
      <c r="A18" s="474" t="s">
        <v>32</v>
      </c>
      <c r="B18" s="888" t="s">
        <v>5</v>
      </c>
      <c r="C18" s="888"/>
      <c r="D18" s="620"/>
      <c r="E18" s="475"/>
      <c r="F18" s="476"/>
      <c r="G18" s="476"/>
      <c r="H18" s="476"/>
    </row>
    <row r="19" spans="1:14" ht="26.25" customHeight="1" x14ac:dyDescent="0.4">
      <c r="A19" s="474" t="s">
        <v>33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34</v>
      </c>
      <c r="B20" s="893" t="s">
        <v>138</v>
      </c>
      <c r="C20" s="893"/>
      <c r="D20" s="476"/>
      <c r="E20" s="476"/>
      <c r="F20" s="476"/>
      <c r="G20" s="476"/>
      <c r="H20" s="476"/>
    </row>
    <row r="21" spans="1:14" ht="26.25" customHeight="1" x14ac:dyDescent="0.4">
      <c r="A21" s="474" t="s">
        <v>35</v>
      </c>
      <c r="B21" s="893" t="s">
        <v>11</v>
      </c>
      <c r="C21" s="893"/>
      <c r="D21" s="893"/>
      <c r="E21" s="893"/>
      <c r="F21" s="893"/>
      <c r="G21" s="893"/>
      <c r="H21" s="893"/>
      <c r="I21" s="478"/>
    </row>
    <row r="22" spans="1:14" ht="26.25" customHeight="1" x14ac:dyDescent="0.4">
      <c r="A22" s="474" t="s">
        <v>36</v>
      </c>
      <c r="B22" s="479" t="s">
        <v>12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37</v>
      </c>
      <c r="B23" s="479"/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888" t="s">
        <v>131</v>
      </c>
      <c r="C26" s="888"/>
    </row>
    <row r="27" spans="1:14" ht="26.25" customHeight="1" x14ac:dyDescent="0.4">
      <c r="A27" s="483" t="s">
        <v>47</v>
      </c>
      <c r="B27" s="894" t="s">
        <v>132</v>
      </c>
      <c r="C27" s="894"/>
    </row>
    <row r="28" spans="1:14" ht="27" customHeight="1" x14ac:dyDescent="0.4">
      <c r="A28" s="483" t="s">
        <v>6</v>
      </c>
      <c r="B28" s="484">
        <v>99.01</v>
      </c>
    </row>
    <row r="29" spans="1:14" s="14" customFormat="1" ht="27" customHeight="1" x14ac:dyDescent="0.4">
      <c r="A29" s="483" t="s">
        <v>48</v>
      </c>
      <c r="B29" s="485">
        <v>0</v>
      </c>
      <c r="C29" s="864" t="s">
        <v>49</v>
      </c>
      <c r="D29" s="865"/>
      <c r="E29" s="865"/>
      <c r="F29" s="865"/>
      <c r="G29" s="866"/>
      <c r="I29" s="486"/>
      <c r="J29" s="486"/>
      <c r="K29" s="486"/>
      <c r="L29" s="486"/>
    </row>
    <row r="30" spans="1:14" s="14" customFormat="1" ht="19.5" customHeight="1" x14ac:dyDescent="0.3">
      <c r="A30" s="483" t="s">
        <v>50</v>
      </c>
      <c r="B30" s="487">
        <f>B28-B29</f>
        <v>99.01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51</v>
      </c>
      <c r="B31" s="490">
        <v>1</v>
      </c>
      <c r="C31" s="867" t="s">
        <v>52</v>
      </c>
      <c r="D31" s="868"/>
      <c r="E31" s="868"/>
      <c r="F31" s="868"/>
      <c r="G31" s="868"/>
      <c r="H31" s="869"/>
      <c r="I31" s="486"/>
      <c r="J31" s="486"/>
      <c r="K31" s="486"/>
      <c r="L31" s="486"/>
    </row>
    <row r="32" spans="1:14" s="14" customFormat="1" ht="27" customHeight="1" x14ac:dyDescent="0.4">
      <c r="A32" s="483" t="s">
        <v>53</v>
      </c>
      <c r="B32" s="490">
        <v>1</v>
      </c>
      <c r="C32" s="867" t="s">
        <v>54</v>
      </c>
      <c r="D32" s="868"/>
      <c r="E32" s="868"/>
      <c r="F32" s="868"/>
      <c r="G32" s="868"/>
      <c r="H32" s="869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55</v>
      </c>
      <c r="B34" s="495">
        <f>B31/B32</f>
        <v>1</v>
      </c>
      <c r="C34" s="473" t="s">
        <v>56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57</v>
      </c>
      <c r="B36" s="497">
        <v>10</v>
      </c>
      <c r="C36" s="473"/>
      <c r="D36" s="870" t="s">
        <v>58</v>
      </c>
      <c r="E36" s="895"/>
      <c r="F36" s="870" t="s">
        <v>59</v>
      </c>
      <c r="G36" s="871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60</v>
      </c>
      <c r="B37" s="499">
        <v>1</v>
      </c>
      <c r="C37" s="500" t="s">
        <v>61</v>
      </c>
      <c r="D37" s="501" t="s">
        <v>62</v>
      </c>
      <c r="E37" s="502" t="s">
        <v>63</v>
      </c>
      <c r="F37" s="501" t="s">
        <v>62</v>
      </c>
      <c r="G37" s="503" t="s">
        <v>63</v>
      </c>
      <c r="I37" s="504" t="s">
        <v>64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65</v>
      </c>
      <c r="B38" s="499">
        <v>100</v>
      </c>
      <c r="C38" s="505">
        <v>1</v>
      </c>
      <c r="D38" s="506">
        <v>206643</v>
      </c>
      <c r="E38" s="507">
        <f>IF(ISBLANK(D38),"-",$D$48/$D$45*D38)</f>
        <v>209969.03550380151</v>
      </c>
      <c r="F38" s="506">
        <v>215576</v>
      </c>
      <c r="G38" s="508">
        <f>IF(ISBLANK(F38),"-",$D$48/$F$45*F38)</f>
        <v>204155.22012982442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66</v>
      </c>
      <c r="B39" s="499">
        <v>2</v>
      </c>
      <c r="C39" s="510">
        <v>2</v>
      </c>
      <c r="D39" s="511">
        <v>206337</v>
      </c>
      <c r="E39" s="512">
        <f>IF(ISBLANK(D39),"-",$D$48/$D$45*D39)</f>
        <v>209658.11026140684</v>
      </c>
      <c r="F39" s="511">
        <v>217934</v>
      </c>
      <c r="G39" s="513">
        <f>IF(ISBLANK(F39),"-",$D$48/$F$45*F39)</f>
        <v>206388.29806552286</v>
      </c>
      <c r="I39" s="872">
        <f>ABS((F43/D43*D42)-F42)/D42</f>
        <v>1.6002551800659723E-2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67</v>
      </c>
      <c r="B40" s="499">
        <v>100</v>
      </c>
      <c r="C40" s="510">
        <v>3</v>
      </c>
      <c r="D40" s="511">
        <v>209097</v>
      </c>
      <c r="E40" s="512">
        <f>IF(ISBLANK(D40),"-",$D$48/$D$45*D40)</f>
        <v>212462.53401633922</v>
      </c>
      <c r="F40" s="511">
        <v>223985</v>
      </c>
      <c r="G40" s="513">
        <f>IF(ISBLANK(F40),"-",$D$48/$F$45*F40)</f>
        <v>212118.72834071846</v>
      </c>
      <c r="I40" s="872"/>
      <c r="L40" s="491"/>
      <c r="M40" s="491"/>
      <c r="N40" s="514"/>
    </row>
    <row r="41" spans="1:14" ht="27" customHeight="1" x14ac:dyDescent="0.4">
      <c r="A41" s="498" t="s">
        <v>68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69</v>
      </c>
      <c r="B42" s="499">
        <v>1</v>
      </c>
      <c r="C42" s="520" t="s">
        <v>70</v>
      </c>
      <c r="D42" s="521">
        <f>AVERAGE(D38:D41)</f>
        <v>207359</v>
      </c>
      <c r="E42" s="522">
        <f>AVERAGE(E38:E41)</f>
        <v>210696.5599271825</v>
      </c>
      <c r="F42" s="521">
        <f>AVERAGE(F38:F41)</f>
        <v>219165</v>
      </c>
      <c r="G42" s="523">
        <f>AVERAGE(G38:G41)</f>
        <v>207554.08217868858</v>
      </c>
      <c r="H42" s="524"/>
    </row>
    <row r="43" spans="1:14" ht="26.25" customHeight="1" x14ac:dyDescent="0.4">
      <c r="A43" s="498" t="s">
        <v>71</v>
      </c>
      <c r="B43" s="499">
        <v>1</v>
      </c>
      <c r="C43" s="525" t="s">
        <v>72</v>
      </c>
      <c r="D43" s="526">
        <v>19.88</v>
      </c>
      <c r="E43" s="514"/>
      <c r="F43" s="526">
        <v>21.33</v>
      </c>
      <c r="H43" s="524"/>
    </row>
    <row r="44" spans="1:14" ht="26.25" customHeight="1" x14ac:dyDescent="0.4">
      <c r="A44" s="498" t="s">
        <v>73</v>
      </c>
      <c r="B44" s="499">
        <v>1</v>
      </c>
      <c r="C44" s="527" t="s">
        <v>74</v>
      </c>
      <c r="D44" s="528">
        <f>D43*$B$34</f>
        <v>19.88</v>
      </c>
      <c r="E44" s="529"/>
      <c r="F44" s="528">
        <f>F43*$B$34</f>
        <v>21.33</v>
      </c>
      <c r="H44" s="524"/>
    </row>
    <row r="45" spans="1:14" ht="19.5" customHeight="1" x14ac:dyDescent="0.3">
      <c r="A45" s="498" t="s">
        <v>75</v>
      </c>
      <c r="B45" s="530">
        <f>(B44/B43)*(B42/B41)*(B40/B39)*(B38/B37)*B36</f>
        <v>50000</v>
      </c>
      <c r="C45" s="527" t="s">
        <v>76</v>
      </c>
      <c r="D45" s="531">
        <f>D44*$B$30/100</f>
        <v>19.683188000000001</v>
      </c>
      <c r="E45" s="532"/>
      <c r="F45" s="531">
        <f>F44*$B$30/100</f>
        <v>21.118832999999999</v>
      </c>
      <c r="H45" s="524"/>
    </row>
    <row r="46" spans="1:14" ht="19.5" customHeight="1" x14ac:dyDescent="0.3">
      <c r="A46" s="858" t="s">
        <v>77</v>
      </c>
      <c r="B46" s="859"/>
      <c r="C46" s="527" t="s">
        <v>78</v>
      </c>
      <c r="D46" s="533">
        <f>D45/$B$45</f>
        <v>3.9366376000000004E-4</v>
      </c>
      <c r="E46" s="534"/>
      <c r="F46" s="535">
        <f>F45/$B$45</f>
        <v>4.2237665999999999E-4</v>
      </c>
      <c r="H46" s="524"/>
    </row>
    <row r="47" spans="1:14" ht="27" customHeight="1" x14ac:dyDescent="0.4">
      <c r="A47" s="860"/>
      <c r="B47" s="861"/>
      <c r="C47" s="536" t="s">
        <v>79</v>
      </c>
      <c r="D47" s="537">
        <v>4.0000000000000002E-4</v>
      </c>
      <c r="E47" s="538"/>
      <c r="F47" s="534"/>
      <c r="H47" s="524"/>
    </row>
    <row r="48" spans="1:14" ht="18.75" x14ac:dyDescent="0.3">
      <c r="C48" s="539" t="s">
        <v>80</v>
      </c>
      <c r="D48" s="531">
        <f>D47*$B$45</f>
        <v>20</v>
      </c>
      <c r="F48" s="540"/>
      <c r="H48" s="524"/>
    </row>
    <row r="49" spans="1:12" ht="19.5" customHeight="1" x14ac:dyDescent="0.3">
      <c r="C49" s="541" t="s">
        <v>81</v>
      </c>
      <c r="D49" s="542">
        <f>D48/B34</f>
        <v>20</v>
      </c>
      <c r="F49" s="540"/>
      <c r="H49" s="524"/>
    </row>
    <row r="50" spans="1:12" ht="18.75" x14ac:dyDescent="0.3">
      <c r="C50" s="496" t="s">
        <v>82</v>
      </c>
      <c r="D50" s="543">
        <f>AVERAGE(E38:E41,G38:G41)</f>
        <v>209125.32105293556</v>
      </c>
      <c r="F50" s="544"/>
      <c r="H50" s="524"/>
    </row>
    <row r="51" spans="1:12" ht="18.75" x14ac:dyDescent="0.3">
      <c r="C51" s="498" t="s">
        <v>83</v>
      </c>
      <c r="D51" s="545">
        <f>STDEV(E38:E41,G38:G41)/D50</f>
        <v>1.5610490268987377E-2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6</v>
      </c>
      <c r="F52" s="544"/>
    </row>
    <row r="54" spans="1:12" ht="18.75" x14ac:dyDescent="0.3">
      <c r="A54" s="548" t="s">
        <v>1</v>
      </c>
      <c r="B54" s="549" t="s">
        <v>84</v>
      </c>
    </row>
    <row r="55" spans="1:12" ht="18.75" x14ac:dyDescent="0.3">
      <c r="A55" s="473" t="s">
        <v>85</v>
      </c>
      <c r="B55" s="550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551" t="s">
        <v>86</v>
      </c>
      <c r="B56" s="552">
        <v>2</v>
      </c>
      <c r="C56" s="473" t="str">
        <f>B20</f>
        <v xml:space="preserve"> Chlorpheniramine maleate</v>
      </c>
      <c r="H56" s="553"/>
    </row>
    <row r="57" spans="1:12" ht="18.75" x14ac:dyDescent="0.3">
      <c r="A57" s="550" t="s">
        <v>87</v>
      </c>
      <c r="B57" s="621">
        <f>Uniformity!C46</f>
        <v>624.19849999999997</v>
      </c>
      <c r="H57" s="553"/>
    </row>
    <row r="58" spans="1:12" ht="19.5" customHeight="1" x14ac:dyDescent="0.3">
      <c r="H58" s="553"/>
    </row>
    <row r="59" spans="1:12" s="14" customFormat="1" ht="27" customHeight="1" thickBot="1" x14ac:dyDescent="0.45">
      <c r="A59" s="496" t="s">
        <v>88</v>
      </c>
      <c r="B59" s="497">
        <v>100</v>
      </c>
      <c r="C59" s="473"/>
      <c r="D59" s="554" t="s">
        <v>89</v>
      </c>
      <c r="E59" s="555" t="s">
        <v>61</v>
      </c>
      <c r="F59" s="555" t="s">
        <v>62</v>
      </c>
      <c r="G59" s="555" t="s">
        <v>90</v>
      </c>
      <c r="H59" s="500" t="s">
        <v>91</v>
      </c>
      <c r="L59" s="486"/>
    </row>
    <row r="60" spans="1:12" s="14" customFormat="1" ht="26.25" customHeight="1" x14ac:dyDescent="0.4">
      <c r="A60" s="498" t="s">
        <v>92</v>
      </c>
      <c r="B60" s="499">
        <v>2</v>
      </c>
      <c r="C60" s="875" t="s">
        <v>93</v>
      </c>
      <c r="D60" s="878">
        <v>639.64</v>
      </c>
      <c r="E60" s="556">
        <v>1</v>
      </c>
      <c r="F60" s="557"/>
      <c r="G60" s="622" t="str">
        <f>IF(ISBLANK(F60),"-",(F60/$D$50*$D$47*$B$68)*($B$57/$D$60))</f>
        <v>-</v>
      </c>
      <c r="H60" s="640" t="str">
        <f t="shared" ref="H60:H71" si="0">IF(ISBLANK(F60),"-",(G60/$B$56)*100)</f>
        <v>-</v>
      </c>
      <c r="L60" s="486"/>
    </row>
    <row r="61" spans="1:12" s="14" customFormat="1" ht="26.25" customHeight="1" x14ac:dyDescent="0.4">
      <c r="A61" s="498" t="s">
        <v>94</v>
      </c>
      <c r="B61" s="499">
        <v>100</v>
      </c>
      <c r="C61" s="876"/>
      <c r="D61" s="879"/>
      <c r="E61" s="558">
        <v>2</v>
      </c>
      <c r="F61" s="511"/>
      <c r="G61" s="623" t="str">
        <f>IF(ISBLANK(F61),"-",(F61/$D$50*$D$47*$B$68)*($B$57/$D$60))</f>
        <v>-</v>
      </c>
      <c r="H61" s="641" t="str">
        <f t="shared" si="0"/>
        <v>-</v>
      </c>
      <c r="L61" s="486"/>
    </row>
    <row r="62" spans="1:12" s="14" customFormat="1" ht="26.25" customHeight="1" x14ac:dyDescent="0.4">
      <c r="A62" s="498" t="s">
        <v>95</v>
      </c>
      <c r="B62" s="499">
        <v>1</v>
      </c>
      <c r="C62" s="876"/>
      <c r="D62" s="879"/>
      <c r="E62" s="558">
        <v>3</v>
      </c>
      <c r="F62" s="559"/>
      <c r="G62" s="623" t="str">
        <f>IF(ISBLANK(F62),"-",(F62/$D$50*$D$47*$B$68)*($B$57/$D$60))</f>
        <v>-</v>
      </c>
      <c r="H62" s="641" t="str">
        <f t="shared" si="0"/>
        <v>-</v>
      </c>
      <c r="L62" s="486"/>
    </row>
    <row r="63" spans="1:12" ht="27" customHeight="1" thickBot="1" x14ac:dyDescent="0.45">
      <c r="A63" s="498" t="s">
        <v>96</v>
      </c>
      <c r="B63" s="499">
        <v>1</v>
      </c>
      <c r="C63" s="885"/>
      <c r="D63" s="880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97</v>
      </c>
      <c r="B64" s="499">
        <v>1</v>
      </c>
      <c r="C64" s="875" t="s">
        <v>98</v>
      </c>
      <c r="D64" s="878">
        <v>633.63</v>
      </c>
      <c r="E64" s="556">
        <v>1</v>
      </c>
      <c r="F64" s="557">
        <v>166828</v>
      </c>
      <c r="G64" s="622">
        <f>IF(ISBLANK(F64),"-",(F64/$D$50*$D$47*$B$68)*($B$57/$D$64))</f>
        <v>1.5717349398634659</v>
      </c>
      <c r="H64" s="640">
        <f t="shared" si="0"/>
        <v>78.586746993173293</v>
      </c>
    </row>
    <row r="65" spans="1:8" ht="26.25" customHeight="1" x14ac:dyDescent="0.4">
      <c r="A65" s="498" t="s">
        <v>99</v>
      </c>
      <c r="B65" s="499">
        <v>1</v>
      </c>
      <c r="C65" s="876"/>
      <c r="D65" s="879"/>
      <c r="E65" s="558">
        <v>2</v>
      </c>
      <c r="F65" s="511">
        <v>166994</v>
      </c>
      <c r="G65" s="623">
        <f>IF(ISBLANK(F65),"-",(F65/$D$50*$D$47*$B$68)*($B$57/$D$64))</f>
        <v>1.5732988739753493</v>
      </c>
      <c r="H65" s="641">
        <f t="shared" si="0"/>
        <v>78.664943698767459</v>
      </c>
    </row>
    <row r="66" spans="1:8" ht="26.25" customHeight="1" x14ac:dyDescent="0.4">
      <c r="A66" s="498" t="s">
        <v>100</v>
      </c>
      <c r="B66" s="499">
        <v>1</v>
      </c>
      <c r="C66" s="876"/>
      <c r="D66" s="879"/>
      <c r="E66" s="558">
        <v>3</v>
      </c>
      <c r="F66" s="511">
        <v>166773</v>
      </c>
      <c r="G66" s="623">
        <f>IF(ISBLANK(F66),"-",(F66/$D$50*$D$47*$B$68)*($B$57/$D$64))</f>
        <v>1.5712167689227814</v>
      </c>
      <c r="H66" s="641">
        <f t="shared" si="0"/>
        <v>78.560838446139073</v>
      </c>
    </row>
    <row r="67" spans="1:8" ht="27" customHeight="1" thickBot="1" x14ac:dyDescent="0.45">
      <c r="A67" s="498" t="s">
        <v>101</v>
      </c>
      <c r="B67" s="499">
        <v>1</v>
      </c>
      <c r="C67" s="885"/>
      <c r="D67" s="880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102</v>
      </c>
      <c r="B68" s="562">
        <f>(B67/B66)*(B65/B64)*(B63/B62)*(B61/B60)*B59</f>
        <v>5000</v>
      </c>
      <c r="C68" s="875" t="s">
        <v>103</v>
      </c>
      <c r="D68" s="878">
        <v>627.22</v>
      </c>
      <c r="E68" s="556">
        <v>1</v>
      </c>
      <c r="F68" s="557">
        <v>170309</v>
      </c>
      <c r="G68" s="622">
        <f>IF(ISBLANK(F68),"-",(F68/$D$50*$D$47*$B$68)*($B$57/$D$68))</f>
        <v>1.6209282690027123</v>
      </c>
      <c r="H68" s="641">
        <f t="shared" si="0"/>
        <v>81.046413450135617</v>
      </c>
    </row>
    <row r="69" spans="1:8" ht="27" customHeight="1" thickBot="1" x14ac:dyDescent="0.45">
      <c r="A69" s="546" t="s">
        <v>104</v>
      </c>
      <c r="B69" s="563">
        <f>(D47*B68)/B56*B57</f>
        <v>624.19849999999997</v>
      </c>
      <c r="C69" s="876"/>
      <c r="D69" s="879"/>
      <c r="E69" s="558">
        <v>2</v>
      </c>
      <c r="F69" s="511">
        <v>170708</v>
      </c>
      <c r="G69" s="623">
        <f>IF(ISBLANK(F69),"-",(F69/$D$50*$D$47*$B$68)*($B$57/$D$68))</f>
        <v>1.6247257804632462</v>
      </c>
      <c r="H69" s="641">
        <f t="shared" si="0"/>
        <v>81.236289023162314</v>
      </c>
    </row>
    <row r="70" spans="1:8" ht="26.25" customHeight="1" x14ac:dyDescent="0.4">
      <c r="A70" s="881" t="s">
        <v>77</v>
      </c>
      <c r="B70" s="882"/>
      <c r="C70" s="876"/>
      <c r="D70" s="879"/>
      <c r="E70" s="558">
        <v>3</v>
      </c>
      <c r="F70" s="511">
        <v>171273</v>
      </c>
      <c r="G70" s="623">
        <f>IF(ISBLANK(F70),"-",(F70/$D$50*$D$47*$B$68)*($B$57/$D$68))</f>
        <v>1.6301032089725236</v>
      </c>
      <c r="H70" s="641">
        <f t="shared" si="0"/>
        <v>81.505160448626185</v>
      </c>
    </row>
    <row r="71" spans="1:8" ht="27" customHeight="1" thickBot="1" x14ac:dyDescent="0.45">
      <c r="A71" s="883"/>
      <c r="B71" s="884"/>
      <c r="C71" s="877"/>
      <c r="D71" s="880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70</v>
      </c>
      <c r="G72" s="628">
        <f>AVERAGE(G60:G71)</f>
        <v>1.5986679735333462</v>
      </c>
      <c r="H72" s="643">
        <f>AVERAGE(H60:H71)</f>
        <v>79.933398676667323</v>
      </c>
    </row>
    <row r="73" spans="1:8" ht="26.25" customHeight="1" x14ac:dyDescent="0.4">
      <c r="C73" s="564"/>
      <c r="D73" s="564"/>
      <c r="E73" s="564"/>
      <c r="F73" s="567" t="s">
        <v>83</v>
      </c>
      <c r="G73" s="627">
        <f>STDEV(G60:G71)/G72</f>
        <v>1.831238532359427E-2</v>
      </c>
      <c r="H73" s="627">
        <f>STDEV(H60:H71)/H72</f>
        <v>1.8312385323594308E-2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6</v>
      </c>
      <c r="H74" s="570">
        <f>COUNT(H60:H71)</f>
        <v>6</v>
      </c>
    </row>
    <row r="76" spans="1:8" ht="26.25" customHeight="1" x14ac:dyDescent="0.4">
      <c r="A76" s="482" t="s">
        <v>105</v>
      </c>
      <c r="B76" s="571" t="s">
        <v>106</v>
      </c>
      <c r="C76" s="862" t="str">
        <f>B26</f>
        <v>Chlorpheniramine maleate</v>
      </c>
      <c r="D76" s="862"/>
      <c r="E76" s="572" t="s">
        <v>107</v>
      </c>
      <c r="F76" s="572"/>
      <c r="G76" s="573">
        <f>H72</f>
        <v>79.933398676667323</v>
      </c>
      <c r="H76" s="574"/>
    </row>
    <row r="77" spans="1:8" ht="18.75" x14ac:dyDescent="0.3">
      <c r="A77" s="481" t="s">
        <v>108</v>
      </c>
      <c r="B77" s="481" t="s">
        <v>109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896" t="str">
        <f>B26</f>
        <v>Chlorpheniramine maleate</v>
      </c>
      <c r="C79" s="896"/>
    </row>
    <row r="80" spans="1:8" ht="26.25" customHeight="1" x14ac:dyDescent="0.4">
      <c r="A80" s="483" t="s">
        <v>47</v>
      </c>
      <c r="B80" s="896" t="str">
        <f>B27</f>
        <v>C 30 1</v>
      </c>
      <c r="C80" s="896"/>
    </row>
    <row r="81" spans="1:12" ht="27" customHeight="1" x14ac:dyDescent="0.4">
      <c r="A81" s="483" t="s">
        <v>6</v>
      </c>
      <c r="B81" s="575">
        <f>B28</f>
        <v>99.01</v>
      </c>
    </row>
    <row r="82" spans="1:12" s="14" customFormat="1" ht="27" customHeight="1" x14ac:dyDescent="0.4">
      <c r="A82" s="483" t="s">
        <v>48</v>
      </c>
      <c r="B82" s="485">
        <v>0</v>
      </c>
      <c r="C82" s="864" t="s">
        <v>49</v>
      </c>
      <c r="D82" s="865"/>
      <c r="E82" s="865"/>
      <c r="F82" s="865"/>
      <c r="G82" s="866"/>
      <c r="I82" s="486"/>
      <c r="J82" s="486"/>
      <c r="K82" s="486"/>
      <c r="L82" s="486"/>
    </row>
    <row r="83" spans="1:12" s="14" customFormat="1" ht="19.5" customHeight="1" x14ac:dyDescent="0.3">
      <c r="A83" s="483" t="s">
        <v>50</v>
      </c>
      <c r="B83" s="487">
        <f>B81-B82</f>
        <v>99.01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51</v>
      </c>
      <c r="B84" s="490">
        <v>154.46</v>
      </c>
      <c r="C84" s="867" t="s">
        <v>110</v>
      </c>
      <c r="D84" s="868"/>
      <c r="E84" s="868"/>
      <c r="F84" s="868"/>
      <c r="G84" s="868"/>
      <c r="H84" s="869"/>
      <c r="I84" s="486"/>
      <c r="J84" s="486"/>
      <c r="K84" s="486"/>
      <c r="L84" s="486"/>
    </row>
    <row r="85" spans="1:12" s="14" customFormat="1" ht="27" customHeight="1" x14ac:dyDescent="0.4">
      <c r="A85" s="483" t="s">
        <v>53</v>
      </c>
      <c r="B85" s="490">
        <v>165.23</v>
      </c>
      <c r="C85" s="867" t="s">
        <v>111</v>
      </c>
      <c r="D85" s="868"/>
      <c r="E85" s="868"/>
      <c r="F85" s="868"/>
      <c r="G85" s="868"/>
      <c r="H85" s="869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55</v>
      </c>
      <c r="B87" s="495">
        <f>B84/B85</f>
        <v>0.93481813230042976</v>
      </c>
      <c r="C87" s="473" t="s">
        <v>56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57</v>
      </c>
      <c r="B89" s="497">
        <v>25</v>
      </c>
      <c r="D89" s="576" t="s">
        <v>58</v>
      </c>
      <c r="E89" s="577"/>
      <c r="F89" s="870" t="s">
        <v>59</v>
      </c>
      <c r="G89" s="871"/>
    </row>
    <row r="90" spans="1:12" ht="27" customHeight="1" x14ac:dyDescent="0.4">
      <c r="A90" s="498" t="s">
        <v>60</v>
      </c>
      <c r="B90" s="499">
        <v>4</v>
      </c>
      <c r="C90" s="578" t="s">
        <v>61</v>
      </c>
      <c r="D90" s="501" t="s">
        <v>62</v>
      </c>
      <c r="E90" s="502" t="s">
        <v>63</v>
      </c>
      <c r="F90" s="501" t="s">
        <v>62</v>
      </c>
      <c r="G90" s="579" t="s">
        <v>63</v>
      </c>
      <c r="I90" s="504" t="s">
        <v>64</v>
      </c>
    </row>
    <row r="91" spans="1:12" ht="26.25" customHeight="1" x14ac:dyDescent="0.4">
      <c r="A91" s="498" t="s">
        <v>65</v>
      </c>
      <c r="B91" s="499">
        <v>200</v>
      </c>
      <c r="C91" s="580">
        <v>1</v>
      </c>
      <c r="D91" s="506"/>
      <c r="E91" s="507" t="str">
        <f>IF(ISBLANK(D91),"-",$D$101/$D$98*D91)</f>
        <v>-</v>
      </c>
      <c r="F91" s="506"/>
      <c r="G91" s="508" t="str">
        <f>IF(ISBLANK(F91),"-",$D$101/$F$98*F91)</f>
        <v>-</v>
      </c>
      <c r="I91" s="509"/>
    </row>
    <row r="92" spans="1:12" ht="26.25" customHeight="1" x14ac:dyDescent="0.4">
      <c r="A92" s="498" t="s">
        <v>66</v>
      </c>
      <c r="B92" s="499">
        <v>1</v>
      </c>
      <c r="C92" s="565">
        <v>2</v>
      </c>
      <c r="D92" s="511"/>
      <c r="E92" s="512" t="str">
        <f>IF(ISBLANK(D92),"-",$D$101/$D$98*D92)</f>
        <v>-</v>
      </c>
      <c r="F92" s="511"/>
      <c r="G92" s="513" t="str">
        <f>IF(ISBLANK(F92),"-",$D$101/$F$98*F92)</f>
        <v>-</v>
      </c>
      <c r="I92" s="872" t="e">
        <f>ABS((F96/D96*D95)-F95)/D95</f>
        <v>#DIV/0!</v>
      </c>
    </row>
    <row r="93" spans="1:12" ht="26.25" customHeight="1" x14ac:dyDescent="0.4">
      <c r="A93" s="498" t="s">
        <v>67</v>
      </c>
      <c r="B93" s="499">
        <v>1</v>
      </c>
      <c r="C93" s="565">
        <v>3</v>
      </c>
      <c r="D93" s="511"/>
      <c r="E93" s="512" t="str">
        <f>IF(ISBLANK(D93),"-",$D$101/$D$98*D93)</f>
        <v>-</v>
      </c>
      <c r="F93" s="511"/>
      <c r="G93" s="513" t="str">
        <f>IF(ISBLANK(F93),"-",$D$101/$F$98*F93)</f>
        <v>-</v>
      </c>
      <c r="I93" s="872"/>
    </row>
    <row r="94" spans="1:12" ht="27" customHeight="1" x14ac:dyDescent="0.4">
      <c r="A94" s="498" t="s">
        <v>68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69</v>
      </c>
      <c r="B95" s="499">
        <v>1</v>
      </c>
      <c r="C95" s="583" t="s">
        <v>70</v>
      </c>
      <c r="D95" s="584" t="e">
        <f>AVERAGE(D91:D94)</f>
        <v>#DIV/0!</v>
      </c>
      <c r="E95" s="522" t="e">
        <f>AVERAGE(E91:E94)</f>
        <v>#DIV/0!</v>
      </c>
      <c r="F95" s="585" t="e">
        <f>AVERAGE(F91:F94)</f>
        <v>#DIV/0!</v>
      </c>
      <c r="G95" s="586" t="e">
        <f>AVERAGE(G91:G94)</f>
        <v>#DIV/0!</v>
      </c>
    </row>
    <row r="96" spans="1:12" ht="26.25" customHeight="1" x14ac:dyDescent="0.4">
      <c r="A96" s="498" t="s">
        <v>71</v>
      </c>
      <c r="B96" s="484">
        <v>1</v>
      </c>
      <c r="C96" s="587" t="s">
        <v>112</v>
      </c>
      <c r="D96" s="588">
        <v>25.12</v>
      </c>
      <c r="E96" s="514"/>
      <c r="F96" s="526">
        <v>25.78</v>
      </c>
    </row>
    <row r="97" spans="1:10" ht="26.25" customHeight="1" x14ac:dyDescent="0.4">
      <c r="A97" s="498" t="s">
        <v>73</v>
      </c>
      <c r="B97" s="484">
        <v>1</v>
      </c>
      <c r="C97" s="589" t="s">
        <v>113</v>
      </c>
      <c r="D97" s="590">
        <f>D96*$B$87</f>
        <v>23.482631483386797</v>
      </c>
      <c r="E97" s="529"/>
      <c r="F97" s="528">
        <f>F96*$B$87</f>
        <v>24.09961145070508</v>
      </c>
    </row>
    <row r="98" spans="1:10" ht="19.5" customHeight="1" x14ac:dyDescent="0.3">
      <c r="A98" s="498" t="s">
        <v>75</v>
      </c>
      <c r="B98" s="591">
        <f>(B97/B96)*(B95/B94)*(B93/B92)*(B91/B90)*B89</f>
        <v>1250</v>
      </c>
      <c r="C98" s="589" t="s">
        <v>114</v>
      </c>
      <c r="D98" s="592">
        <f>D97*$B$83/100</f>
        <v>23.250153431701268</v>
      </c>
      <c r="E98" s="532"/>
      <c r="F98" s="531">
        <f>F97*$B$83/100</f>
        <v>23.861025297343097</v>
      </c>
    </row>
    <row r="99" spans="1:10" ht="19.5" customHeight="1" x14ac:dyDescent="0.3">
      <c r="A99" s="858" t="s">
        <v>77</v>
      </c>
      <c r="B99" s="873"/>
      <c r="C99" s="589" t="s">
        <v>115</v>
      </c>
      <c r="D99" s="593">
        <f>D98/$B$98</f>
        <v>1.8600122745361013E-2</v>
      </c>
      <c r="E99" s="532"/>
      <c r="F99" s="535">
        <f>F98/$B$98</f>
        <v>1.9088820237874476E-2</v>
      </c>
      <c r="G99" s="594"/>
      <c r="H99" s="524"/>
    </row>
    <row r="100" spans="1:10" ht="19.5" customHeight="1" x14ac:dyDescent="0.3">
      <c r="A100" s="860"/>
      <c r="B100" s="874"/>
      <c r="C100" s="589" t="s">
        <v>79</v>
      </c>
      <c r="D100" s="595">
        <f>$B$56/$B$116</f>
        <v>2.2222222222222223E-4</v>
      </c>
      <c r="F100" s="540"/>
      <c r="G100" s="596"/>
      <c r="H100" s="524"/>
    </row>
    <row r="101" spans="1:10" ht="18.75" x14ac:dyDescent="0.3">
      <c r="C101" s="589" t="s">
        <v>80</v>
      </c>
      <c r="D101" s="590">
        <f>D100*$B$98</f>
        <v>0.27777777777777779</v>
      </c>
      <c r="F101" s="540"/>
      <c r="G101" s="594"/>
      <c r="H101" s="524"/>
    </row>
    <row r="102" spans="1:10" ht="19.5" customHeight="1" x14ac:dyDescent="0.3">
      <c r="C102" s="597" t="s">
        <v>81</v>
      </c>
      <c r="D102" s="598">
        <f>D101/B34</f>
        <v>0.27777777777777779</v>
      </c>
      <c r="F102" s="544"/>
      <c r="G102" s="594"/>
      <c r="H102" s="524"/>
      <c r="J102" s="599"/>
    </row>
    <row r="103" spans="1:10" ht="18.75" x14ac:dyDescent="0.3">
      <c r="C103" s="600" t="s">
        <v>116</v>
      </c>
      <c r="D103" s="601" t="e">
        <f>AVERAGE(E91:E94,G91:G94)</f>
        <v>#DIV/0!</v>
      </c>
      <c r="F103" s="544"/>
      <c r="G103" s="602"/>
      <c r="H103" s="524"/>
      <c r="J103" s="603"/>
    </row>
    <row r="104" spans="1:10" ht="18.75" x14ac:dyDescent="0.3">
      <c r="C104" s="567" t="s">
        <v>83</v>
      </c>
      <c r="D104" s="604" t="e">
        <f>STDEV(E91:E94,G91:G94)/D103</f>
        <v>#DIV/0!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0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117</v>
      </c>
      <c r="B107" s="497">
        <v>900</v>
      </c>
      <c r="C107" s="644" t="s">
        <v>118</v>
      </c>
      <c r="D107" s="644" t="s">
        <v>62</v>
      </c>
      <c r="E107" s="644" t="s">
        <v>119</v>
      </c>
      <c r="F107" s="606" t="s">
        <v>120</v>
      </c>
    </row>
    <row r="108" spans="1:10" ht="26.25" customHeight="1" x14ac:dyDescent="0.4">
      <c r="A108" s="498" t="s">
        <v>121</v>
      </c>
      <c r="B108" s="499">
        <v>5</v>
      </c>
      <c r="C108" s="649">
        <v>1</v>
      </c>
      <c r="D108" s="650"/>
      <c r="E108" s="624" t="str">
        <f t="shared" ref="E108:E113" si="1">IF(ISBLANK(D108),"-",D108/$D$103*$D$100*$B$116)</f>
        <v>-</v>
      </c>
      <c r="F108" s="651" t="str">
        <f t="shared" ref="F108:F113" si="2">IF(ISBLANK(D108), "-", (E108/$B$56)*100)</f>
        <v>-</v>
      </c>
    </row>
    <row r="109" spans="1:10" ht="26.25" customHeight="1" x14ac:dyDescent="0.4">
      <c r="A109" s="498" t="s">
        <v>94</v>
      </c>
      <c r="B109" s="499">
        <v>50</v>
      </c>
      <c r="C109" s="645">
        <v>2</v>
      </c>
      <c r="D109" s="647"/>
      <c r="E109" s="625" t="str">
        <f t="shared" si="1"/>
        <v>-</v>
      </c>
      <c r="F109" s="652" t="str">
        <f t="shared" si="2"/>
        <v>-</v>
      </c>
    </row>
    <row r="110" spans="1:10" ht="26.25" customHeight="1" x14ac:dyDescent="0.4">
      <c r="A110" s="498" t="s">
        <v>95</v>
      </c>
      <c r="B110" s="499">
        <v>1</v>
      </c>
      <c r="C110" s="645">
        <v>3</v>
      </c>
      <c r="D110" s="647"/>
      <c r="E110" s="625" t="str">
        <f t="shared" si="1"/>
        <v>-</v>
      </c>
      <c r="F110" s="652" t="str">
        <f t="shared" si="2"/>
        <v>-</v>
      </c>
    </row>
    <row r="111" spans="1:10" ht="26.25" customHeight="1" x14ac:dyDescent="0.4">
      <c r="A111" s="498" t="s">
        <v>96</v>
      </c>
      <c r="B111" s="499">
        <v>1</v>
      </c>
      <c r="C111" s="645">
        <v>4</v>
      </c>
      <c r="D111" s="647"/>
      <c r="E111" s="625" t="str">
        <f t="shared" si="1"/>
        <v>-</v>
      </c>
      <c r="F111" s="652" t="str">
        <f t="shared" si="2"/>
        <v>-</v>
      </c>
    </row>
    <row r="112" spans="1:10" ht="26.25" customHeight="1" x14ac:dyDescent="0.4">
      <c r="A112" s="498" t="s">
        <v>97</v>
      </c>
      <c r="B112" s="499">
        <v>1</v>
      </c>
      <c r="C112" s="645">
        <v>5</v>
      </c>
      <c r="D112" s="647"/>
      <c r="E112" s="625" t="str">
        <f t="shared" si="1"/>
        <v>-</v>
      </c>
      <c r="F112" s="652" t="str">
        <f t="shared" si="2"/>
        <v>-</v>
      </c>
    </row>
    <row r="113" spans="1:10" ht="27" customHeight="1" x14ac:dyDescent="0.4">
      <c r="A113" s="498" t="s">
        <v>99</v>
      </c>
      <c r="B113" s="499">
        <v>1</v>
      </c>
      <c r="C113" s="646">
        <v>6</v>
      </c>
      <c r="D113" s="648"/>
      <c r="E113" s="626" t="str">
        <f t="shared" si="1"/>
        <v>-</v>
      </c>
      <c r="F113" s="653" t="str">
        <f t="shared" si="2"/>
        <v>-</v>
      </c>
    </row>
    <row r="114" spans="1:10" ht="27" customHeight="1" x14ac:dyDescent="0.4">
      <c r="A114" s="498" t="s">
        <v>100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101</v>
      </c>
      <c r="B115" s="499">
        <v>1</v>
      </c>
      <c r="C115" s="607"/>
      <c r="D115" s="631" t="s">
        <v>70</v>
      </c>
      <c r="E115" s="633" t="e">
        <f>AVERAGE(E108:E113)</f>
        <v>#DIV/0!</v>
      </c>
      <c r="F115" s="655" t="e">
        <f>AVERAGE(F108:F113)</f>
        <v>#DIV/0!</v>
      </c>
    </row>
    <row r="116" spans="1:10" ht="27" customHeight="1" x14ac:dyDescent="0.4">
      <c r="A116" s="498" t="s">
        <v>102</v>
      </c>
      <c r="B116" s="530">
        <f>(B115/B114)*(B113/B112)*(B111/B110)*(B109/B108)*B107</f>
        <v>9000</v>
      </c>
      <c r="C116" s="608"/>
      <c r="D116" s="632" t="s">
        <v>83</v>
      </c>
      <c r="E116" s="630" t="e">
        <f>STDEV(E108:E113)/E115</f>
        <v>#DIV/0!</v>
      </c>
      <c r="F116" s="609" t="e">
        <f>STDEV(F108:F113)/F115</f>
        <v>#DIV/0!</v>
      </c>
      <c r="I116" s="472"/>
    </row>
    <row r="117" spans="1:10" ht="27" customHeight="1" x14ac:dyDescent="0.4">
      <c r="A117" s="858" t="s">
        <v>77</v>
      </c>
      <c r="B117" s="859"/>
      <c r="C117" s="610"/>
      <c r="D117" s="569" t="s">
        <v>20</v>
      </c>
      <c r="E117" s="635">
        <f>COUNT(E108:E113)</f>
        <v>0</v>
      </c>
      <c r="F117" s="636">
        <f>COUNT(F108:F113)</f>
        <v>0</v>
      </c>
      <c r="I117" s="472"/>
      <c r="J117" s="603"/>
    </row>
    <row r="118" spans="1:10" ht="26.25" customHeight="1" x14ac:dyDescent="0.3">
      <c r="A118" s="860"/>
      <c r="B118" s="861"/>
      <c r="C118" s="472"/>
      <c r="D118" s="634"/>
      <c r="E118" s="886" t="s">
        <v>122</v>
      </c>
      <c r="F118" s="887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123</v>
      </c>
      <c r="E119" s="637">
        <f>MIN(E108:E113)</f>
        <v>0</v>
      </c>
      <c r="F119" s="656">
        <f>MIN(F108:F113)</f>
        <v>0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124</v>
      </c>
      <c r="E120" s="638">
        <f>MAX(E108:E113)</f>
        <v>0</v>
      </c>
      <c r="F120" s="657">
        <f>MAX(F108:F113)</f>
        <v>0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105</v>
      </c>
      <c r="B124" s="571" t="s">
        <v>125</v>
      </c>
      <c r="C124" s="862" t="str">
        <f>B26</f>
        <v>Chlorpheniramine maleate</v>
      </c>
      <c r="D124" s="862"/>
      <c r="E124" s="572" t="s">
        <v>126</v>
      </c>
      <c r="F124" s="572"/>
      <c r="G124" s="658" t="e">
        <f>F115</f>
        <v>#DIV/0!</v>
      </c>
      <c r="H124" s="472"/>
      <c r="I124" s="472"/>
    </row>
    <row r="125" spans="1:10" ht="45.75" customHeight="1" x14ac:dyDescent="0.65">
      <c r="A125" s="482"/>
      <c r="B125" s="571" t="s">
        <v>127</v>
      </c>
      <c r="C125" s="483" t="s">
        <v>128</v>
      </c>
      <c r="D125" s="658">
        <f>MIN(F108:F113)</f>
        <v>0</v>
      </c>
      <c r="E125" s="583" t="s">
        <v>129</v>
      </c>
      <c r="F125" s="658">
        <f>MAX(F108:F113)</f>
        <v>0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863" t="s">
        <v>25</v>
      </c>
      <c r="C127" s="863"/>
      <c r="E127" s="578" t="s">
        <v>26</v>
      </c>
      <c r="F127" s="613"/>
      <c r="G127" s="863" t="s">
        <v>27</v>
      </c>
      <c r="H127" s="863"/>
    </row>
    <row r="128" spans="1:10" ht="69.95" customHeight="1" x14ac:dyDescent="0.3">
      <c r="A128" s="614" t="s">
        <v>28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29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9" zoomScale="55" zoomScaleNormal="40" zoomScalePageLayoutView="55" workbookViewId="0">
      <selection activeCell="K74" sqref="K7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56" t="s">
        <v>44</v>
      </c>
      <c r="B1" s="856"/>
      <c r="C1" s="856"/>
      <c r="D1" s="856"/>
      <c r="E1" s="856"/>
      <c r="F1" s="856"/>
      <c r="G1" s="856"/>
      <c r="H1" s="856"/>
      <c r="I1" s="856"/>
    </row>
    <row r="2" spans="1:9" ht="18.75" customHeight="1" x14ac:dyDescent="0.25">
      <c r="A2" s="856"/>
      <c r="B2" s="856"/>
      <c r="C2" s="856"/>
      <c r="D2" s="856"/>
      <c r="E2" s="856"/>
      <c r="F2" s="856"/>
      <c r="G2" s="856"/>
      <c r="H2" s="856"/>
      <c r="I2" s="856"/>
    </row>
    <row r="3" spans="1:9" ht="18.75" customHeight="1" x14ac:dyDescent="0.25">
      <c r="A3" s="856"/>
      <c r="B3" s="856"/>
      <c r="C3" s="856"/>
      <c r="D3" s="856"/>
      <c r="E3" s="856"/>
      <c r="F3" s="856"/>
      <c r="G3" s="856"/>
      <c r="H3" s="856"/>
      <c r="I3" s="856"/>
    </row>
    <row r="4" spans="1:9" ht="18.75" customHeight="1" x14ac:dyDescent="0.25">
      <c r="A4" s="856"/>
      <c r="B4" s="856"/>
      <c r="C4" s="856"/>
      <c r="D4" s="856"/>
      <c r="E4" s="856"/>
      <c r="F4" s="856"/>
      <c r="G4" s="856"/>
      <c r="H4" s="856"/>
      <c r="I4" s="856"/>
    </row>
    <row r="5" spans="1:9" ht="18.75" customHeight="1" x14ac:dyDescent="0.25">
      <c r="A5" s="856"/>
      <c r="B5" s="856"/>
      <c r="C5" s="856"/>
      <c r="D5" s="856"/>
      <c r="E5" s="856"/>
      <c r="F5" s="856"/>
      <c r="G5" s="856"/>
      <c r="H5" s="856"/>
      <c r="I5" s="856"/>
    </row>
    <row r="6" spans="1:9" ht="18.75" customHeight="1" x14ac:dyDescent="0.25">
      <c r="A6" s="856"/>
      <c r="B6" s="856"/>
      <c r="C6" s="856"/>
      <c r="D6" s="856"/>
      <c r="E6" s="856"/>
      <c r="F6" s="856"/>
      <c r="G6" s="856"/>
      <c r="H6" s="856"/>
      <c r="I6" s="856"/>
    </row>
    <row r="7" spans="1:9" ht="18.75" customHeight="1" x14ac:dyDescent="0.25">
      <c r="A7" s="856"/>
      <c r="B7" s="856"/>
      <c r="C7" s="856"/>
      <c r="D7" s="856"/>
      <c r="E7" s="856"/>
      <c r="F7" s="856"/>
      <c r="G7" s="856"/>
      <c r="H7" s="856"/>
      <c r="I7" s="856"/>
    </row>
    <row r="8" spans="1:9" x14ac:dyDescent="0.25">
      <c r="A8" s="857" t="s">
        <v>45</v>
      </c>
      <c r="B8" s="857"/>
      <c r="C8" s="857"/>
      <c r="D8" s="857"/>
      <c r="E8" s="857"/>
      <c r="F8" s="857"/>
      <c r="G8" s="857"/>
      <c r="H8" s="857"/>
      <c r="I8" s="857"/>
    </row>
    <row r="9" spans="1:9" x14ac:dyDescent="0.25">
      <c r="A9" s="857"/>
      <c r="B9" s="857"/>
      <c r="C9" s="857"/>
      <c r="D9" s="857"/>
      <c r="E9" s="857"/>
      <c r="F9" s="857"/>
      <c r="G9" s="857"/>
      <c r="H9" s="857"/>
      <c r="I9" s="857"/>
    </row>
    <row r="10" spans="1:9" x14ac:dyDescent="0.25">
      <c r="A10" s="857"/>
      <c r="B10" s="857"/>
      <c r="C10" s="857"/>
      <c r="D10" s="857"/>
      <c r="E10" s="857"/>
      <c r="F10" s="857"/>
      <c r="G10" s="857"/>
      <c r="H10" s="857"/>
      <c r="I10" s="857"/>
    </row>
    <row r="11" spans="1:9" x14ac:dyDescent="0.25">
      <c r="A11" s="857"/>
      <c r="B11" s="857"/>
      <c r="C11" s="857"/>
      <c r="D11" s="857"/>
      <c r="E11" s="857"/>
      <c r="F11" s="857"/>
      <c r="G11" s="857"/>
      <c r="H11" s="857"/>
      <c r="I11" s="857"/>
    </row>
    <row r="12" spans="1:9" x14ac:dyDescent="0.25">
      <c r="A12" s="857"/>
      <c r="B12" s="857"/>
      <c r="C12" s="857"/>
      <c r="D12" s="857"/>
      <c r="E12" s="857"/>
      <c r="F12" s="857"/>
      <c r="G12" s="857"/>
      <c r="H12" s="857"/>
      <c r="I12" s="857"/>
    </row>
    <row r="13" spans="1:9" x14ac:dyDescent="0.25">
      <c r="A13" s="857"/>
      <c r="B13" s="857"/>
      <c r="C13" s="857"/>
      <c r="D13" s="857"/>
      <c r="E13" s="857"/>
      <c r="F13" s="857"/>
      <c r="G13" s="857"/>
      <c r="H13" s="857"/>
      <c r="I13" s="857"/>
    </row>
    <row r="14" spans="1:9" x14ac:dyDescent="0.25">
      <c r="A14" s="857"/>
      <c r="B14" s="857"/>
      <c r="C14" s="857"/>
      <c r="D14" s="857"/>
      <c r="E14" s="857"/>
      <c r="F14" s="857"/>
      <c r="G14" s="857"/>
      <c r="H14" s="857"/>
      <c r="I14" s="857"/>
    </row>
    <row r="15" spans="1:9" ht="19.5" customHeight="1" x14ac:dyDescent="0.3">
      <c r="A15" s="659"/>
    </row>
    <row r="16" spans="1:9" ht="19.5" customHeight="1" x14ac:dyDescent="0.3">
      <c r="A16" s="889" t="s">
        <v>30</v>
      </c>
      <c r="B16" s="890"/>
      <c r="C16" s="890"/>
      <c r="D16" s="890"/>
      <c r="E16" s="890"/>
      <c r="F16" s="890"/>
      <c r="G16" s="890"/>
      <c r="H16" s="891"/>
    </row>
    <row r="17" spans="1:14" ht="20.25" customHeight="1" x14ac:dyDescent="0.25">
      <c r="A17" s="892" t="s">
        <v>46</v>
      </c>
      <c r="B17" s="892"/>
      <c r="C17" s="892"/>
      <c r="D17" s="892"/>
      <c r="E17" s="892"/>
      <c r="F17" s="892"/>
      <c r="G17" s="892"/>
      <c r="H17" s="892"/>
    </row>
    <row r="18" spans="1:14" ht="26.25" customHeight="1" x14ac:dyDescent="0.4">
      <c r="A18" s="661" t="s">
        <v>32</v>
      </c>
      <c r="B18" s="888" t="s">
        <v>5</v>
      </c>
      <c r="C18" s="888"/>
      <c r="D18" s="807"/>
      <c r="E18" s="662"/>
      <c r="F18" s="663"/>
      <c r="G18" s="663"/>
      <c r="H18" s="663"/>
    </row>
    <row r="19" spans="1:14" ht="26.25" customHeight="1" x14ac:dyDescent="0.4">
      <c r="A19" s="661" t="s">
        <v>33</v>
      </c>
      <c r="B19" s="664" t="s">
        <v>7</v>
      </c>
      <c r="C19" s="816">
        <v>1</v>
      </c>
      <c r="D19" s="663"/>
      <c r="E19" s="663"/>
      <c r="F19" s="663"/>
      <c r="G19" s="663"/>
      <c r="H19" s="663"/>
    </row>
    <row r="20" spans="1:14" ht="26.25" customHeight="1" x14ac:dyDescent="0.4">
      <c r="A20" s="661" t="s">
        <v>34</v>
      </c>
      <c r="B20" s="893" t="s">
        <v>140</v>
      </c>
      <c r="C20" s="893"/>
      <c r="D20" s="663"/>
      <c r="E20" s="663"/>
      <c r="F20" s="663"/>
      <c r="G20" s="663"/>
      <c r="H20" s="663"/>
    </row>
    <row r="21" spans="1:14" ht="26.25" customHeight="1" x14ac:dyDescent="0.4">
      <c r="A21" s="661" t="s">
        <v>35</v>
      </c>
      <c r="B21" s="893" t="s">
        <v>11</v>
      </c>
      <c r="C21" s="893"/>
      <c r="D21" s="893"/>
      <c r="E21" s="893"/>
      <c r="F21" s="893"/>
      <c r="G21" s="893"/>
      <c r="H21" s="893"/>
      <c r="I21" s="665"/>
    </row>
    <row r="22" spans="1:14" ht="26.25" customHeight="1" x14ac:dyDescent="0.4">
      <c r="A22" s="661" t="s">
        <v>36</v>
      </c>
      <c r="B22" s="666" t="s">
        <v>12</v>
      </c>
      <c r="C22" s="663"/>
      <c r="D22" s="663"/>
      <c r="E22" s="663"/>
      <c r="F22" s="663"/>
      <c r="G22" s="663"/>
      <c r="H22" s="663"/>
    </row>
    <row r="23" spans="1:14" ht="26.25" customHeight="1" x14ac:dyDescent="0.4">
      <c r="A23" s="661" t="s">
        <v>37</v>
      </c>
      <c r="B23" s="666"/>
      <c r="C23" s="663"/>
      <c r="D23" s="663"/>
      <c r="E23" s="663"/>
      <c r="F23" s="663"/>
      <c r="G23" s="663"/>
      <c r="H23" s="663"/>
    </row>
    <row r="24" spans="1:14" ht="18.75" x14ac:dyDescent="0.3">
      <c r="A24" s="661"/>
      <c r="B24" s="667"/>
    </row>
    <row r="25" spans="1:14" ht="18.75" x14ac:dyDescent="0.3">
      <c r="A25" s="668" t="s">
        <v>1</v>
      </c>
      <c r="B25" s="667"/>
    </row>
    <row r="26" spans="1:14" ht="26.25" customHeight="1" x14ac:dyDescent="0.4">
      <c r="A26" s="669" t="s">
        <v>4</v>
      </c>
      <c r="B26" s="888" t="s">
        <v>134</v>
      </c>
      <c r="C26" s="888"/>
    </row>
    <row r="27" spans="1:14" ht="26.25" customHeight="1" x14ac:dyDescent="0.4">
      <c r="A27" s="670" t="s">
        <v>47</v>
      </c>
      <c r="B27" s="894" t="s">
        <v>139</v>
      </c>
      <c r="C27" s="894"/>
    </row>
    <row r="28" spans="1:14" ht="27" customHeight="1" x14ac:dyDescent="0.4">
      <c r="A28" s="670" t="s">
        <v>6</v>
      </c>
      <c r="B28" s="671">
        <v>99.3</v>
      </c>
    </row>
    <row r="29" spans="1:14" s="14" customFormat="1" ht="27" customHeight="1" x14ac:dyDescent="0.4">
      <c r="A29" s="670" t="s">
        <v>48</v>
      </c>
      <c r="B29" s="672">
        <v>0</v>
      </c>
      <c r="C29" s="864" t="s">
        <v>49</v>
      </c>
      <c r="D29" s="865"/>
      <c r="E29" s="865"/>
      <c r="F29" s="865"/>
      <c r="G29" s="866"/>
      <c r="I29" s="673"/>
      <c r="J29" s="673"/>
      <c r="K29" s="673"/>
      <c r="L29" s="673"/>
    </row>
    <row r="30" spans="1:14" s="14" customFormat="1" ht="19.5" customHeight="1" x14ac:dyDescent="0.3">
      <c r="A30" s="670" t="s">
        <v>50</v>
      </c>
      <c r="B30" s="674">
        <f>B28-B29</f>
        <v>99.3</v>
      </c>
      <c r="C30" s="675"/>
      <c r="D30" s="675"/>
      <c r="E30" s="675"/>
      <c r="F30" s="675"/>
      <c r="G30" s="676"/>
      <c r="I30" s="673"/>
      <c r="J30" s="673"/>
      <c r="K30" s="673"/>
      <c r="L30" s="673"/>
    </row>
    <row r="31" spans="1:14" s="14" customFormat="1" ht="27" customHeight="1" x14ac:dyDescent="0.4">
      <c r="A31" s="670" t="s">
        <v>51</v>
      </c>
      <c r="B31" s="677">
        <v>1</v>
      </c>
      <c r="C31" s="867" t="s">
        <v>52</v>
      </c>
      <c r="D31" s="868"/>
      <c r="E31" s="868"/>
      <c r="F31" s="868"/>
      <c r="G31" s="868"/>
      <c r="H31" s="869"/>
      <c r="I31" s="673"/>
      <c r="J31" s="673"/>
      <c r="K31" s="673"/>
      <c r="L31" s="673"/>
    </row>
    <row r="32" spans="1:14" s="14" customFormat="1" ht="27" customHeight="1" x14ac:dyDescent="0.4">
      <c r="A32" s="670" t="s">
        <v>53</v>
      </c>
      <c r="B32" s="677">
        <v>1</v>
      </c>
      <c r="C32" s="867" t="s">
        <v>54</v>
      </c>
      <c r="D32" s="868"/>
      <c r="E32" s="868"/>
      <c r="F32" s="868"/>
      <c r="G32" s="868"/>
      <c r="H32" s="869"/>
      <c r="I32" s="673"/>
      <c r="J32" s="673"/>
      <c r="K32" s="673"/>
      <c r="L32" s="678"/>
      <c r="M32" s="678"/>
      <c r="N32" s="679"/>
    </row>
    <row r="33" spans="1:14" s="14" customFormat="1" ht="17.25" customHeight="1" x14ac:dyDescent="0.3">
      <c r="A33" s="670"/>
      <c r="B33" s="680"/>
      <c r="C33" s="681"/>
      <c r="D33" s="681"/>
      <c r="E33" s="681"/>
      <c r="F33" s="681"/>
      <c r="G33" s="681"/>
      <c r="H33" s="681"/>
      <c r="I33" s="673"/>
      <c r="J33" s="673"/>
      <c r="K33" s="673"/>
      <c r="L33" s="678"/>
      <c r="M33" s="678"/>
      <c r="N33" s="679"/>
    </row>
    <row r="34" spans="1:14" s="14" customFormat="1" ht="18.75" x14ac:dyDescent="0.3">
      <c r="A34" s="670" t="s">
        <v>55</v>
      </c>
      <c r="B34" s="682">
        <f>B31/B32</f>
        <v>1</v>
      </c>
      <c r="C34" s="660" t="s">
        <v>56</v>
      </c>
      <c r="D34" s="660"/>
      <c r="E34" s="660"/>
      <c r="F34" s="660"/>
      <c r="G34" s="660"/>
      <c r="I34" s="673"/>
      <c r="J34" s="673"/>
      <c r="K34" s="673"/>
      <c r="L34" s="678"/>
      <c r="M34" s="678"/>
      <c r="N34" s="679"/>
    </row>
    <row r="35" spans="1:14" s="14" customFormat="1" ht="19.5" customHeight="1" x14ac:dyDescent="0.3">
      <c r="A35" s="670"/>
      <c r="B35" s="674"/>
      <c r="G35" s="660"/>
      <c r="I35" s="673"/>
      <c r="J35" s="673"/>
      <c r="K35" s="673"/>
      <c r="L35" s="678"/>
      <c r="M35" s="678"/>
      <c r="N35" s="679"/>
    </row>
    <row r="36" spans="1:14" s="14" customFormat="1" ht="27" customHeight="1" x14ac:dyDescent="0.4">
      <c r="A36" s="683" t="s">
        <v>57</v>
      </c>
      <c r="B36" s="684">
        <v>100</v>
      </c>
      <c r="C36" s="660"/>
      <c r="D36" s="870" t="s">
        <v>58</v>
      </c>
      <c r="E36" s="895"/>
      <c r="F36" s="870" t="s">
        <v>59</v>
      </c>
      <c r="G36" s="871"/>
      <c r="J36" s="673"/>
      <c r="K36" s="673"/>
      <c r="L36" s="678"/>
      <c r="M36" s="678"/>
      <c r="N36" s="679"/>
    </row>
    <row r="37" spans="1:14" s="14" customFormat="1" ht="27" customHeight="1" x14ac:dyDescent="0.4">
      <c r="A37" s="685" t="s">
        <v>60</v>
      </c>
      <c r="B37" s="686">
        <v>2</v>
      </c>
      <c r="C37" s="687" t="s">
        <v>61</v>
      </c>
      <c r="D37" s="688" t="s">
        <v>62</v>
      </c>
      <c r="E37" s="689" t="s">
        <v>63</v>
      </c>
      <c r="F37" s="688" t="s">
        <v>62</v>
      </c>
      <c r="G37" s="690" t="s">
        <v>63</v>
      </c>
      <c r="I37" s="691" t="s">
        <v>64</v>
      </c>
      <c r="J37" s="673"/>
      <c r="K37" s="673"/>
      <c r="L37" s="678"/>
      <c r="M37" s="678"/>
      <c r="N37" s="679"/>
    </row>
    <row r="38" spans="1:14" s="14" customFormat="1" ht="26.25" customHeight="1" x14ac:dyDescent="0.4">
      <c r="A38" s="685" t="s">
        <v>65</v>
      </c>
      <c r="B38" s="686">
        <v>100</v>
      </c>
      <c r="C38" s="692">
        <v>1</v>
      </c>
      <c r="D38" s="693">
        <v>8888474</v>
      </c>
      <c r="E38" s="694">
        <f>IF(ISBLANK(D38),"-",$D$48/$D$45*D38)</f>
        <v>9069029.3044217341</v>
      </c>
      <c r="F38" s="693">
        <v>9409780</v>
      </c>
      <c r="G38" s="695">
        <f>IF(ISBLANK(F38),"-",$D$48/$F$45*F38)</f>
        <v>9076736.388435524</v>
      </c>
      <c r="I38" s="696"/>
      <c r="J38" s="673"/>
      <c r="K38" s="673"/>
      <c r="L38" s="678"/>
      <c r="M38" s="678"/>
      <c r="N38" s="679"/>
    </row>
    <row r="39" spans="1:14" s="14" customFormat="1" ht="26.25" customHeight="1" x14ac:dyDescent="0.4">
      <c r="A39" s="685" t="s">
        <v>66</v>
      </c>
      <c r="B39" s="686">
        <v>1</v>
      </c>
      <c r="C39" s="697">
        <v>2</v>
      </c>
      <c r="D39" s="698">
        <v>8891529</v>
      </c>
      <c r="E39" s="699">
        <f>IF(ISBLANK(D39),"-",$D$48/$D$45*D39)</f>
        <v>9072146.3619194552</v>
      </c>
      <c r="F39" s="698">
        <v>9433336</v>
      </c>
      <c r="G39" s="700">
        <f>IF(ISBLANK(F39),"-",$D$48/$F$45*F39)</f>
        <v>9099458.6627465058</v>
      </c>
      <c r="I39" s="872">
        <f>ABS((F43/D43*D42)-F42)/D42</f>
        <v>3.4357347168268212E-3</v>
      </c>
      <c r="J39" s="673"/>
      <c r="K39" s="673"/>
      <c r="L39" s="678"/>
      <c r="M39" s="678"/>
      <c r="N39" s="679"/>
    </row>
    <row r="40" spans="1:14" ht="26.25" customHeight="1" x14ac:dyDescent="0.4">
      <c r="A40" s="685" t="s">
        <v>67</v>
      </c>
      <c r="B40" s="686">
        <v>1</v>
      </c>
      <c r="C40" s="697">
        <v>3</v>
      </c>
      <c r="D40" s="698">
        <v>8889853</v>
      </c>
      <c r="E40" s="699">
        <f>IF(ISBLANK(D40),"-",$D$48/$D$45*D40)</f>
        <v>9070436.3166277427</v>
      </c>
      <c r="F40" s="698">
        <v>9458575</v>
      </c>
      <c r="G40" s="700">
        <f>IF(ISBLANK(F40),"-",$D$48/$F$45*F40)</f>
        <v>9123804.3700539786</v>
      </c>
      <c r="I40" s="872"/>
      <c r="L40" s="678"/>
      <c r="M40" s="678"/>
      <c r="N40" s="701"/>
    </row>
    <row r="41" spans="1:14" ht="27" customHeight="1" x14ac:dyDescent="0.4">
      <c r="A41" s="685" t="s">
        <v>68</v>
      </c>
      <c r="B41" s="686">
        <v>1</v>
      </c>
      <c r="C41" s="702">
        <v>4</v>
      </c>
      <c r="D41" s="703"/>
      <c r="E41" s="704" t="str">
        <f>IF(ISBLANK(D41),"-",$D$48/$D$45*D41)</f>
        <v>-</v>
      </c>
      <c r="F41" s="703"/>
      <c r="G41" s="705" t="str">
        <f>IF(ISBLANK(F41),"-",$D$48/$F$45*F41)</f>
        <v>-</v>
      </c>
      <c r="I41" s="706"/>
      <c r="L41" s="678"/>
      <c r="M41" s="678"/>
      <c r="N41" s="701"/>
    </row>
    <row r="42" spans="1:14" ht="27" customHeight="1" x14ac:dyDescent="0.4">
      <c r="A42" s="685" t="s">
        <v>69</v>
      </c>
      <c r="B42" s="686">
        <v>1</v>
      </c>
      <c r="C42" s="707" t="s">
        <v>70</v>
      </c>
      <c r="D42" s="708">
        <f>AVERAGE(D38:D41)</f>
        <v>8889952</v>
      </c>
      <c r="E42" s="709">
        <f>AVERAGE(E38:E41)</f>
        <v>9070537.3276563119</v>
      </c>
      <c r="F42" s="708">
        <f>AVERAGE(F38:F41)</f>
        <v>9433897</v>
      </c>
      <c r="G42" s="710">
        <f>AVERAGE(G38:G41)</f>
        <v>9099999.8070786688</v>
      </c>
      <c r="H42" s="711"/>
    </row>
    <row r="43" spans="1:14" ht="26.25" customHeight="1" x14ac:dyDescent="0.4">
      <c r="A43" s="685" t="s">
        <v>71</v>
      </c>
      <c r="B43" s="686">
        <v>1</v>
      </c>
      <c r="C43" s="712" t="s">
        <v>72</v>
      </c>
      <c r="D43" s="713">
        <v>29.61</v>
      </c>
      <c r="E43" s="701"/>
      <c r="F43" s="713">
        <v>31.32</v>
      </c>
      <c r="H43" s="711"/>
    </row>
    <row r="44" spans="1:14" ht="26.25" customHeight="1" x14ac:dyDescent="0.4">
      <c r="A44" s="685" t="s">
        <v>73</v>
      </c>
      <c r="B44" s="686">
        <v>1</v>
      </c>
      <c r="C44" s="714" t="s">
        <v>74</v>
      </c>
      <c r="D44" s="715">
        <f>D43*$B$34</f>
        <v>29.61</v>
      </c>
      <c r="E44" s="716"/>
      <c r="F44" s="715">
        <f>F43*$B$34</f>
        <v>31.32</v>
      </c>
      <c r="H44" s="711"/>
    </row>
    <row r="45" spans="1:14" ht="19.5" customHeight="1" x14ac:dyDescent="0.3">
      <c r="A45" s="685" t="s">
        <v>75</v>
      </c>
      <c r="B45" s="717">
        <f>(B44/B43)*(B42/B41)*(B40/B39)*(B38/B37)*B36</f>
        <v>5000</v>
      </c>
      <c r="C45" s="714" t="s">
        <v>76</v>
      </c>
      <c r="D45" s="718">
        <f>D44*$B$30/100</f>
        <v>29.402729999999998</v>
      </c>
      <c r="E45" s="719"/>
      <c r="F45" s="718">
        <f>F44*$B$30/100</f>
        <v>31.100760000000001</v>
      </c>
      <c r="H45" s="711"/>
    </row>
    <row r="46" spans="1:14" ht="19.5" customHeight="1" x14ac:dyDescent="0.3">
      <c r="A46" s="858" t="s">
        <v>77</v>
      </c>
      <c r="B46" s="859"/>
      <c r="C46" s="714" t="s">
        <v>78</v>
      </c>
      <c r="D46" s="720">
        <f>D45/$B$45</f>
        <v>5.8805459999999995E-3</v>
      </c>
      <c r="E46" s="721"/>
      <c r="F46" s="722">
        <f>F45/$B$45</f>
        <v>6.2201520000000005E-3</v>
      </c>
      <c r="H46" s="711"/>
    </row>
    <row r="47" spans="1:14" ht="27" customHeight="1" x14ac:dyDescent="0.4">
      <c r="A47" s="860"/>
      <c r="B47" s="861"/>
      <c r="C47" s="723" t="s">
        <v>79</v>
      </c>
      <c r="D47" s="724">
        <v>6.0000000000000001E-3</v>
      </c>
      <c r="E47" s="725"/>
      <c r="F47" s="721"/>
      <c r="H47" s="711"/>
    </row>
    <row r="48" spans="1:14" ht="18.75" x14ac:dyDescent="0.3">
      <c r="C48" s="726" t="s">
        <v>80</v>
      </c>
      <c r="D48" s="718">
        <f>D47*$B$45</f>
        <v>30</v>
      </c>
      <c r="F48" s="727"/>
      <c r="H48" s="711"/>
    </row>
    <row r="49" spans="1:12" ht="19.5" customHeight="1" x14ac:dyDescent="0.3">
      <c r="C49" s="728" t="s">
        <v>81</v>
      </c>
      <c r="D49" s="729">
        <f>D48/B34</f>
        <v>30</v>
      </c>
      <c r="F49" s="727"/>
      <c r="H49" s="711"/>
    </row>
    <row r="50" spans="1:12" ht="18.75" x14ac:dyDescent="0.3">
      <c r="C50" s="683" t="s">
        <v>82</v>
      </c>
      <c r="D50" s="730">
        <f>AVERAGE(E38:E41,G38:G41)</f>
        <v>9085268.5673674885</v>
      </c>
      <c r="F50" s="731"/>
      <c r="H50" s="711"/>
    </row>
    <row r="51" spans="1:12" ht="18.75" x14ac:dyDescent="0.3">
      <c r="C51" s="685" t="s">
        <v>83</v>
      </c>
      <c r="D51" s="732">
        <f>STDEV(E38:E41,G38:G41)/D50</f>
        <v>2.4190329347623398E-3</v>
      </c>
      <c r="F51" s="731"/>
      <c r="H51" s="711"/>
    </row>
    <row r="52" spans="1:12" ht="19.5" customHeight="1" x14ac:dyDescent="0.3">
      <c r="C52" s="733" t="s">
        <v>20</v>
      </c>
      <c r="D52" s="734">
        <f>COUNT(E38:E41,G38:G41)</f>
        <v>6</v>
      </c>
      <c r="F52" s="731"/>
    </row>
    <row r="54" spans="1:12" ht="18.75" x14ac:dyDescent="0.3">
      <c r="A54" s="735" t="s">
        <v>1</v>
      </c>
      <c r="B54" s="736" t="s">
        <v>84</v>
      </c>
    </row>
    <row r="55" spans="1:12" ht="18.75" x14ac:dyDescent="0.3">
      <c r="A55" s="660" t="s">
        <v>85</v>
      </c>
      <c r="B55" s="737" t="str">
        <f>B21</f>
        <v>Each tablet contains Paracetamol BP 500mg, Phenylephrine HCl BP 10 mg, Chlorpheniramine maleate BP 2mg and Caffeine 30mg</v>
      </c>
    </row>
    <row r="56" spans="1:12" ht="26.25" customHeight="1" x14ac:dyDescent="0.4">
      <c r="A56" s="738" t="s">
        <v>86</v>
      </c>
      <c r="B56" s="739">
        <v>30</v>
      </c>
      <c r="C56" s="660" t="str">
        <f>B20</f>
        <v xml:space="preserve"> Caffeine</v>
      </c>
      <c r="H56" s="740"/>
    </row>
    <row r="57" spans="1:12" ht="18.75" x14ac:dyDescent="0.3">
      <c r="A57" s="737" t="s">
        <v>87</v>
      </c>
      <c r="B57" s="808">
        <f>Uniformity!C46</f>
        <v>624.19849999999997</v>
      </c>
      <c r="H57" s="740"/>
    </row>
    <row r="58" spans="1:12" ht="19.5" customHeight="1" x14ac:dyDescent="0.3">
      <c r="H58" s="740"/>
    </row>
    <row r="59" spans="1:12" s="14" customFormat="1" ht="27" customHeight="1" x14ac:dyDescent="0.4">
      <c r="A59" s="683" t="s">
        <v>88</v>
      </c>
      <c r="B59" s="684">
        <v>100</v>
      </c>
      <c r="C59" s="660"/>
      <c r="D59" s="741" t="s">
        <v>89</v>
      </c>
      <c r="E59" s="742" t="s">
        <v>61</v>
      </c>
      <c r="F59" s="742" t="s">
        <v>62</v>
      </c>
      <c r="G59" s="742" t="s">
        <v>90</v>
      </c>
      <c r="H59" s="687" t="s">
        <v>91</v>
      </c>
      <c r="L59" s="673"/>
    </row>
    <row r="60" spans="1:12" s="14" customFormat="1" ht="26.25" customHeight="1" x14ac:dyDescent="0.4">
      <c r="A60" s="685" t="s">
        <v>92</v>
      </c>
      <c r="B60" s="686">
        <v>2</v>
      </c>
      <c r="C60" s="875" t="s">
        <v>93</v>
      </c>
      <c r="D60" s="878">
        <v>639.64</v>
      </c>
      <c r="E60" s="743">
        <v>1</v>
      </c>
      <c r="F60" s="744">
        <v>8646085</v>
      </c>
      <c r="G60" s="809">
        <f>IF(ISBLANK(F60),"-",(F60/$D$50*$D$47*$B$68)*($B$57/$D$60))</f>
        <v>27.860576046930209</v>
      </c>
      <c r="H60" s="827">
        <f t="shared" ref="H60:H71" si="0">IF(ISBLANK(F60),"-",(G60/$B$56)*100)</f>
        <v>92.868586823100699</v>
      </c>
      <c r="L60" s="673"/>
    </row>
    <row r="61" spans="1:12" s="14" customFormat="1" ht="26.25" customHeight="1" x14ac:dyDescent="0.4">
      <c r="A61" s="685" t="s">
        <v>94</v>
      </c>
      <c r="B61" s="686">
        <v>100</v>
      </c>
      <c r="C61" s="876"/>
      <c r="D61" s="879"/>
      <c r="E61" s="745">
        <v>2</v>
      </c>
      <c r="F61" s="698">
        <v>8674339</v>
      </c>
      <c r="G61" s="810">
        <f>IF(ISBLANK(F61),"-",(F61/$D$50*$D$47*$B$68)*($B$57/$D$60))</f>
        <v>27.951619879558507</v>
      </c>
      <c r="H61" s="828">
        <f t="shared" si="0"/>
        <v>93.172066265195014</v>
      </c>
      <c r="L61" s="673"/>
    </row>
    <row r="62" spans="1:12" s="14" customFormat="1" ht="26.25" customHeight="1" x14ac:dyDescent="0.4">
      <c r="A62" s="685" t="s">
        <v>95</v>
      </c>
      <c r="B62" s="686">
        <v>1</v>
      </c>
      <c r="C62" s="876"/>
      <c r="D62" s="879"/>
      <c r="E62" s="745">
        <v>3</v>
      </c>
      <c r="F62" s="746">
        <v>8658271</v>
      </c>
      <c r="G62" s="810">
        <f>IF(ISBLANK(F62),"-",(F62/$D$50*$D$47*$B$68)*($B$57/$D$60))</f>
        <v>27.899843412415045</v>
      </c>
      <c r="H62" s="828">
        <f t="shared" si="0"/>
        <v>92.999478041383483</v>
      </c>
      <c r="L62" s="673"/>
    </row>
    <row r="63" spans="1:12" ht="27" customHeight="1" x14ac:dyDescent="0.4">
      <c r="A63" s="685" t="s">
        <v>96</v>
      </c>
      <c r="B63" s="686">
        <v>1</v>
      </c>
      <c r="C63" s="885"/>
      <c r="D63" s="880"/>
      <c r="E63" s="747">
        <v>4</v>
      </c>
      <c r="F63" s="748"/>
      <c r="G63" s="810" t="str">
        <f>IF(ISBLANK(F63),"-",(F63/$D$50*$D$47*$B$68)*($B$57/$D$60))</f>
        <v>-</v>
      </c>
      <c r="H63" s="828" t="str">
        <f t="shared" si="0"/>
        <v>-</v>
      </c>
    </row>
    <row r="64" spans="1:12" ht="26.25" customHeight="1" x14ac:dyDescent="0.4">
      <c r="A64" s="685" t="s">
        <v>97</v>
      </c>
      <c r="B64" s="686">
        <v>1</v>
      </c>
      <c r="C64" s="875" t="s">
        <v>98</v>
      </c>
      <c r="D64" s="878">
        <v>633.63</v>
      </c>
      <c r="E64" s="743">
        <v>1</v>
      </c>
      <c r="F64" s="744">
        <v>8708460</v>
      </c>
      <c r="G64" s="809">
        <f>IF(ISBLANK(F64),"-",(F64/$D$50*$D$47*$B$68)*($B$57/$D$64))</f>
        <v>28.327733992127872</v>
      </c>
      <c r="H64" s="827">
        <f t="shared" si="0"/>
        <v>94.425779973759575</v>
      </c>
    </row>
    <row r="65" spans="1:8" ht="26.25" customHeight="1" x14ac:dyDescent="0.4">
      <c r="A65" s="685" t="s">
        <v>99</v>
      </c>
      <c r="B65" s="686">
        <v>1</v>
      </c>
      <c r="C65" s="876"/>
      <c r="D65" s="879"/>
      <c r="E65" s="745">
        <v>2</v>
      </c>
      <c r="F65" s="698">
        <v>8722991</v>
      </c>
      <c r="G65" s="810">
        <f>IF(ISBLANK(F65),"-",(F65/$D$50*$D$47*$B$68)*($B$57/$D$64))</f>
        <v>28.375001856094592</v>
      </c>
      <c r="H65" s="828">
        <f t="shared" si="0"/>
        <v>94.583339520315306</v>
      </c>
    </row>
    <row r="66" spans="1:8" ht="26.25" customHeight="1" x14ac:dyDescent="0.4">
      <c r="A66" s="685" t="s">
        <v>100</v>
      </c>
      <c r="B66" s="686">
        <v>1</v>
      </c>
      <c r="C66" s="876"/>
      <c r="D66" s="879"/>
      <c r="E66" s="745">
        <v>3</v>
      </c>
      <c r="F66" s="698">
        <v>8726750</v>
      </c>
      <c r="G66" s="810">
        <f>IF(ISBLANK(F66),"-",(F66/$D$50*$D$47*$B$68)*($B$57/$D$64))</f>
        <v>28.387229500485955</v>
      </c>
      <c r="H66" s="828">
        <f t="shared" si="0"/>
        <v>94.624098334953175</v>
      </c>
    </row>
    <row r="67" spans="1:8" ht="27" customHeight="1" x14ac:dyDescent="0.4">
      <c r="A67" s="685" t="s">
        <v>101</v>
      </c>
      <c r="B67" s="686">
        <v>1</v>
      </c>
      <c r="C67" s="885"/>
      <c r="D67" s="880"/>
      <c r="E67" s="747">
        <v>4</v>
      </c>
      <c r="F67" s="748"/>
      <c r="G67" s="826" t="str">
        <f>IF(ISBLANK(F67),"-",(F67/$D$50*$D$47*$B$68)*($B$57/$D$64))</f>
        <v>-</v>
      </c>
      <c r="H67" s="829" t="str">
        <f t="shared" si="0"/>
        <v>-</v>
      </c>
    </row>
    <row r="68" spans="1:8" ht="26.25" customHeight="1" x14ac:dyDescent="0.4">
      <c r="A68" s="685" t="s">
        <v>102</v>
      </c>
      <c r="B68" s="749">
        <f>(B67/B66)*(B65/B64)*(B63/B62)*(B61/B60)*B59</f>
        <v>5000</v>
      </c>
      <c r="C68" s="875" t="s">
        <v>103</v>
      </c>
      <c r="D68" s="878">
        <v>627.22</v>
      </c>
      <c r="E68" s="743">
        <v>1</v>
      </c>
      <c r="F68" s="744">
        <v>8634643</v>
      </c>
      <c r="G68" s="809">
        <f>IF(ISBLANK(F68),"-",(F68/$D$50*$D$47*$B$68)*($B$57/$D$68))</f>
        <v>28.374661791107545</v>
      </c>
      <c r="H68" s="828">
        <f t="shared" si="0"/>
        <v>94.582205970358473</v>
      </c>
    </row>
    <row r="69" spans="1:8" ht="27" customHeight="1" x14ac:dyDescent="0.4">
      <c r="A69" s="733" t="s">
        <v>104</v>
      </c>
      <c r="B69" s="750">
        <f>(D47*B68)/B56*B57</f>
        <v>624.19849999999997</v>
      </c>
      <c r="C69" s="876"/>
      <c r="D69" s="879"/>
      <c r="E69" s="745">
        <v>2</v>
      </c>
      <c r="F69" s="698">
        <v>8622184</v>
      </c>
      <c r="G69" s="810">
        <f>IF(ISBLANK(F69),"-",(F69/$D$50*$D$47*$B$68)*($B$57/$D$68))</f>
        <v>28.33371974969884</v>
      </c>
      <c r="H69" s="828">
        <f t="shared" si="0"/>
        <v>94.445732498996136</v>
      </c>
    </row>
    <row r="70" spans="1:8" ht="26.25" customHeight="1" x14ac:dyDescent="0.4">
      <c r="A70" s="881" t="s">
        <v>77</v>
      </c>
      <c r="B70" s="882"/>
      <c r="C70" s="876"/>
      <c r="D70" s="879"/>
      <c r="E70" s="745">
        <v>3</v>
      </c>
      <c r="F70" s="698">
        <v>8619492</v>
      </c>
      <c r="G70" s="810">
        <f>IF(ISBLANK(F70),"-",(F70/$D$50*$D$47*$B$68)*($B$57/$D$68))</f>
        <v>28.32487345581713</v>
      </c>
      <c r="H70" s="828">
        <f t="shared" si="0"/>
        <v>94.416244852723764</v>
      </c>
    </row>
    <row r="71" spans="1:8" ht="27" customHeight="1" x14ac:dyDescent="0.4">
      <c r="A71" s="883"/>
      <c r="B71" s="884"/>
      <c r="C71" s="877"/>
      <c r="D71" s="880"/>
      <c r="E71" s="747">
        <v>4</v>
      </c>
      <c r="F71" s="748"/>
      <c r="G71" s="826" t="str">
        <f>IF(ISBLANK(F71),"-",(F71/$D$50*$D$47*$B$68)*($B$57/$D$68))</f>
        <v>-</v>
      </c>
      <c r="H71" s="829" t="str">
        <f t="shared" si="0"/>
        <v>-</v>
      </c>
    </row>
    <row r="72" spans="1:8" ht="26.25" customHeight="1" x14ac:dyDescent="0.4">
      <c r="A72" s="751"/>
      <c r="B72" s="751"/>
      <c r="C72" s="751"/>
      <c r="D72" s="751"/>
      <c r="E72" s="751"/>
      <c r="F72" s="753" t="s">
        <v>70</v>
      </c>
      <c r="G72" s="815">
        <f>AVERAGE(G60:G71)</f>
        <v>28.203917742692855</v>
      </c>
      <c r="H72" s="830">
        <f>AVERAGE(H60:H71)</f>
        <v>94.013059142309501</v>
      </c>
    </row>
    <row r="73" spans="1:8" ht="26.25" customHeight="1" x14ac:dyDescent="0.4">
      <c r="C73" s="751"/>
      <c r="D73" s="751"/>
      <c r="E73" s="751"/>
      <c r="F73" s="754" t="s">
        <v>83</v>
      </c>
      <c r="G73" s="814">
        <f>STDEV(G60:G71)/G72</f>
        <v>8.054409147662981E-3</v>
      </c>
      <c r="H73" s="814">
        <f>STDEV(H60:H71)/H72</f>
        <v>8.0544091476629741E-3</v>
      </c>
    </row>
    <row r="74" spans="1:8" ht="27" customHeight="1" x14ac:dyDescent="0.4">
      <c r="A74" s="751"/>
      <c r="B74" s="751"/>
      <c r="C74" s="752"/>
      <c r="D74" s="752"/>
      <c r="E74" s="755"/>
      <c r="F74" s="756" t="s">
        <v>20</v>
      </c>
      <c r="G74" s="757">
        <f>COUNT(G60:G71)</f>
        <v>9</v>
      </c>
      <c r="H74" s="757">
        <f>COUNT(H60:H71)</f>
        <v>9</v>
      </c>
    </row>
    <row r="76" spans="1:8" ht="26.25" customHeight="1" x14ac:dyDescent="0.4">
      <c r="A76" s="669" t="s">
        <v>105</v>
      </c>
      <c r="B76" s="758" t="s">
        <v>106</v>
      </c>
      <c r="C76" s="862" t="str">
        <f>B26</f>
        <v>Caffeine</v>
      </c>
      <c r="D76" s="862"/>
      <c r="E76" s="759" t="s">
        <v>107</v>
      </c>
      <c r="F76" s="759"/>
      <c r="G76" s="760">
        <f>H72</f>
        <v>94.013059142309501</v>
      </c>
      <c r="H76" s="761"/>
    </row>
    <row r="77" spans="1:8" ht="18.75" x14ac:dyDescent="0.3">
      <c r="A77" s="668" t="s">
        <v>108</v>
      </c>
      <c r="B77" s="668" t="s">
        <v>109</v>
      </c>
    </row>
    <row r="78" spans="1:8" ht="18.75" x14ac:dyDescent="0.3">
      <c r="A78" s="668"/>
      <c r="B78" s="668"/>
    </row>
    <row r="79" spans="1:8" ht="26.25" customHeight="1" x14ac:dyDescent="0.4">
      <c r="A79" s="669" t="s">
        <v>4</v>
      </c>
      <c r="B79" s="896" t="str">
        <f>B26</f>
        <v>Caffeine</v>
      </c>
      <c r="C79" s="896"/>
    </row>
    <row r="80" spans="1:8" ht="26.25" customHeight="1" x14ac:dyDescent="0.4">
      <c r="A80" s="670" t="s">
        <v>47</v>
      </c>
      <c r="B80" s="896" t="str">
        <f>B27</f>
        <v>C55 1</v>
      </c>
      <c r="C80" s="896"/>
    </row>
    <row r="81" spans="1:12" ht="27" customHeight="1" x14ac:dyDescent="0.4">
      <c r="A81" s="670" t="s">
        <v>6</v>
      </c>
      <c r="B81" s="762">
        <f>B28</f>
        <v>99.3</v>
      </c>
    </row>
    <row r="82" spans="1:12" s="14" customFormat="1" ht="27" customHeight="1" x14ac:dyDescent="0.4">
      <c r="A82" s="670" t="s">
        <v>48</v>
      </c>
      <c r="B82" s="672">
        <v>0</v>
      </c>
      <c r="C82" s="864" t="s">
        <v>49</v>
      </c>
      <c r="D82" s="865"/>
      <c r="E82" s="865"/>
      <c r="F82" s="865"/>
      <c r="G82" s="866"/>
      <c r="I82" s="673"/>
      <c r="J82" s="673"/>
      <c r="K82" s="673"/>
      <c r="L82" s="673"/>
    </row>
    <row r="83" spans="1:12" s="14" customFormat="1" ht="19.5" customHeight="1" x14ac:dyDescent="0.3">
      <c r="A83" s="670" t="s">
        <v>50</v>
      </c>
      <c r="B83" s="674">
        <f>B81-B82</f>
        <v>99.3</v>
      </c>
      <c r="C83" s="675"/>
      <c r="D83" s="675"/>
      <c r="E83" s="675"/>
      <c r="F83" s="675"/>
      <c r="G83" s="676"/>
      <c r="I83" s="673"/>
      <c r="J83" s="673"/>
      <c r="K83" s="673"/>
      <c r="L83" s="673"/>
    </row>
    <row r="84" spans="1:12" s="14" customFormat="1" ht="27" customHeight="1" x14ac:dyDescent="0.4">
      <c r="A84" s="670" t="s">
        <v>51</v>
      </c>
      <c r="B84" s="677">
        <v>154.46</v>
      </c>
      <c r="C84" s="867" t="s">
        <v>110</v>
      </c>
      <c r="D84" s="868"/>
      <c r="E84" s="868"/>
      <c r="F84" s="868"/>
      <c r="G84" s="868"/>
      <c r="H84" s="869"/>
      <c r="I84" s="673"/>
      <c r="J84" s="673"/>
      <c r="K84" s="673"/>
      <c r="L84" s="673"/>
    </row>
    <row r="85" spans="1:12" s="14" customFormat="1" ht="27" customHeight="1" x14ac:dyDescent="0.4">
      <c r="A85" s="670" t="s">
        <v>53</v>
      </c>
      <c r="B85" s="677">
        <v>165.23</v>
      </c>
      <c r="C85" s="867" t="s">
        <v>111</v>
      </c>
      <c r="D85" s="868"/>
      <c r="E85" s="868"/>
      <c r="F85" s="868"/>
      <c r="G85" s="868"/>
      <c r="H85" s="869"/>
      <c r="I85" s="673"/>
      <c r="J85" s="673"/>
      <c r="K85" s="673"/>
      <c r="L85" s="673"/>
    </row>
    <row r="86" spans="1:12" s="14" customFormat="1" ht="18.75" x14ac:dyDescent="0.3">
      <c r="A86" s="670"/>
      <c r="B86" s="680"/>
      <c r="C86" s="681"/>
      <c r="D86" s="681"/>
      <c r="E86" s="681"/>
      <c r="F86" s="681"/>
      <c r="G86" s="681"/>
      <c r="H86" s="681"/>
      <c r="I86" s="673"/>
      <c r="J86" s="673"/>
      <c r="K86" s="673"/>
      <c r="L86" s="673"/>
    </row>
    <row r="87" spans="1:12" s="14" customFormat="1" ht="18.75" x14ac:dyDescent="0.3">
      <c r="A87" s="670" t="s">
        <v>55</v>
      </c>
      <c r="B87" s="682">
        <f>B84/B85</f>
        <v>0.93481813230042976</v>
      </c>
      <c r="C87" s="660" t="s">
        <v>56</v>
      </c>
      <c r="D87" s="660"/>
      <c r="E87" s="660"/>
      <c r="F87" s="660"/>
      <c r="G87" s="660"/>
      <c r="I87" s="673"/>
      <c r="J87" s="673"/>
      <c r="K87" s="673"/>
      <c r="L87" s="673"/>
    </row>
    <row r="88" spans="1:12" ht="19.5" customHeight="1" x14ac:dyDescent="0.3">
      <c r="A88" s="668"/>
      <c r="B88" s="668"/>
    </row>
    <row r="89" spans="1:12" ht="27" customHeight="1" x14ac:dyDescent="0.4">
      <c r="A89" s="683" t="s">
        <v>57</v>
      </c>
      <c r="B89" s="684">
        <v>25</v>
      </c>
      <c r="D89" s="763" t="s">
        <v>58</v>
      </c>
      <c r="E89" s="764"/>
      <c r="F89" s="870" t="s">
        <v>59</v>
      </c>
      <c r="G89" s="871"/>
    </row>
    <row r="90" spans="1:12" ht="27" customHeight="1" x14ac:dyDescent="0.4">
      <c r="A90" s="685" t="s">
        <v>60</v>
      </c>
      <c r="B90" s="686">
        <v>4</v>
      </c>
      <c r="C90" s="765" t="s">
        <v>61</v>
      </c>
      <c r="D90" s="688" t="s">
        <v>62</v>
      </c>
      <c r="E90" s="689" t="s">
        <v>63</v>
      </c>
      <c r="F90" s="688" t="s">
        <v>62</v>
      </c>
      <c r="G90" s="766" t="s">
        <v>63</v>
      </c>
      <c r="I90" s="691" t="s">
        <v>64</v>
      </c>
    </row>
    <row r="91" spans="1:12" ht="26.25" customHeight="1" x14ac:dyDescent="0.4">
      <c r="A91" s="685" t="s">
        <v>65</v>
      </c>
      <c r="B91" s="686">
        <v>200</v>
      </c>
      <c r="C91" s="767">
        <v>1</v>
      </c>
      <c r="D91" s="693">
        <v>52522362</v>
      </c>
      <c r="E91" s="694">
        <f>IF(ISBLANK(D91),"-",$D$101/$D$98*D91)</f>
        <v>9385058.7524165008</v>
      </c>
      <c r="F91" s="693">
        <v>53289728</v>
      </c>
      <c r="G91" s="695">
        <f>IF(ISBLANK(F91),"-",$D$101/$F$98*F91)</f>
        <v>9278397.46325198</v>
      </c>
      <c r="I91" s="696"/>
    </row>
    <row r="92" spans="1:12" ht="26.25" customHeight="1" x14ac:dyDescent="0.4">
      <c r="A92" s="685" t="s">
        <v>66</v>
      </c>
      <c r="B92" s="686">
        <v>1</v>
      </c>
      <c r="C92" s="752">
        <v>2</v>
      </c>
      <c r="D92" s="698">
        <v>52553125</v>
      </c>
      <c r="E92" s="699">
        <f>IF(ISBLANK(D92),"-",$D$101/$D$98*D92)</f>
        <v>9390555.697934689</v>
      </c>
      <c r="F92" s="698">
        <v>53121237</v>
      </c>
      <c r="G92" s="700">
        <f>IF(ISBLANK(F92),"-",$D$101/$F$98*F92)</f>
        <v>9249061.1065908838</v>
      </c>
      <c r="I92" s="872">
        <f>ABS((F96/D96*D95)-F95)/D95</f>
        <v>9.1663928758481394E-3</v>
      </c>
    </row>
    <row r="93" spans="1:12" ht="26.25" customHeight="1" x14ac:dyDescent="0.4">
      <c r="A93" s="685" t="s">
        <v>67</v>
      </c>
      <c r="B93" s="686">
        <v>1</v>
      </c>
      <c r="C93" s="752">
        <v>3</v>
      </c>
      <c r="D93" s="698">
        <v>52565096</v>
      </c>
      <c r="E93" s="699">
        <f>IF(ISBLANK(D93),"-",$D$101/$D$98*D93)</f>
        <v>9392694.7589754928</v>
      </c>
      <c r="F93" s="698">
        <v>54057613</v>
      </c>
      <c r="G93" s="700">
        <f>IF(ISBLANK(F93),"-",$D$101/$F$98*F93)</f>
        <v>9412095.6918499805</v>
      </c>
      <c r="I93" s="872"/>
    </row>
    <row r="94" spans="1:12" ht="27" customHeight="1" x14ac:dyDescent="0.4">
      <c r="A94" s="685" t="s">
        <v>68</v>
      </c>
      <c r="B94" s="686">
        <v>1</v>
      </c>
      <c r="C94" s="768">
        <v>4</v>
      </c>
      <c r="D94" s="703">
        <v>52522362</v>
      </c>
      <c r="E94" s="704">
        <f>IF(ISBLANK(D94),"-",$D$101/$D$98*D94)</f>
        <v>9385058.7524165008</v>
      </c>
      <c r="F94" s="769">
        <v>53289728</v>
      </c>
      <c r="G94" s="705">
        <f>IF(ISBLANK(F94),"-",$D$101/$F$98*F94)</f>
        <v>9278397.46325198</v>
      </c>
      <c r="I94" s="706"/>
    </row>
    <row r="95" spans="1:12" ht="27" customHeight="1" x14ac:dyDescent="0.4">
      <c r="A95" s="685" t="s">
        <v>69</v>
      </c>
      <c r="B95" s="686">
        <v>1</v>
      </c>
      <c r="C95" s="770" t="s">
        <v>70</v>
      </c>
      <c r="D95" s="771">
        <f>AVERAGE(D91:D94)</f>
        <v>52540736.25</v>
      </c>
      <c r="E95" s="709">
        <f>AVERAGE(E91:E94)</f>
        <v>9388341.9904357959</v>
      </c>
      <c r="F95" s="772">
        <f>AVERAGE(F91:F94)</f>
        <v>53439576.5</v>
      </c>
      <c r="G95" s="773">
        <f>AVERAGE(G91:G94)</f>
        <v>9304487.9312362056</v>
      </c>
    </row>
    <row r="96" spans="1:12" ht="26.25" customHeight="1" x14ac:dyDescent="0.4">
      <c r="A96" s="685" t="s">
        <v>71</v>
      </c>
      <c r="B96" s="671">
        <v>1</v>
      </c>
      <c r="C96" s="774" t="s">
        <v>112</v>
      </c>
      <c r="D96" s="775">
        <v>25.12</v>
      </c>
      <c r="E96" s="701"/>
      <c r="F96" s="713">
        <v>25.78</v>
      </c>
    </row>
    <row r="97" spans="1:10" ht="26.25" customHeight="1" x14ac:dyDescent="0.4">
      <c r="A97" s="685" t="s">
        <v>73</v>
      </c>
      <c r="B97" s="671">
        <v>1</v>
      </c>
      <c r="C97" s="776" t="s">
        <v>113</v>
      </c>
      <c r="D97" s="777">
        <f>D96*$B$87</f>
        <v>23.482631483386797</v>
      </c>
      <c r="E97" s="716"/>
      <c r="F97" s="715">
        <f>F96*$B$87</f>
        <v>24.09961145070508</v>
      </c>
    </row>
    <row r="98" spans="1:10" ht="19.5" customHeight="1" x14ac:dyDescent="0.3">
      <c r="A98" s="685" t="s">
        <v>75</v>
      </c>
      <c r="B98" s="778">
        <f>(B97/B96)*(B95/B94)*(B93/B92)*(B91/B90)*B89</f>
        <v>1250</v>
      </c>
      <c r="C98" s="776" t="s">
        <v>114</v>
      </c>
      <c r="D98" s="779">
        <f>D97*$B$83/100</f>
        <v>23.318253063003091</v>
      </c>
      <c r="E98" s="719"/>
      <c r="F98" s="718">
        <f>F97*$B$83/100</f>
        <v>23.930914170550146</v>
      </c>
    </row>
    <row r="99" spans="1:10" ht="19.5" customHeight="1" x14ac:dyDescent="0.3">
      <c r="A99" s="858" t="s">
        <v>77</v>
      </c>
      <c r="B99" s="873"/>
      <c r="C99" s="776" t="s">
        <v>115</v>
      </c>
      <c r="D99" s="780">
        <f>D98/$B$98</f>
        <v>1.8654602450402472E-2</v>
      </c>
      <c r="E99" s="719"/>
      <c r="F99" s="722">
        <f>F98/$B$98</f>
        <v>1.9144731336440117E-2</v>
      </c>
      <c r="G99" s="781"/>
      <c r="H99" s="711"/>
    </row>
    <row r="100" spans="1:10" ht="19.5" customHeight="1" x14ac:dyDescent="0.3">
      <c r="A100" s="860"/>
      <c r="B100" s="874"/>
      <c r="C100" s="776" t="s">
        <v>79</v>
      </c>
      <c r="D100" s="782">
        <f>$B$56/$B$116</f>
        <v>3.3333333333333335E-3</v>
      </c>
      <c r="F100" s="727"/>
      <c r="G100" s="783"/>
      <c r="H100" s="711"/>
    </row>
    <row r="101" spans="1:10" ht="18.75" x14ac:dyDescent="0.3">
      <c r="C101" s="776" t="s">
        <v>80</v>
      </c>
      <c r="D101" s="777">
        <f>D100*$B$98</f>
        <v>4.166666666666667</v>
      </c>
      <c r="F101" s="727"/>
      <c r="G101" s="781"/>
      <c r="H101" s="711"/>
    </row>
    <row r="102" spans="1:10" ht="19.5" customHeight="1" x14ac:dyDescent="0.3">
      <c r="C102" s="784" t="s">
        <v>81</v>
      </c>
      <c r="D102" s="785">
        <f>D101/B34</f>
        <v>4.166666666666667</v>
      </c>
      <c r="F102" s="731"/>
      <c r="G102" s="781"/>
      <c r="H102" s="711"/>
      <c r="J102" s="786"/>
    </row>
    <row r="103" spans="1:10" ht="18.75" x14ac:dyDescent="0.3">
      <c r="C103" s="787" t="s">
        <v>116</v>
      </c>
      <c r="D103" s="788">
        <f>AVERAGE(E91:E94,G91:G94)</f>
        <v>9346414.9608360007</v>
      </c>
      <c r="F103" s="731"/>
      <c r="G103" s="789"/>
      <c r="H103" s="711"/>
      <c r="J103" s="790"/>
    </row>
    <row r="104" spans="1:10" ht="18.75" x14ac:dyDescent="0.3">
      <c r="C104" s="754" t="s">
        <v>83</v>
      </c>
      <c r="D104" s="791">
        <f>STDEV(E91:E94,G91:G94)/D103</f>
        <v>7.0184870796218476E-3</v>
      </c>
      <c r="F104" s="731"/>
      <c r="G104" s="781"/>
      <c r="H104" s="711"/>
      <c r="J104" s="790"/>
    </row>
    <row r="105" spans="1:10" ht="19.5" customHeight="1" x14ac:dyDescent="0.3">
      <c r="C105" s="756" t="s">
        <v>20</v>
      </c>
      <c r="D105" s="792">
        <f>COUNT(E91:E94,G91:G94)</f>
        <v>8</v>
      </c>
      <c r="F105" s="731"/>
      <c r="G105" s="781"/>
      <c r="H105" s="711"/>
      <c r="J105" s="790"/>
    </row>
    <row r="106" spans="1:10" ht="19.5" customHeight="1" x14ac:dyDescent="0.3">
      <c r="A106" s="735"/>
      <c r="B106" s="735"/>
      <c r="C106" s="735"/>
      <c r="D106" s="735"/>
      <c r="E106" s="735"/>
    </row>
    <row r="107" spans="1:10" ht="27" customHeight="1" x14ac:dyDescent="0.4">
      <c r="A107" s="683" t="s">
        <v>117</v>
      </c>
      <c r="B107" s="684">
        <v>900</v>
      </c>
      <c r="C107" s="831" t="s">
        <v>118</v>
      </c>
      <c r="D107" s="831" t="s">
        <v>62</v>
      </c>
      <c r="E107" s="831" t="s">
        <v>119</v>
      </c>
      <c r="F107" s="793" t="s">
        <v>120</v>
      </c>
    </row>
    <row r="108" spans="1:10" ht="26.25" customHeight="1" x14ac:dyDescent="0.4">
      <c r="A108" s="685" t="s">
        <v>121</v>
      </c>
      <c r="B108" s="686">
        <v>5</v>
      </c>
      <c r="C108" s="836">
        <v>1</v>
      </c>
      <c r="D108" s="837">
        <v>87619284</v>
      </c>
      <c r="E108" s="811">
        <f t="shared" ref="E108:E113" si="1">IF(ISBLANK(D108),"-",D108/$D$103*$D$100*$B$116)</f>
        <v>281.2392271276691</v>
      </c>
      <c r="F108" s="838">
        <f t="shared" ref="F108:F113" si="2">IF(ISBLANK(D108), "-", (E108/$B$56)*100)</f>
        <v>937.46409042556365</v>
      </c>
    </row>
    <row r="109" spans="1:10" ht="26.25" customHeight="1" x14ac:dyDescent="0.4">
      <c r="A109" s="685" t="s">
        <v>94</v>
      </c>
      <c r="B109" s="686">
        <v>50</v>
      </c>
      <c r="C109" s="832">
        <v>2</v>
      </c>
      <c r="D109" s="834">
        <v>87231228</v>
      </c>
      <c r="E109" s="812">
        <f t="shared" si="1"/>
        <v>279.99365007499358</v>
      </c>
      <c r="F109" s="839">
        <f t="shared" si="2"/>
        <v>933.3121669166452</v>
      </c>
    </row>
    <row r="110" spans="1:10" ht="26.25" customHeight="1" x14ac:dyDescent="0.4">
      <c r="A110" s="685" t="s">
        <v>95</v>
      </c>
      <c r="B110" s="686">
        <v>1</v>
      </c>
      <c r="C110" s="832">
        <v>3</v>
      </c>
      <c r="D110" s="834">
        <v>87224653</v>
      </c>
      <c r="E110" s="812">
        <f t="shared" si="1"/>
        <v>279.97254572633943</v>
      </c>
      <c r="F110" s="839">
        <f t="shared" si="2"/>
        <v>933.24181908779804</v>
      </c>
    </row>
    <row r="111" spans="1:10" ht="26.25" customHeight="1" x14ac:dyDescent="0.4">
      <c r="A111" s="685" t="s">
        <v>96</v>
      </c>
      <c r="B111" s="686">
        <v>1</v>
      </c>
      <c r="C111" s="832">
        <v>4</v>
      </c>
      <c r="D111" s="834">
        <v>86491264</v>
      </c>
      <c r="E111" s="812">
        <f t="shared" si="1"/>
        <v>277.61852334533103</v>
      </c>
      <c r="F111" s="839">
        <f t="shared" si="2"/>
        <v>925.39507781777013</v>
      </c>
    </row>
    <row r="112" spans="1:10" ht="26.25" customHeight="1" x14ac:dyDescent="0.4">
      <c r="A112" s="685" t="s">
        <v>97</v>
      </c>
      <c r="B112" s="686">
        <v>1</v>
      </c>
      <c r="C112" s="832">
        <v>5</v>
      </c>
      <c r="D112" s="834">
        <v>88080316</v>
      </c>
      <c r="E112" s="812">
        <f t="shared" si="1"/>
        <v>282.71904158679115</v>
      </c>
      <c r="F112" s="839">
        <f t="shared" si="2"/>
        <v>942.39680528930376</v>
      </c>
    </row>
    <row r="113" spans="1:10" ht="27" customHeight="1" x14ac:dyDescent="0.4">
      <c r="A113" s="685" t="s">
        <v>99</v>
      </c>
      <c r="B113" s="686">
        <v>1</v>
      </c>
      <c r="C113" s="833">
        <v>6</v>
      </c>
      <c r="D113" s="835">
        <v>87568449</v>
      </c>
      <c r="E113" s="813">
        <f t="shared" si="1"/>
        <v>281.07605761225699</v>
      </c>
      <c r="F113" s="840">
        <f t="shared" si="2"/>
        <v>936.92019204085659</v>
      </c>
    </row>
    <row r="114" spans="1:10" ht="27" customHeight="1" x14ac:dyDescent="0.4">
      <c r="A114" s="685" t="s">
        <v>100</v>
      </c>
      <c r="B114" s="686">
        <v>1</v>
      </c>
      <c r="C114" s="794"/>
      <c r="D114" s="752"/>
      <c r="E114" s="659"/>
      <c r="F114" s="841"/>
    </row>
    <row r="115" spans="1:10" ht="26.25" customHeight="1" x14ac:dyDescent="0.4">
      <c r="A115" s="685" t="s">
        <v>101</v>
      </c>
      <c r="B115" s="686">
        <v>1</v>
      </c>
      <c r="C115" s="794"/>
      <c r="D115" s="818" t="s">
        <v>70</v>
      </c>
      <c r="E115" s="820">
        <f>AVERAGE(E108:E113)</f>
        <v>280.43650757889691</v>
      </c>
      <c r="F115" s="842">
        <f>AVERAGE(F108:F113)</f>
        <v>934.78835859632284</v>
      </c>
    </row>
    <row r="116" spans="1:10" ht="27" customHeight="1" x14ac:dyDescent="0.4">
      <c r="A116" s="685" t="s">
        <v>102</v>
      </c>
      <c r="B116" s="717">
        <f>(B115/B114)*(B113/B112)*(B111/B110)*(B109/B108)*B107</f>
        <v>9000</v>
      </c>
      <c r="C116" s="795"/>
      <c r="D116" s="819" t="s">
        <v>83</v>
      </c>
      <c r="E116" s="817">
        <f>STDEV(E108:E113)/E115</f>
        <v>6.096649007891225E-3</v>
      </c>
      <c r="F116" s="796">
        <f>STDEV(F108:F113)/F115</f>
        <v>6.0966490078911972E-3</v>
      </c>
      <c r="I116" s="659"/>
    </row>
    <row r="117" spans="1:10" ht="27" customHeight="1" x14ac:dyDescent="0.4">
      <c r="A117" s="858" t="s">
        <v>77</v>
      </c>
      <c r="B117" s="859"/>
      <c r="C117" s="797"/>
      <c r="D117" s="756" t="s">
        <v>20</v>
      </c>
      <c r="E117" s="822">
        <f>COUNT(E108:E113)</f>
        <v>6</v>
      </c>
      <c r="F117" s="823">
        <f>COUNT(F108:F113)</f>
        <v>6</v>
      </c>
      <c r="I117" s="659"/>
      <c r="J117" s="790"/>
    </row>
    <row r="118" spans="1:10" ht="26.25" customHeight="1" x14ac:dyDescent="0.3">
      <c r="A118" s="860"/>
      <c r="B118" s="861"/>
      <c r="C118" s="659"/>
      <c r="D118" s="821"/>
      <c r="E118" s="886" t="s">
        <v>122</v>
      </c>
      <c r="F118" s="887"/>
      <c r="G118" s="659"/>
      <c r="H118" s="659"/>
      <c r="I118" s="659"/>
    </row>
    <row r="119" spans="1:10" ht="25.5" customHeight="1" x14ac:dyDescent="0.4">
      <c r="A119" s="806"/>
      <c r="B119" s="681"/>
      <c r="C119" s="659"/>
      <c r="D119" s="819" t="s">
        <v>123</v>
      </c>
      <c r="E119" s="824">
        <f>MIN(E108:E113)</f>
        <v>277.61852334533103</v>
      </c>
      <c r="F119" s="843">
        <f>MIN(F108:F113)</f>
        <v>925.39507781777013</v>
      </c>
      <c r="G119" s="659"/>
      <c r="H119" s="659"/>
      <c r="I119" s="659"/>
    </row>
    <row r="120" spans="1:10" ht="24" customHeight="1" x14ac:dyDescent="0.4">
      <c r="A120" s="806"/>
      <c r="B120" s="681"/>
      <c r="C120" s="659"/>
      <c r="D120" s="728" t="s">
        <v>124</v>
      </c>
      <c r="E120" s="825">
        <f>MAX(E108:E113)</f>
        <v>282.71904158679115</v>
      </c>
      <c r="F120" s="844">
        <f>MAX(F108:F113)</f>
        <v>942.39680528930376</v>
      </c>
      <c r="G120" s="659"/>
      <c r="H120" s="659"/>
      <c r="I120" s="659"/>
    </row>
    <row r="121" spans="1:10" ht="27" customHeight="1" x14ac:dyDescent="0.3">
      <c r="A121" s="806"/>
      <c r="B121" s="681"/>
      <c r="C121" s="659"/>
      <c r="D121" s="659"/>
      <c r="E121" s="659"/>
      <c r="F121" s="752"/>
      <c r="G121" s="659"/>
      <c r="H121" s="659"/>
      <c r="I121" s="659"/>
    </row>
    <row r="122" spans="1:10" ht="25.5" customHeight="1" x14ac:dyDescent="0.3">
      <c r="A122" s="806"/>
      <c r="B122" s="681"/>
      <c r="C122" s="659"/>
      <c r="D122" s="659"/>
      <c r="E122" s="659"/>
      <c r="F122" s="752"/>
      <c r="G122" s="659"/>
      <c r="H122" s="659"/>
      <c r="I122" s="659"/>
    </row>
    <row r="123" spans="1:10" ht="18.75" x14ac:dyDescent="0.3">
      <c r="A123" s="806"/>
      <c r="B123" s="681"/>
      <c r="C123" s="659"/>
      <c r="D123" s="659"/>
      <c r="E123" s="659"/>
      <c r="F123" s="752"/>
      <c r="G123" s="659"/>
      <c r="H123" s="659"/>
      <c r="I123" s="659"/>
    </row>
    <row r="124" spans="1:10" ht="45.75" customHeight="1" x14ac:dyDescent="0.65">
      <c r="A124" s="669" t="s">
        <v>105</v>
      </c>
      <c r="B124" s="758" t="s">
        <v>125</v>
      </c>
      <c r="C124" s="862" t="str">
        <f>B26</f>
        <v>Caffeine</v>
      </c>
      <c r="D124" s="862"/>
      <c r="E124" s="759" t="s">
        <v>126</v>
      </c>
      <c r="F124" s="759"/>
      <c r="G124" s="845">
        <f>F115</f>
        <v>934.78835859632284</v>
      </c>
      <c r="H124" s="659"/>
      <c r="I124" s="659"/>
    </row>
    <row r="125" spans="1:10" ht="45.75" customHeight="1" x14ac:dyDescent="0.65">
      <c r="A125" s="669"/>
      <c r="B125" s="758" t="s">
        <v>127</v>
      </c>
      <c r="C125" s="670" t="s">
        <v>128</v>
      </c>
      <c r="D125" s="845">
        <f>MIN(F108:F113)</f>
        <v>925.39507781777013</v>
      </c>
      <c r="E125" s="770" t="s">
        <v>129</v>
      </c>
      <c r="F125" s="845">
        <f>MAX(F108:F113)</f>
        <v>942.39680528930376</v>
      </c>
      <c r="G125" s="760"/>
      <c r="H125" s="659"/>
      <c r="I125" s="659"/>
    </row>
    <row r="126" spans="1:10" ht="19.5" customHeight="1" x14ac:dyDescent="0.3">
      <c r="A126" s="798"/>
      <c r="B126" s="798"/>
      <c r="C126" s="799"/>
      <c r="D126" s="799"/>
      <c r="E126" s="799"/>
      <c r="F126" s="799"/>
      <c r="G126" s="799"/>
      <c r="H126" s="799"/>
    </row>
    <row r="127" spans="1:10" ht="18.75" x14ac:dyDescent="0.3">
      <c r="B127" s="863" t="s">
        <v>25</v>
      </c>
      <c r="C127" s="863"/>
      <c r="E127" s="765" t="s">
        <v>26</v>
      </c>
      <c r="F127" s="800"/>
      <c r="G127" s="863" t="s">
        <v>27</v>
      </c>
      <c r="H127" s="863"/>
    </row>
    <row r="128" spans="1:10" ht="69.95" customHeight="1" x14ac:dyDescent="0.3">
      <c r="A128" s="801" t="s">
        <v>28</v>
      </c>
      <c r="B128" s="802"/>
      <c r="C128" s="802"/>
      <c r="E128" s="802"/>
      <c r="F128" s="659"/>
      <c r="G128" s="803"/>
      <c r="H128" s="803"/>
    </row>
    <row r="129" spans="1:9" ht="69.95" customHeight="1" x14ac:dyDescent="0.3">
      <c r="A129" s="801" t="s">
        <v>29</v>
      </c>
      <c r="B129" s="804"/>
      <c r="C129" s="804"/>
      <c r="E129" s="804"/>
      <c r="F129" s="659"/>
      <c r="G129" s="805"/>
      <c r="H129" s="805"/>
    </row>
    <row r="130" spans="1:9" ht="18.75" x14ac:dyDescent="0.3">
      <c r="A130" s="751"/>
      <c r="B130" s="751"/>
      <c r="C130" s="752"/>
      <c r="D130" s="752"/>
      <c r="E130" s="752"/>
      <c r="F130" s="755"/>
      <c r="G130" s="752"/>
      <c r="H130" s="752"/>
      <c r="I130" s="659"/>
    </row>
    <row r="131" spans="1:9" ht="18.75" x14ac:dyDescent="0.3">
      <c r="A131" s="751"/>
      <c r="B131" s="751"/>
      <c r="C131" s="752"/>
      <c r="D131" s="752"/>
      <c r="E131" s="752"/>
      <c r="F131" s="755"/>
      <c r="G131" s="752"/>
      <c r="H131" s="752"/>
      <c r="I131" s="659"/>
    </row>
    <row r="132" spans="1:9" ht="18.75" x14ac:dyDescent="0.3">
      <c r="A132" s="751"/>
      <c r="B132" s="751"/>
      <c r="C132" s="752"/>
      <c r="D132" s="752"/>
      <c r="E132" s="752"/>
      <c r="F132" s="755"/>
      <c r="G132" s="752"/>
      <c r="H132" s="752"/>
      <c r="I132" s="659"/>
    </row>
    <row r="133" spans="1:9" ht="18.75" x14ac:dyDescent="0.3">
      <c r="A133" s="751"/>
      <c r="B133" s="751"/>
      <c r="C133" s="752"/>
      <c r="D133" s="752"/>
      <c r="E133" s="752"/>
      <c r="F133" s="755"/>
      <c r="G133" s="752"/>
      <c r="H133" s="752"/>
      <c r="I133" s="659"/>
    </row>
    <row r="134" spans="1:9" ht="18.75" x14ac:dyDescent="0.3">
      <c r="A134" s="751"/>
      <c r="B134" s="751"/>
      <c r="C134" s="752"/>
      <c r="D134" s="752"/>
      <c r="E134" s="752"/>
      <c r="F134" s="755"/>
      <c r="G134" s="752"/>
      <c r="H134" s="752"/>
      <c r="I134" s="659"/>
    </row>
    <row r="135" spans="1:9" ht="18.75" x14ac:dyDescent="0.3">
      <c r="A135" s="751"/>
      <c r="B135" s="751"/>
      <c r="C135" s="752"/>
      <c r="D135" s="752"/>
      <c r="E135" s="752"/>
      <c r="F135" s="755"/>
      <c r="G135" s="752"/>
      <c r="H135" s="752"/>
      <c r="I135" s="659"/>
    </row>
    <row r="136" spans="1:9" ht="18.75" x14ac:dyDescent="0.3">
      <c r="A136" s="751"/>
      <c r="B136" s="751"/>
      <c r="C136" s="752"/>
      <c r="D136" s="752"/>
      <c r="E136" s="752"/>
      <c r="F136" s="755"/>
      <c r="G136" s="752"/>
      <c r="H136" s="752"/>
      <c r="I136" s="659"/>
    </row>
    <row r="137" spans="1:9" ht="18.75" x14ac:dyDescent="0.3">
      <c r="A137" s="751"/>
      <c r="B137" s="751"/>
      <c r="C137" s="752"/>
      <c r="D137" s="752"/>
      <c r="E137" s="752"/>
      <c r="F137" s="755"/>
      <c r="G137" s="752"/>
      <c r="H137" s="752"/>
      <c r="I137" s="659"/>
    </row>
    <row r="138" spans="1:9" ht="18.75" x14ac:dyDescent="0.3">
      <c r="A138" s="751"/>
      <c r="B138" s="751"/>
      <c r="C138" s="752"/>
      <c r="D138" s="752"/>
      <c r="E138" s="752"/>
      <c r="F138" s="755"/>
      <c r="G138" s="752"/>
      <c r="H138" s="752"/>
      <c r="I138" s="65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</vt:lpstr>
      <vt:lpstr>SST (2)</vt:lpstr>
      <vt:lpstr>Uniformity</vt:lpstr>
      <vt:lpstr>paracetamol </vt:lpstr>
      <vt:lpstr>phenylephrine hcl</vt:lpstr>
      <vt:lpstr>chlorpheniramine maleate</vt:lpstr>
      <vt:lpstr>caffeine anhydrous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2017-04-24T06:09:03Z</dcterms:modified>
</cp:coreProperties>
</file>