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8" r:id="rId1"/>
    <sheet name="Uniformity" sheetId="2" r:id="rId2"/>
    <sheet name="Pantoprazole " sheetId="7" r:id="rId3"/>
  </sheets>
  <definedNames>
    <definedName name="_xlnm.Print_Area" localSheetId="2">'Pantoprazole '!$A$1:$H$144</definedName>
    <definedName name="_xlnm.Print_Area" localSheetId="0">SST!$A$15:$G$61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B42" i="8" l="1"/>
  <c r="B21" i="8"/>
  <c r="B30" i="8"/>
  <c r="C30" i="8"/>
  <c r="D30" i="8"/>
  <c r="E30" i="8"/>
  <c r="B31" i="8"/>
  <c r="B32" i="8"/>
  <c r="B51" i="8"/>
  <c r="B52" i="8" s="1"/>
  <c r="C51" i="8"/>
  <c r="D51" i="8"/>
  <c r="E51" i="8"/>
  <c r="B53" i="8"/>
  <c r="C140" i="7"/>
  <c r="B136" i="7"/>
  <c r="D101" i="7" s="1"/>
  <c r="C123" i="7"/>
  <c r="B119" i="7"/>
  <c r="E116" i="7"/>
  <c r="F116" i="7" s="1"/>
  <c r="E115" i="7"/>
  <c r="F115" i="7" s="1"/>
  <c r="E114" i="7"/>
  <c r="F114" i="7" s="1"/>
  <c r="E113" i="7"/>
  <c r="F113" i="7" s="1"/>
  <c r="E112" i="7"/>
  <c r="F112" i="7" s="1"/>
  <c r="E111" i="7"/>
  <c r="F111" i="7" s="1"/>
  <c r="B99" i="7"/>
  <c r="F96" i="7"/>
  <c r="D96" i="7"/>
  <c r="G95" i="7"/>
  <c r="E95" i="7"/>
  <c r="B88" i="7"/>
  <c r="D98" i="7" s="1"/>
  <c r="B83" i="7"/>
  <c r="B84" i="7"/>
  <c r="C76" i="7"/>
  <c r="H71" i="7"/>
  <c r="G71" i="7"/>
  <c r="B68" i="7"/>
  <c r="H67" i="7"/>
  <c r="G67" i="7"/>
  <c r="H63" i="7"/>
  <c r="G63" i="7"/>
  <c r="H62" i="7"/>
  <c r="G62" i="7"/>
  <c r="H61" i="7"/>
  <c r="G61" i="7"/>
  <c r="H60" i="7"/>
  <c r="G60" i="7"/>
  <c r="C56" i="7"/>
  <c r="B55" i="7"/>
  <c r="B45" i="7"/>
  <c r="D48" i="7" s="1"/>
  <c r="F42" i="7"/>
  <c r="D42" i="7"/>
  <c r="G41" i="7"/>
  <c r="E41" i="7"/>
  <c r="B34" i="7"/>
  <c r="D44" i="7" s="1"/>
  <c r="B30" i="7"/>
  <c r="C49" i="2"/>
  <c r="C46" i="2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D102" i="7" l="1"/>
  <c r="D49" i="7"/>
  <c r="F120" i="7"/>
  <c r="D45" i="7"/>
  <c r="D99" i="7"/>
  <c r="D100" i="7" s="1"/>
  <c r="D50" i="2"/>
  <c r="B49" i="2"/>
  <c r="B57" i="7"/>
  <c r="B69" i="7" s="1"/>
  <c r="D49" i="2"/>
  <c r="C50" i="2"/>
  <c r="F44" i="7"/>
  <c r="F45" i="7" s="1"/>
  <c r="F98" i="7"/>
  <c r="F99" i="7" s="1"/>
  <c r="F100" i="7" s="1"/>
  <c r="F118" i="7"/>
  <c r="D103" i="7" l="1"/>
  <c r="E94" i="7"/>
  <c r="E92" i="7"/>
  <c r="G93" i="7"/>
  <c r="G94" i="7"/>
  <c r="E93" i="7"/>
  <c r="G92" i="7"/>
  <c r="F46" i="7"/>
  <c r="G40" i="7"/>
  <c r="G39" i="7"/>
  <c r="G38" i="7"/>
  <c r="G42" i="7" s="1"/>
  <c r="D46" i="7"/>
  <c r="E40" i="7"/>
  <c r="E38" i="7"/>
  <c r="E39" i="7"/>
  <c r="F119" i="7"/>
  <c r="G123" i="7"/>
  <c r="G96" i="7" l="1"/>
  <c r="D106" i="7"/>
  <c r="D104" i="7"/>
  <c r="E96" i="7"/>
  <c r="D52" i="7"/>
  <c r="E42" i="7"/>
  <c r="D50" i="7"/>
  <c r="D105" i="7" l="1"/>
  <c r="E131" i="7"/>
  <c r="F131" i="7" s="1"/>
  <c r="E130" i="7"/>
  <c r="F130" i="7" s="1"/>
  <c r="E133" i="7"/>
  <c r="F133" i="7" s="1"/>
  <c r="E129" i="7"/>
  <c r="F129" i="7" s="1"/>
  <c r="E132" i="7"/>
  <c r="F132" i="7" s="1"/>
  <c r="E128" i="7"/>
  <c r="F128" i="7" s="1"/>
  <c r="D51" i="7"/>
  <c r="G64" i="7"/>
  <c r="H64" i="7" s="1"/>
  <c r="G65" i="7"/>
  <c r="H65" i="7" s="1"/>
  <c r="G69" i="7"/>
  <c r="H69" i="7" s="1"/>
  <c r="G66" i="7"/>
  <c r="H66" i="7" s="1"/>
  <c r="G70" i="7"/>
  <c r="H70" i="7" s="1"/>
  <c r="G68" i="7"/>
  <c r="H68" i="7" s="1"/>
  <c r="F135" i="7" l="1"/>
  <c r="F137" i="7"/>
  <c r="H74" i="7"/>
  <c r="H72" i="7"/>
  <c r="G76" i="7" s="1"/>
  <c r="H73" i="7"/>
  <c r="F136" i="7" l="1"/>
  <c r="G140" i="7"/>
</calcChain>
</file>

<file path=xl/sharedStrings.xml><?xml version="1.0" encoding="utf-8"?>
<sst xmlns="http://schemas.openxmlformats.org/spreadsheetml/2006/main" count="255" uniqueCount="127">
  <si>
    <t>HPLC System Suitability Report</t>
  </si>
  <si>
    <t>Analysis Data</t>
  </si>
  <si>
    <t>Assay</t>
  </si>
  <si>
    <t>Sample(s)</t>
  </si>
  <si>
    <t>Reference Substance:</t>
  </si>
  <si>
    <t>PREZ -40 DR TABLETS</t>
  </si>
  <si>
    <t>% age Purity:</t>
  </si>
  <si>
    <t>NDQD201605934</t>
  </si>
  <si>
    <t>Weight (mg):</t>
  </si>
  <si>
    <t xml:space="preserve">Pantoprazole  </t>
  </si>
  <si>
    <t>Standard Conc (mg/mL):</t>
  </si>
  <si>
    <t>Each tablet contains Pantoprazole sodium 40mg</t>
  </si>
  <si>
    <t>2016-05-13 10:03:36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</si>
  <si>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</si>
  <si>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</si>
  <si>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</si>
  <si>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</si>
  <si>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</si>
  <si>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</si>
  <si>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</si>
  <si>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</si>
  <si>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</si>
  <si>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</si>
  <si>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</si>
  <si>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</si>
  <si>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</si>
  <si>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</si>
  <si>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</si>
  <si>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</si>
  <si>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</si>
  <si>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</si>
  <si>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</si>
  <si>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</si>
  <si>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</si>
  <si>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</si>
  <si>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</si>
  <si>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</si>
  <si>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</si>
  <si>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</si>
  <si>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</si>
  <si>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</si>
  <si>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</si>
  <si>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</si>
  <si>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</si>
  <si>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</si>
  <si>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</si>
  <si>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</si>
  <si>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</si>
  <si>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</si>
  <si>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</si>
  <si>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</si>
  <si>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</si>
  <si>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</si>
  <si>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</si>
  <si>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</si>
  <si>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</si>
  <si>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</si>
  <si>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</si>
  <si>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</si>
  <si>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</si>
  <si>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</si>
  <si>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</si>
  <si>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</si>
  <si>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</si>
  <si>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</si>
  <si>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</si>
  <si>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</si>
  <si>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</si>
  <si>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</si>
  <si>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</si>
  <si>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</si>
  <si>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</si>
  <si>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</si>
  <si>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</si>
  <si>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</si>
  <si>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</si>
  <si>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</si>
  <si>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</si>
  <si>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</si>
  <si>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</si>
  <si>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</si>
  <si>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</si>
  <si>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</si>
  <si>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</si>
  <si>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</si>
  <si>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</si>
  <si>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</si>
  <si>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</si>
  <si>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</si>
  <si>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</si>
  <si>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</si>
  <si>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</si>
  <si>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</si>
  <si>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</si>
  <si>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</si>
  <si>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</si>
  <si>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</si>
  <si>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</si>
  <si>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</si>
  <si>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</si>
  <si>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</si>
  <si>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Determination of Active Ingredient Dissolved</t>
  </si>
  <si>
    <t>Amt of RS (mg):</t>
  </si>
  <si>
    <t>Amt of RS as free base (mg):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</si>
  <si>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</si>
  <si>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</si>
  <si>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</si>
  <si>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</si>
  <si>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</si>
  <si>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</si>
  <si>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</si>
  <si>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</si>
  <si>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If correction for water content is NOT needed, enter 0</t>
  </si>
  <si>
    <t>Initial Standard dilution (mL):</t>
  </si>
  <si>
    <t>Desired Concetration (mg/mL):</t>
  </si>
  <si>
    <t>Initial Sample dilution (mL):</t>
  </si>
  <si>
    <t>Comment</t>
  </si>
  <si>
    <t>Analysis Data: Acid Stage</t>
  </si>
  <si>
    <t>Analysis Data: Buffer Stage</t>
  </si>
  <si>
    <t>P29-4</t>
  </si>
  <si>
    <t>Pantoprazole Sodium</t>
  </si>
  <si>
    <t>P11-1</t>
  </si>
  <si>
    <t>RUTTO KENNEDY</t>
  </si>
  <si>
    <t>Pantoprazole  Sodium Sesquihydrate</t>
  </si>
  <si>
    <t xml:space="preserve">      Pantoprazole  Sodium</t>
  </si>
  <si>
    <t>The Assymetry of all peaks is NMT 2.5</t>
  </si>
  <si>
    <t xml:space="preserve">                         Pantoprazole Na Sesquihydrate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</si>
</sst>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9" formatCode="dd\-mmm\-yy"/>
    <numFmt numFmtId="170" formatCode="0.0000\ &quot;mg&quot;"/>
    <numFmt numFmtId="171" formatCode="0.000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4" fillId="2" borderId="0"/>
  </cellStyleXfs>
  <cellXfs count="32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2" fontId="5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2" fillId="2" borderId="0" xfId="0" applyFont="1" applyFill="1"/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3" fillId="3" borderId="0" xfId="0" applyFont="1" applyFill="1" applyAlignment="1" applyProtection="1">
      <alignment horizontal="left" vertical="center"/>
      <protection locked="0"/>
    </xf>
    <xf numFmtId="169" fontId="13" fillId="3" borderId="0" xfId="0" applyNumberFormat="1" applyFont="1" applyFill="1" applyAlignment="1" applyProtection="1">
      <alignment horizontal="left" vertical="center"/>
      <protection locked="0"/>
    </xf>
    <xf numFmtId="169" fontId="11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3" fillId="3" borderId="0" xfId="0" applyFont="1" applyFill="1" applyAlignment="1" applyProtection="1">
      <alignment horizontal="center" vertical="center"/>
      <protection locked="0"/>
    </xf>
    <xf numFmtId="0" fontId="13" fillId="3" borderId="0" xfId="0" applyFont="1" applyFill="1" applyAlignment="1" applyProtection="1">
      <alignment horizontal="center" vertic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 vertic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 vertic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11" fillId="2" borderId="21" xfId="0" applyFont="1" applyFill="1" applyBorder="1" applyAlignment="1">
      <alignment horizontal="right" vertical="center"/>
    </xf>
    <xf numFmtId="0" fontId="13" fillId="3" borderId="22" xfId="0" applyFont="1" applyFill="1" applyBorder="1" applyAlignment="1" applyProtection="1">
      <alignment horizontal="center" vertical="center"/>
      <protection locked="0"/>
    </xf>
    <xf numFmtId="0" fontId="11" fillId="2" borderId="23" xfId="0" applyFont="1" applyFill="1" applyBorder="1" applyAlignment="1">
      <alignment horizontal="right" vertical="center"/>
    </xf>
    <xf numFmtId="0" fontId="13" fillId="3" borderId="24" xfId="0" applyFont="1" applyFill="1" applyBorder="1" applyAlignment="1" applyProtection="1">
      <alignment horizontal="center" vertical="center"/>
      <protection locked="0"/>
    </xf>
    <xf numFmtId="0" fontId="12" fillId="2" borderId="22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13" fillId="3" borderId="29" xfId="0" applyFont="1" applyFill="1" applyBorder="1" applyAlignment="1" applyProtection="1">
      <alignment horizontal="center" vertical="center"/>
      <protection locked="0"/>
    </xf>
    <xf numFmtId="171" fontId="11" fillId="2" borderId="26" xfId="0" applyNumberFormat="1" applyFont="1" applyFill="1" applyBorder="1" applyAlignment="1">
      <alignment horizontal="center" vertical="center"/>
    </xf>
    <xf numFmtId="171" fontId="11" fillId="2" borderId="30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3" fillId="3" borderId="23" xfId="0" applyFont="1" applyFill="1" applyBorder="1" applyAlignment="1" applyProtection="1">
      <alignment horizontal="center" vertical="center"/>
      <protection locked="0"/>
    </xf>
    <xf numFmtId="171" fontId="11" fillId="2" borderId="31" xfId="0" applyNumberFormat="1" applyFont="1" applyFill="1" applyBorder="1" applyAlignment="1">
      <alignment horizontal="center" vertical="center"/>
    </xf>
    <xf numFmtId="171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 vertical="center"/>
    </xf>
    <xf numFmtId="0" fontId="13" fillId="3" borderId="34" xfId="0" applyFont="1" applyFill="1" applyBorder="1" applyAlignment="1" applyProtection="1">
      <alignment horizontal="center" vertical="center"/>
      <protection locked="0"/>
    </xf>
    <xf numFmtId="171" fontId="11" fillId="2" borderId="35" xfId="0" applyNumberFormat="1" applyFont="1" applyFill="1" applyBorder="1" applyAlignment="1">
      <alignment horizontal="center" vertical="center"/>
    </xf>
    <xf numFmtId="171" fontId="11" fillId="2" borderId="36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right" vertical="center"/>
    </xf>
    <xf numFmtId="1" fontId="12" fillId="6" borderId="52" xfId="0" applyNumberFormat="1" applyFont="1" applyFill="1" applyBorder="1" applyAlignment="1">
      <alignment horizontal="center" vertical="center"/>
    </xf>
    <xf numFmtId="171" fontId="12" fillId="6" borderId="38" xfId="0" applyNumberFormat="1" applyFont="1" applyFill="1" applyBorder="1" applyAlignment="1">
      <alignment horizontal="center" vertical="center"/>
    </xf>
    <xf numFmtId="1" fontId="12" fillId="6" borderId="37" xfId="0" applyNumberFormat="1" applyFont="1" applyFill="1" applyBorder="1" applyAlignment="1">
      <alignment horizontal="center" vertical="center"/>
    </xf>
    <xf numFmtId="171" fontId="12" fillId="6" borderId="39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1" fillId="2" borderId="50" xfId="0" applyFont="1" applyFill="1" applyBorder="1" applyAlignment="1">
      <alignment horizontal="right" vertical="center"/>
    </xf>
    <xf numFmtId="2" fontId="13" fillId="3" borderId="51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>
      <alignment vertical="center"/>
    </xf>
    <xf numFmtId="0" fontId="13" fillId="3" borderId="16" xfId="0" applyFont="1" applyFill="1" applyBorder="1" applyAlignment="1" applyProtection="1">
      <alignment horizontal="center" vertical="center"/>
      <protection locked="0"/>
    </xf>
    <xf numFmtId="0" fontId="11" fillId="2" borderId="25" xfId="0" applyFont="1" applyFill="1" applyBorder="1" applyAlignment="1">
      <alignment horizontal="right" vertical="center"/>
    </xf>
    <xf numFmtId="2" fontId="11" fillId="6" borderId="27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2" fontId="11" fillId="6" borderId="41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2" fontId="11" fillId="7" borderId="27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2" fontId="11" fillId="7" borderId="41" xfId="0" applyNumberFormat="1" applyFont="1" applyFill="1" applyBorder="1" applyAlignment="1">
      <alignment horizontal="center" vertical="center"/>
    </xf>
    <xf numFmtId="2" fontId="11" fillId="6" borderId="17" xfId="0" applyNumberFormat="1" applyFont="1" applyFill="1" applyBorder="1" applyAlignment="1">
      <alignment horizontal="center" vertical="center"/>
    </xf>
    <xf numFmtId="0" fontId="13" fillId="3" borderId="27" xfId="0" applyFont="1" applyFill="1" applyBorder="1" applyAlignment="1" applyProtection="1">
      <alignment horizontal="center" vertical="center"/>
      <protection locked="0"/>
    </xf>
    <xf numFmtId="1" fontId="11" fillId="2" borderId="0" xfId="0" applyNumberFormat="1" applyFont="1" applyFill="1" applyAlignment="1">
      <alignment horizontal="center" vertical="center"/>
    </xf>
    <xf numFmtId="0" fontId="11" fillId="2" borderId="52" xfId="0" applyFont="1" applyFill="1" applyBorder="1" applyAlignment="1">
      <alignment horizontal="right" vertical="center"/>
    </xf>
    <xf numFmtId="2" fontId="11" fillId="7" borderId="30" xfId="0" applyNumberFormat="1" applyFont="1" applyFill="1" applyBorder="1" applyAlignment="1">
      <alignment horizontal="center" vertical="center"/>
    </xf>
    <xf numFmtId="171" fontId="11" fillId="2" borderId="0" xfId="0" applyNumberFormat="1" applyFont="1" applyFill="1" applyAlignment="1">
      <alignment horizontal="center" vertical="center"/>
    </xf>
    <xf numFmtId="0" fontId="11" fillId="2" borderId="16" xfId="0" applyFont="1" applyFill="1" applyBorder="1" applyAlignment="1">
      <alignment horizontal="right" vertical="center"/>
    </xf>
    <xf numFmtId="171" fontId="12" fillId="7" borderId="16" xfId="0" applyNumberFormat="1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right" vertical="center"/>
    </xf>
    <xf numFmtId="10" fontId="11" fillId="6" borderId="41" xfId="0" applyNumberFormat="1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right" vertical="center"/>
    </xf>
    <xf numFmtId="0" fontId="11" fillId="7" borderId="17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2" fontId="12" fillId="2" borderId="13" xfId="0" applyNumberFormat="1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3" fillId="3" borderId="21" xfId="0" applyFont="1" applyFill="1" applyBorder="1" applyAlignment="1" applyProtection="1">
      <alignment horizontal="center" vertical="center"/>
      <protection locked="0"/>
    </xf>
    <xf numFmtId="2" fontId="11" fillId="2" borderId="21" xfId="0" applyNumberFormat="1" applyFont="1" applyFill="1" applyBorder="1" applyAlignment="1">
      <alignment horizontal="center" vertic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2" fontId="11" fillId="2" borderId="2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3" fillId="3" borderId="42" xfId="0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>
      <alignment horizontal="center" vertical="center"/>
    </xf>
    <xf numFmtId="10" fontId="11" fillId="2" borderId="22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10" fontId="11" fillId="2" borderId="43" xfId="0" applyNumberFormat="1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right" vertic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4" xfId="0" applyFont="1" applyFill="1" applyBorder="1" applyAlignment="1">
      <alignment horizontal="right" vertical="center"/>
    </xf>
    <xf numFmtId="10" fontId="13" fillId="7" borderId="33" xfId="0" applyNumberFormat="1" applyFont="1" applyFill="1" applyBorder="1" applyAlignment="1">
      <alignment horizontal="center" vertical="center"/>
    </xf>
    <xf numFmtId="10" fontId="13" fillId="6" borderId="56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0" fontId="13" fillId="7" borderId="4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right" vertical="center"/>
    </xf>
    <xf numFmtId="0" fontId="12" fillId="2" borderId="46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1" fillId="2" borderId="47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1" fontId="13" fillId="3" borderId="34" xfId="0" applyNumberFormat="1" applyFont="1" applyFill="1" applyBorder="1" applyAlignment="1" applyProtection="1">
      <alignment horizontal="center" vertical="center"/>
      <protection locked="0"/>
    </xf>
    <xf numFmtId="1" fontId="12" fillId="6" borderId="48" xfId="0" applyNumberFormat="1" applyFont="1" applyFill="1" applyBorder="1" applyAlignment="1">
      <alignment horizontal="center" vertical="center"/>
    </xf>
    <xf numFmtId="1" fontId="12" fillId="6" borderId="49" xfId="0" applyNumberFormat="1" applyFont="1" applyFill="1" applyBorder="1" applyAlignment="1">
      <alignment horizontal="center" vertical="center"/>
    </xf>
    <xf numFmtId="1" fontId="12" fillId="6" borderId="15" xfId="0" applyNumberFormat="1" applyFont="1" applyFill="1" applyBorder="1" applyAlignment="1">
      <alignment horizontal="center" vertical="center"/>
    </xf>
    <xf numFmtId="0" fontId="13" fillId="3" borderId="51" xfId="0" applyFont="1" applyFill="1" applyBorder="1" applyAlignment="1" applyProtection="1">
      <alignment horizontal="center" vertical="center"/>
      <protection locked="0"/>
    </xf>
    <xf numFmtId="166" fontId="11" fillId="6" borderId="27" xfId="0" applyNumberFormat="1" applyFont="1" applyFill="1" applyBorder="1" applyAlignment="1">
      <alignment horizontal="center" vertical="center"/>
    </xf>
    <xf numFmtId="166" fontId="11" fillId="6" borderId="17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166" fontId="11" fillId="7" borderId="27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11" fillId="7" borderId="30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wrapText="1"/>
    </xf>
    <xf numFmtId="2" fontId="2" fillId="2" borderId="0" xfId="0" applyNumberFormat="1" applyFont="1" applyFill="1" applyAlignment="1">
      <alignment horizontal="center" vertic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2" fillId="2" borderId="46" xfId="0" applyFont="1" applyFill="1" applyBorder="1" applyAlignment="1">
      <alignment horizontal="center" vertical="center"/>
    </xf>
    <xf numFmtId="0" fontId="12" fillId="2" borderId="53" xfId="0" applyFont="1" applyFill="1" applyBorder="1" applyAlignment="1">
      <alignment horizontal="center" vertical="center"/>
    </xf>
    <xf numFmtId="0" fontId="12" fillId="2" borderId="54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/>
    </xf>
    <xf numFmtId="1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1" fillId="2" borderId="26" xfId="0" applyNumberFormat="1" applyFont="1" applyFill="1" applyBorder="1" applyAlignment="1">
      <alignment horizontal="center" vertical="center"/>
    </xf>
    <xf numFmtId="10" fontId="11" fillId="2" borderId="30" xfId="0" applyNumberFormat="1" applyFont="1" applyFill="1" applyBorder="1" applyAlignment="1">
      <alignment horizontal="center" vertical="center"/>
    </xf>
    <xf numFmtId="2" fontId="11" fillId="2" borderId="31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 vertical="center"/>
      <protection locked="0"/>
    </xf>
    <xf numFmtId="2" fontId="11" fillId="2" borderId="35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24" xfId="0" applyNumberFormat="1" applyFont="1" applyFill="1" applyBorder="1" applyAlignment="1">
      <alignment horizontal="center" vertical="center"/>
    </xf>
    <xf numFmtId="171" fontId="12" fillId="2" borderId="0" xfId="0" applyNumberFormat="1" applyFont="1" applyFill="1" applyAlignment="1">
      <alignment horizontal="center" vertical="center"/>
    </xf>
    <xf numFmtId="171" fontId="11" fillId="2" borderId="2" xfId="0" applyNumberFormat="1" applyFont="1" applyFill="1" applyBorder="1" applyAlignment="1">
      <alignment horizontal="right" vertical="center"/>
    </xf>
    <xf numFmtId="10" fontId="13" fillId="7" borderId="27" xfId="0" applyNumberFormat="1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10" fontId="13" fillId="6" borderId="27" xfId="0" applyNumberFormat="1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vertical="center"/>
    </xf>
    <xf numFmtId="0" fontId="11" fillId="2" borderId="58" xfId="0" applyFont="1" applyFill="1" applyBorder="1" applyAlignment="1">
      <alignment horizontal="center" vertical="center"/>
    </xf>
    <xf numFmtId="0" fontId="11" fillId="2" borderId="55" xfId="0" applyFont="1" applyFill="1" applyBorder="1" applyAlignment="1">
      <alignment horizontal="right" vertical="center"/>
    </xf>
    <xf numFmtId="0" fontId="13" fillId="7" borderId="17" xfId="0" applyFont="1" applyFill="1" applyBorder="1" applyAlignment="1">
      <alignment horizontal="center" vertical="center"/>
    </xf>
    <xf numFmtId="2" fontId="11" fillId="2" borderId="4" xfId="0" applyNumberFormat="1" applyFont="1" applyFill="1" applyBorder="1" applyAlignment="1">
      <alignment horizontal="center" vertical="center"/>
    </xf>
    <xf numFmtId="10" fontId="11" fillId="2" borderId="28" xfId="0" applyNumberFormat="1" applyFont="1" applyFill="1" applyBorder="1" applyAlignment="1">
      <alignment horizontal="center" vertical="center"/>
    </xf>
    <xf numFmtId="2" fontId="11" fillId="2" borderId="3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2" fontId="11" fillId="2" borderId="5" xfId="0" applyNumberFormat="1" applyFont="1" applyFill="1" applyBorder="1" applyAlignment="1">
      <alignment horizontal="center" vertical="center"/>
    </xf>
    <xf numFmtId="10" fontId="11" fillId="2" borderId="33" xfId="0" applyNumberFormat="1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right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59" xfId="0" applyFont="1" applyFill="1" applyBorder="1" applyAlignment="1">
      <alignment horizontal="right" vertic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 vertical="center"/>
    </xf>
    <xf numFmtId="0" fontId="11" fillId="2" borderId="7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166" fontId="12" fillId="2" borderId="0" xfId="0" applyNumberFormat="1" applyFont="1" applyFill="1" applyAlignment="1" applyProtection="1">
      <alignment horizontal="center" vertical="center"/>
      <protection locked="0"/>
    </xf>
    <xf numFmtId="165" fontId="13" fillId="2" borderId="0" xfId="0" applyNumberFormat="1" applyFont="1" applyFill="1" applyAlignment="1">
      <alignment horizontal="center" vertical="center"/>
    </xf>
    <xf numFmtId="2" fontId="14" fillId="2" borderId="43" xfId="0" applyNumberFormat="1" applyFont="1" applyFill="1" applyBorder="1" applyAlignment="1">
      <alignment horizontal="center" vertic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vertical="center"/>
      <protection locked="0"/>
    </xf>
    <xf numFmtId="0" fontId="12" fillId="2" borderId="46" xfId="0" applyFont="1" applyFill="1" applyBorder="1" applyAlignment="1">
      <alignment horizontal="center" vertical="center"/>
    </xf>
    <xf numFmtId="0" fontId="12" fillId="2" borderId="57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24" fillId="2" borderId="0" xfId="1" applyFill="1"/>
    <xf numFmtId="0" fontId="2" fillId="2" borderId="0" xfId="1" applyFont="1" applyFill="1"/>
    <xf numFmtId="0" fontId="2" fillId="2" borderId="11" xfId="1" applyFont="1" applyFill="1" applyBorder="1"/>
    <xf numFmtId="0" fontId="1" fillId="2" borderId="11" xfId="1" applyFont="1" applyFill="1" applyBorder="1"/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2" fillId="2" borderId="9" xfId="1" applyNumberFormat="1" applyFont="1" applyFill="1" applyBorder="1"/>
    <xf numFmtId="0" fontId="2" fillId="2" borderId="0" xfId="1" applyFont="1" applyFill="1" applyAlignment="1">
      <alignment horizontal="center"/>
    </xf>
    <xf numFmtId="0" fontId="2" fillId="2" borderId="9" xfId="1" applyFont="1" applyFill="1" applyBorder="1"/>
    <xf numFmtId="0" fontId="6" fillId="2" borderId="0" xfId="1" applyFont="1" applyFill="1" applyProtection="1">
      <protection locked="0"/>
    </xf>
    <xf numFmtId="0" fontId="6" fillId="2" borderId="0" xfId="1" applyFont="1" applyFill="1" applyAlignment="1" applyProtection="1">
      <alignment horizontal="left"/>
      <protection locked="0"/>
    </xf>
    <xf numFmtId="0" fontId="5" fillId="2" borderId="0" xfId="1" applyFont="1" applyFill="1"/>
    <xf numFmtId="0" fontId="6" fillId="2" borderId="0" xfId="1" applyFont="1" applyFill="1"/>
    <xf numFmtId="0" fontId="6" fillId="2" borderId="8" xfId="1" applyFont="1" applyFill="1" applyBorder="1"/>
    <xf numFmtId="0" fontId="6" fillId="2" borderId="7" xfId="1" applyFont="1" applyFill="1" applyBorder="1"/>
    <xf numFmtId="0" fontId="5" fillId="2" borderId="7" xfId="1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6" fillId="2" borderId="5" xfId="1" applyFont="1" applyFill="1" applyBorder="1"/>
    <xf numFmtId="0" fontId="6" fillId="2" borderId="6" xfId="1" applyFont="1" applyFill="1" applyBorder="1"/>
    <xf numFmtId="165" fontId="5" fillId="2" borderId="0" xfId="1" applyNumberFormat="1" applyFont="1" applyFill="1" applyAlignment="1">
      <alignment horizontal="center"/>
    </xf>
    <xf numFmtId="10" fontId="5" fillId="5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2" fontId="5" fillId="4" borderId="1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1" fontId="5" fillId="4" borderId="2" xfId="1" applyNumberFormat="1" applyFont="1" applyFill="1" applyBorder="1" applyAlignment="1">
      <alignment horizontal="center"/>
    </xf>
    <xf numFmtId="0" fontId="6" fillId="2" borderId="4" xfId="1" applyFont="1" applyFill="1" applyBorder="1"/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0" fontId="6" fillId="2" borderId="3" xfId="1" applyFont="1" applyFill="1" applyBorder="1" applyAlignment="1">
      <alignment horizontal="center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left"/>
    </xf>
    <xf numFmtId="2" fontId="5" fillId="2" borderId="0" xfId="1" applyNumberFormat="1" applyFont="1" applyFill="1" applyAlignment="1">
      <alignment horizontal="center"/>
    </xf>
    <xf numFmtId="0" fontId="4" fillId="2" borderId="0" xfId="1" applyFont="1" applyFill="1" applyAlignment="1">
      <alignment horizontal="left"/>
    </xf>
    <xf numFmtId="0" fontId="4" fillId="2" borderId="0" xfId="1" applyFont="1" applyFill="1"/>
    <xf numFmtId="0" fontId="5" fillId="2" borderId="0" xfId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2" fillId="2" borderId="0" xfId="1" applyFont="1" applyFill="1" applyAlignment="1">
      <alignment horizontal="right"/>
    </xf>
    <xf numFmtId="0" fontId="1" fillId="2" borderId="0" xfId="1" applyFont="1" applyFill="1"/>
  </cellXfs>
  <cellStyles count="2">
    <cellStyle name="Normal" xfId="0" builtinId="0"/>
    <cellStyle name="Normal 2" xfId="1"/>
  </cellStyles>
  <dxfs count="2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22" sqref="C22"/>
    </sheetView>
  </sheetViews>
  <sheetFormatPr defaultRowHeight="13.5" x14ac:dyDescent="0.25"/>
  <cols>
    <col min="1" max="1" width="27.5703125" style="277" customWidth="1"/>
    <col min="2" max="2" width="20.42578125" style="277" customWidth="1"/>
    <col min="3" max="3" width="31.85546875" style="277" customWidth="1"/>
    <col min="4" max="4" width="25.85546875" style="277" customWidth="1"/>
    <col min="5" max="5" width="25.7109375" style="277" customWidth="1"/>
    <col min="6" max="6" width="23.140625" style="277" customWidth="1"/>
    <col min="7" max="7" width="28.42578125" style="277" customWidth="1"/>
    <col min="8" max="8" width="21.5703125" style="277" customWidth="1"/>
    <col min="9" max="9" width="9.140625" style="277" customWidth="1"/>
    <col min="10" max="16384" width="9.140625" style="276"/>
  </cols>
  <sheetData>
    <row r="14" spans="1:6" ht="15" customHeight="1" x14ac:dyDescent="0.3">
      <c r="A14" s="321"/>
      <c r="C14" s="320"/>
      <c r="F14" s="320"/>
    </row>
    <row r="15" spans="1:6" ht="18.75" customHeight="1" x14ac:dyDescent="0.3">
      <c r="A15" s="319" t="s">
        <v>0</v>
      </c>
      <c r="B15" s="319"/>
      <c r="C15" s="319"/>
      <c r="D15" s="319"/>
      <c r="E15" s="319"/>
    </row>
    <row r="16" spans="1:6" ht="16.5" customHeight="1" x14ac:dyDescent="0.3">
      <c r="A16" s="317" t="s">
        <v>1</v>
      </c>
      <c r="B16" s="316" t="s">
        <v>2</v>
      </c>
    </row>
    <row r="17" spans="1:5" ht="16.5" customHeight="1" x14ac:dyDescent="0.3">
      <c r="A17" s="314" t="s">
        <v>3</v>
      </c>
      <c r="B17" s="314" t="s">
        <v>5</v>
      </c>
      <c r="D17" s="318"/>
      <c r="E17" s="291"/>
    </row>
    <row r="18" spans="1:5" ht="16.5" customHeight="1" x14ac:dyDescent="0.3">
      <c r="A18" s="290" t="s">
        <v>4</v>
      </c>
      <c r="B18" s="315" t="s">
        <v>124</v>
      </c>
      <c r="C18" s="291"/>
      <c r="D18" s="291"/>
      <c r="E18" s="291"/>
    </row>
    <row r="19" spans="1:5" ht="16.5" customHeight="1" x14ac:dyDescent="0.3">
      <c r="A19" s="290" t="s">
        <v>6</v>
      </c>
      <c r="B19" s="315">
        <v>93.21</v>
      </c>
      <c r="C19" s="291"/>
      <c r="D19" s="291"/>
      <c r="E19" s="291"/>
    </row>
    <row r="20" spans="1:5" ht="16.5" customHeight="1" x14ac:dyDescent="0.3">
      <c r="A20" s="314" t="s">
        <v>8</v>
      </c>
      <c r="B20" s="315">
        <v>10.68</v>
      </c>
      <c r="C20" s="291"/>
      <c r="D20" s="291"/>
      <c r="E20" s="291"/>
    </row>
    <row r="21" spans="1:5" ht="16.5" customHeight="1" x14ac:dyDescent="0.3">
      <c r="A21" s="314" t="s">
        <v>10</v>
      </c>
      <c r="B21" s="313">
        <f>10.68/50</f>
        <v>0.21359999999999998</v>
      </c>
      <c r="C21" s="291"/>
      <c r="D21" s="291"/>
      <c r="E21" s="291"/>
    </row>
    <row r="22" spans="1:5" ht="15.75" customHeight="1" x14ac:dyDescent="0.25">
      <c r="A22" s="291"/>
      <c r="B22" s="291"/>
      <c r="C22" s="291"/>
      <c r="D22" s="291"/>
      <c r="E22" s="291"/>
    </row>
    <row r="23" spans="1:5" ht="16.5" customHeight="1" x14ac:dyDescent="0.3">
      <c r="A23" s="311" t="s">
        <v>13</v>
      </c>
      <c r="B23" s="312" t="s">
        <v>14</v>
      </c>
      <c r="C23" s="311" t="s">
        <v>15</v>
      </c>
      <c r="D23" s="311" t="s">
        <v>16</v>
      </c>
      <c r="E23" s="311" t="s">
        <v>17</v>
      </c>
    </row>
    <row r="24" spans="1:5" ht="16.5" customHeight="1" x14ac:dyDescent="0.3">
      <c r="A24" s="307">
        <v>1</v>
      </c>
      <c r="B24" s="309">
        <v>6502277</v>
      </c>
      <c r="C24" s="309">
        <v>8413.2999999999993</v>
      </c>
      <c r="D24" s="308">
        <v>1.2</v>
      </c>
      <c r="E24" s="310">
        <v>6.3</v>
      </c>
    </row>
    <row r="25" spans="1:5" ht="16.5" customHeight="1" x14ac:dyDescent="0.3">
      <c r="A25" s="307">
        <v>2</v>
      </c>
      <c r="B25" s="309">
        <v>6513393</v>
      </c>
      <c r="C25" s="309">
        <v>8250.2999999999993</v>
      </c>
      <c r="D25" s="308">
        <v>1.2</v>
      </c>
      <c r="E25" s="308">
        <v>6.3</v>
      </c>
    </row>
    <row r="26" spans="1:5" ht="16.5" customHeight="1" x14ac:dyDescent="0.3">
      <c r="A26" s="307">
        <v>3</v>
      </c>
      <c r="B26" s="309">
        <v>6471422</v>
      </c>
      <c r="C26" s="309">
        <v>8366.6</v>
      </c>
      <c r="D26" s="308">
        <v>1.2</v>
      </c>
      <c r="E26" s="308">
        <v>6.3</v>
      </c>
    </row>
    <row r="27" spans="1:5" ht="16.5" customHeight="1" x14ac:dyDescent="0.3">
      <c r="A27" s="307">
        <v>4</v>
      </c>
      <c r="B27" s="309">
        <v>6523671</v>
      </c>
      <c r="C27" s="309">
        <v>8243.7000000000007</v>
      </c>
      <c r="D27" s="308">
        <v>1.1000000000000001</v>
      </c>
      <c r="E27" s="308">
        <v>6.3</v>
      </c>
    </row>
    <row r="28" spans="1:5" ht="16.5" customHeight="1" x14ac:dyDescent="0.3">
      <c r="A28" s="307">
        <v>5</v>
      </c>
      <c r="B28" s="309">
        <v>6534043</v>
      </c>
      <c r="C28" s="309">
        <v>8182.3</v>
      </c>
      <c r="D28" s="308">
        <v>1.1000000000000001</v>
      </c>
      <c r="E28" s="308">
        <v>6.3</v>
      </c>
    </row>
    <row r="29" spans="1:5" ht="16.5" customHeight="1" x14ac:dyDescent="0.3">
      <c r="A29" s="307">
        <v>6</v>
      </c>
      <c r="B29" s="306">
        <v>6527108</v>
      </c>
      <c r="C29" s="306">
        <v>8179.3</v>
      </c>
      <c r="D29" s="305">
        <v>1.1000000000000001</v>
      </c>
      <c r="E29" s="305">
        <v>6.3</v>
      </c>
    </row>
    <row r="30" spans="1:5" ht="16.5" customHeight="1" x14ac:dyDescent="0.3">
      <c r="A30" s="304" t="s">
        <v>18</v>
      </c>
      <c r="B30" s="303">
        <f>AVERAGE(B24:B29)</f>
        <v>6511985.666666667</v>
      </c>
      <c r="C30" s="302">
        <f>AVERAGE(C24:C29)</f>
        <v>8272.5833333333339</v>
      </c>
      <c r="D30" s="301">
        <f>AVERAGE(D24:D29)</f>
        <v>1.1499999999999997</v>
      </c>
      <c r="E30" s="301">
        <f>AVERAGE(E24:E29)</f>
        <v>6.3</v>
      </c>
    </row>
    <row r="31" spans="1:5" ht="16.5" customHeight="1" x14ac:dyDescent="0.3">
      <c r="A31" s="300" t="s">
        <v>19</v>
      </c>
      <c r="B31" s="299">
        <f>(STDEV(B24:B29)/B30)</f>
        <v>3.4973328471080466E-3</v>
      </c>
      <c r="C31" s="298"/>
      <c r="D31" s="298"/>
      <c r="E31" s="297"/>
    </row>
    <row r="32" spans="1:5" s="277" customFormat="1" ht="16.5" customHeight="1" x14ac:dyDescent="0.3">
      <c r="A32" s="296" t="s">
        <v>20</v>
      </c>
      <c r="B32" s="295">
        <f>COUNT(B24:B29)</f>
        <v>6</v>
      </c>
      <c r="C32" s="294"/>
      <c r="D32" s="293"/>
      <c r="E32" s="292"/>
    </row>
    <row r="33" spans="1:5" s="277" customFormat="1" ht="15.75" customHeight="1" x14ac:dyDescent="0.25">
      <c r="A33" s="291"/>
      <c r="B33" s="291"/>
      <c r="C33" s="291"/>
      <c r="D33" s="291"/>
      <c r="E33" s="291"/>
    </row>
    <row r="34" spans="1:5" s="277" customFormat="1" ht="16.5" customHeight="1" x14ac:dyDescent="0.3">
      <c r="A34" s="290" t="s">
        <v>21</v>
      </c>
      <c r="B34" s="289" t="s">
        <v>22</v>
      </c>
      <c r="C34" s="288"/>
      <c r="D34" s="288"/>
      <c r="E34" s="288"/>
    </row>
    <row r="35" spans="1:5" ht="16.5" customHeight="1" x14ac:dyDescent="0.3">
      <c r="A35" s="290"/>
      <c r="B35" s="289" t="s">
        <v>23</v>
      </c>
      <c r="C35" s="288"/>
      <c r="D35" s="288"/>
      <c r="E35" s="288"/>
    </row>
    <row r="36" spans="1:5" ht="16.5" customHeight="1" x14ac:dyDescent="0.3">
      <c r="A36" s="290"/>
      <c r="B36" s="289" t="s">
        <v>24</v>
      </c>
      <c r="C36" s="288"/>
      <c r="D36" s="288"/>
      <c r="E36" s="288"/>
    </row>
    <row r="37" spans="1:5" ht="15.75" customHeight="1" x14ac:dyDescent="0.25">
      <c r="A37" s="291"/>
      <c r="B37" s="291"/>
      <c r="C37" s="291"/>
      <c r="D37" s="291"/>
      <c r="E37" s="291"/>
    </row>
    <row r="38" spans="1:5" ht="16.5" customHeight="1" x14ac:dyDescent="0.3">
      <c r="A38" s="317" t="s">
        <v>1</v>
      </c>
      <c r="B38" s="316" t="s">
        <v>25</v>
      </c>
    </row>
    <row r="39" spans="1:5" ht="16.5" customHeight="1" x14ac:dyDescent="0.3">
      <c r="A39" s="290" t="s">
        <v>4</v>
      </c>
      <c r="B39" s="314" t="s">
        <v>123</v>
      </c>
      <c r="C39" s="291"/>
      <c r="D39" s="291"/>
      <c r="E39" s="291"/>
    </row>
    <row r="40" spans="1:5" ht="16.5" customHeight="1" x14ac:dyDescent="0.3">
      <c r="A40" s="290" t="s">
        <v>6</v>
      </c>
      <c r="B40" s="315">
        <v>93.8</v>
      </c>
      <c r="C40" s="291"/>
      <c r="D40" s="291"/>
      <c r="E40" s="291"/>
    </row>
    <row r="41" spans="1:5" ht="16.5" customHeight="1" x14ac:dyDescent="0.3">
      <c r="A41" s="314" t="s">
        <v>8</v>
      </c>
      <c r="B41" s="315">
        <v>8.3000000000000007</v>
      </c>
      <c r="C41" s="291"/>
      <c r="D41" s="291"/>
      <c r="E41" s="291"/>
    </row>
    <row r="42" spans="1:5" ht="16.5" customHeight="1" x14ac:dyDescent="0.3">
      <c r="A42" s="314" t="s">
        <v>10</v>
      </c>
      <c r="B42" s="313">
        <f>8.3/50*10/100</f>
        <v>1.66E-2</v>
      </c>
      <c r="C42" s="291"/>
      <c r="D42" s="291"/>
      <c r="E42" s="291"/>
    </row>
    <row r="43" spans="1:5" ht="15.75" customHeight="1" x14ac:dyDescent="0.25">
      <c r="A43" s="291"/>
      <c r="B43" s="291"/>
      <c r="C43" s="291"/>
      <c r="D43" s="291"/>
      <c r="E43" s="291"/>
    </row>
    <row r="44" spans="1:5" ht="16.5" customHeight="1" x14ac:dyDescent="0.3">
      <c r="A44" s="311" t="s">
        <v>13</v>
      </c>
      <c r="B44" s="312" t="s">
        <v>14</v>
      </c>
      <c r="C44" s="311" t="s">
        <v>15</v>
      </c>
      <c r="D44" s="311" t="s">
        <v>16</v>
      </c>
      <c r="E44" s="311" t="s">
        <v>17</v>
      </c>
    </row>
    <row r="45" spans="1:5" ht="16.5" customHeight="1" x14ac:dyDescent="0.3">
      <c r="A45" s="307">
        <v>1</v>
      </c>
      <c r="B45" s="309">
        <v>5691560</v>
      </c>
      <c r="C45" s="309">
        <v>2910.37</v>
      </c>
      <c r="D45" s="308">
        <v>1.1200000000000001</v>
      </c>
      <c r="E45" s="310">
        <v>3.16</v>
      </c>
    </row>
    <row r="46" spans="1:5" ht="16.5" customHeight="1" x14ac:dyDescent="0.3">
      <c r="A46" s="307">
        <v>2</v>
      </c>
      <c r="B46" s="309">
        <v>5691313</v>
      </c>
      <c r="C46" s="309">
        <v>2897.16</v>
      </c>
      <c r="D46" s="308">
        <v>1.1399999999999999</v>
      </c>
      <c r="E46" s="308">
        <v>3.16</v>
      </c>
    </row>
    <row r="47" spans="1:5" ht="16.5" customHeight="1" x14ac:dyDescent="0.3">
      <c r="A47" s="307">
        <v>3</v>
      </c>
      <c r="B47" s="309">
        <v>5693947</v>
      </c>
      <c r="C47" s="309">
        <v>2888.11</v>
      </c>
      <c r="D47" s="308">
        <v>1.1399999999999999</v>
      </c>
      <c r="E47" s="308">
        <v>3.16</v>
      </c>
    </row>
    <row r="48" spans="1:5" ht="16.5" customHeight="1" x14ac:dyDescent="0.3">
      <c r="A48" s="307">
        <v>4</v>
      </c>
      <c r="B48" s="309">
        <v>5693910</v>
      </c>
      <c r="C48" s="309">
        <v>2905.3</v>
      </c>
      <c r="D48" s="308">
        <v>1.1499999999999999</v>
      </c>
      <c r="E48" s="308">
        <v>3.16</v>
      </c>
    </row>
    <row r="49" spans="1:7" ht="16.5" customHeight="1" x14ac:dyDescent="0.3">
      <c r="A49" s="307">
        <v>5</v>
      </c>
      <c r="B49" s="309">
        <v>5695502</v>
      </c>
      <c r="C49" s="309">
        <v>2860.03</v>
      </c>
      <c r="D49" s="308">
        <v>1.1200000000000001</v>
      </c>
      <c r="E49" s="308">
        <v>3.16</v>
      </c>
    </row>
    <row r="50" spans="1:7" ht="16.5" customHeight="1" x14ac:dyDescent="0.3">
      <c r="A50" s="307">
        <v>6</v>
      </c>
      <c r="B50" s="306">
        <v>5695798</v>
      </c>
      <c r="C50" s="306">
        <v>2867.63</v>
      </c>
      <c r="D50" s="305">
        <v>1.1299999999999999</v>
      </c>
      <c r="E50" s="305">
        <v>3.16</v>
      </c>
    </row>
    <row r="51" spans="1:7" ht="16.5" customHeight="1" x14ac:dyDescent="0.3">
      <c r="A51" s="304" t="s">
        <v>18</v>
      </c>
      <c r="B51" s="303">
        <f>AVERAGE(B45:B50)</f>
        <v>5693671.666666667</v>
      </c>
      <c r="C51" s="302">
        <f>AVERAGE(C45:C50)</f>
        <v>2888.1</v>
      </c>
      <c r="D51" s="301">
        <f>AVERAGE(D45:D50)</f>
        <v>1.1333333333333331</v>
      </c>
      <c r="E51" s="301">
        <f>AVERAGE(E45:E50)</f>
        <v>3.16</v>
      </c>
    </row>
    <row r="52" spans="1:7" ht="16.5" customHeight="1" x14ac:dyDescent="0.3">
      <c r="A52" s="300" t="s">
        <v>19</v>
      </c>
      <c r="B52" s="299">
        <f>(STDEV(B45:B50)/B51)</f>
        <v>3.3348623720049002E-4</v>
      </c>
      <c r="C52" s="298"/>
      <c r="D52" s="298"/>
      <c r="E52" s="297"/>
    </row>
    <row r="53" spans="1:7" s="277" customFormat="1" ht="16.5" customHeight="1" x14ac:dyDescent="0.3">
      <c r="A53" s="296" t="s">
        <v>20</v>
      </c>
      <c r="B53" s="295">
        <f>COUNT(B45:B50)</f>
        <v>6</v>
      </c>
      <c r="C53" s="294"/>
      <c r="D53" s="293"/>
      <c r="E53" s="292"/>
    </row>
    <row r="54" spans="1:7" s="277" customFormat="1" ht="15.75" customHeight="1" x14ac:dyDescent="0.25">
      <c r="A54" s="291"/>
      <c r="B54" s="291"/>
      <c r="C54" s="291"/>
      <c r="D54" s="291"/>
      <c r="E54" s="291"/>
    </row>
    <row r="55" spans="1:7" s="277" customFormat="1" ht="16.5" customHeight="1" x14ac:dyDescent="0.3">
      <c r="A55" s="290" t="s">
        <v>21</v>
      </c>
      <c r="B55" s="289" t="s">
        <v>22</v>
      </c>
      <c r="C55" s="288"/>
      <c r="D55" s="288"/>
      <c r="E55" s="288"/>
    </row>
    <row r="56" spans="1:7" ht="16.5" customHeight="1" x14ac:dyDescent="0.3">
      <c r="A56" s="290"/>
      <c r="B56" s="289" t="s">
        <v>23</v>
      </c>
      <c r="C56" s="288"/>
      <c r="D56" s="288"/>
      <c r="E56" s="288"/>
    </row>
    <row r="57" spans="1:7" ht="16.5" customHeight="1" x14ac:dyDescent="0.3">
      <c r="A57" s="290"/>
      <c r="B57" s="289" t="s">
        <v>125</v>
      </c>
      <c r="C57" s="288"/>
      <c r="D57" s="288"/>
      <c r="E57" s="288"/>
    </row>
    <row r="58" spans="1:7" ht="14.25" customHeight="1" thickBot="1" x14ac:dyDescent="0.3">
      <c r="A58" s="287"/>
      <c r="B58" s="286"/>
      <c r="D58" s="285"/>
      <c r="F58" s="276"/>
      <c r="G58" s="276"/>
    </row>
    <row r="59" spans="1:7" ht="15" customHeight="1" x14ac:dyDescent="0.3">
      <c r="B59" s="284" t="s">
        <v>26</v>
      </c>
      <c r="C59" s="284"/>
      <c r="E59" s="282" t="s">
        <v>27</v>
      </c>
      <c r="F59" s="283"/>
      <c r="G59" s="282" t="s">
        <v>28</v>
      </c>
    </row>
    <row r="60" spans="1:7" ht="15" customHeight="1" x14ac:dyDescent="0.3">
      <c r="A60" s="280" t="s">
        <v>29</v>
      </c>
      <c r="B60" s="281" t="s">
        <v>122</v>
      </c>
      <c r="C60" s="281"/>
      <c r="E60" s="281"/>
      <c r="G60" s="281"/>
    </row>
    <row r="61" spans="1:7" ht="15" customHeight="1" x14ac:dyDescent="0.3">
      <c r="A61" s="280" t="s">
        <v>30</v>
      </c>
      <c r="B61" s="279"/>
      <c r="C61" s="279"/>
      <c r="E61" s="279"/>
      <c r="G61" s="27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B30" sqref="B3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34" t="s">
        <v>31</v>
      </c>
      <c r="B11" s="235"/>
      <c r="C11" s="235"/>
      <c r="D11" s="235"/>
      <c r="E11" s="235"/>
      <c r="F11" s="236"/>
      <c r="G11" s="43"/>
    </row>
    <row r="12" spans="1:7" ht="16.5" customHeight="1" x14ac:dyDescent="0.3">
      <c r="A12" s="233" t="s">
        <v>32</v>
      </c>
      <c r="B12" s="233"/>
      <c r="C12" s="233"/>
      <c r="D12" s="233"/>
      <c r="E12" s="233"/>
      <c r="F12" s="233"/>
      <c r="G12" s="42"/>
    </row>
    <row r="14" spans="1:7" ht="16.5" customHeight="1" x14ac:dyDescent="0.3">
      <c r="A14" s="238" t="s">
        <v>33</v>
      </c>
      <c r="B14" s="238"/>
      <c r="C14" s="12" t="s">
        <v>5</v>
      </c>
    </row>
    <row r="15" spans="1:7" ht="16.5" customHeight="1" x14ac:dyDescent="0.3">
      <c r="A15" s="238" t="s">
        <v>34</v>
      </c>
      <c r="B15" s="238"/>
      <c r="C15" s="12" t="s">
        <v>7</v>
      </c>
    </row>
    <row r="16" spans="1:7" ht="16.5" customHeight="1" x14ac:dyDescent="0.3">
      <c r="A16" s="238" t="s">
        <v>35</v>
      </c>
      <c r="B16" s="238"/>
      <c r="C16" s="12" t="s">
        <v>9</v>
      </c>
    </row>
    <row r="17" spans="1:5" ht="16.5" customHeight="1" x14ac:dyDescent="0.3">
      <c r="A17" s="238" t="s">
        <v>36</v>
      </c>
      <c r="B17" s="238"/>
      <c r="C17" s="12" t="s">
        <v>11</v>
      </c>
    </row>
    <row r="18" spans="1:5" ht="16.5" customHeight="1" x14ac:dyDescent="0.3">
      <c r="A18" s="238" t="s">
        <v>37</v>
      </c>
      <c r="B18" s="238"/>
      <c r="C18" s="49" t="s">
        <v>12</v>
      </c>
    </row>
    <row r="19" spans="1:5" ht="16.5" customHeight="1" x14ac:dyDescent="0.3">
      <c r="A19" s="238" t="s">
        <v>38</v>
      </c>
      <c r="B19" s="238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33" t="s">
        <v>1</v>
      </c>
      <c r="B21" s="233"/>
      <c r="C21" s="11" t="s">
        <v>39</v>
      </c>
      <c r="D21" s="18"/>
    </row>
    <row r="22" spans="1:5" ht="15.75" customHeight="1" x14ac:dyDescent="0.3">
      <c r="A22" s="237"/>
      <c r="B22" s="237"/>
      <c r="C22" s="9"/>
      <c r="D22" s="237"/>
      <c r="E22" s="237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220.88</v>
      </c>
      <c r="D24" s="39">
        <f t="shared" ref="D24:D43" si="0">(C24-$C$46)/$C$46</f>
        <v>-2.965125346231515E-2</v>
      </c>
      <c r="E24" s="5"/>
    </row>
    <row r="25" spans="1:5" ht="15.75" customHeight="1" x14ac:dyDescent="0.3">
      <c r="C25" s="47">
        <v>231.76</v>
      </c>
      <c r="D25" s="40">
        <f t="shared" si="0"/>
        <v>1.814571485681744E-2</v>
      </c>
      <c r="E25" s="5"/>
    </row>
    <row r="26" spans="1:5" ht="15.75" customHeight="1" x14ac:dyDescent="0.3">
      <c r="C26" s="47">
        <v>213.7</v>
      </c>
      <c r="D26" s="40">
        <f t="shared" si="0"/>
        <v>-6.1193738069978063E-2</v>
      </c>
      <c r="E26" s="5"/>
    </row>
    <row r="27" spans="1:5" ht="15.75" customHeight="1" x14ac:dyDescent="0.3">
      <c r="C27" s="47">
        <v>226.24</v>
      </c>
      <c r="D27" s="40">
        <f t="shared" si="0"/>
        <v>-6.1042175992129955E-3</v>
      </c>
      <c r="E27" s="5"/>
    </row>
    <row r="28" spans="1:5" ht="15.75" customHeight="1" x14ac:dyDescent="0.3">
      <c r="C28" s="47">
        <v>227.25</v>
      </c>
      <c r="D28" s="40">
        <f t="shared" si="0"/>
        <v>-1.6671828563523798E-3</v>
      </c>
      <c r="E28" s="5"/>
    </row>
    <row r="29" spans="1:5" ht="15.75" customHeight="1" x14ac:dyDescent="0.3">
      <c r="C29" s="47">
        <v>228.43</v>
      </c>
      <c r="D29" s="40">
        <f t="shared" si="0"/>
        <v>3.5166795164947536E-3</v>
      </c>
      <c r="E29" s="5"/>
    </row>
    <row r="30" spans="1:5" ht="15.75" customHeight="1" x14ac:dyDescent="0.3">
      <c r="C30" s="47">
        <v>231.48</v>
      </c>
      <c r="D30" s="40">
        <f t="shared" si="0"/>
        <v>1.69156458191927E-2</v>
      </c>
      <c r="E30" s="5"/>
    </row>
    <row r="31" spans="1:5" ht="15.75" customHeight="1" x14ac:dyDescent="0.3">
      <c r="C31" s="47">
        <v>218.16</v>
      </c>
      <c r="D31" s="40">
        <f t="shared" si="0"/>
        <v>-4.1600495542098298E-2</v>
      </c>
      <c r="E31" s="5"/>
    </row>
    <row r="32" spans="1:5" ht="15.75" customHeight="1" x14ac:dyDescent="0.3">
      <c r="C32" s="47">
        <v>228.27</v>
      </c>
      <c r="D32" s="40">
        <f t="shared" si="0"/>
        <v>2.8137829235663474E-3</v>
      </c>
      <c r="E32" s="5"/>
    </row>
    <row r="33" spans="1:7" ht="15.75" customHeight="1" x14ac:dyDescent="0.3">
      <c r="C33" s="47">
        <v>234.8</v>
      </c>
      <c r="D33" s="40">
        <f t="shared" si="0"/>
        <v>3.1500750122457524E-2</v>
      </c>
      <c r="E33" s="5"/>
    </row>
    <row r="34" spans="1:7" ht="15.75" customHeight="1" x14ac:dyDescent="0.3">
      <c r="C34" s="47">
        <v>226.19</v>
      </c>
      <c r="D34" s="40">
        <f t="shared" si="0"/>
        <v>-6.3238727845031772E-3</v>
      </c>
      <c r="E34" s="5"/>
    </row>
    <row r="35" spans="1:7" ht="15.75" customHeight="1" x14ac:dyDescent="0.3">
      <c r="C35" s="47">
        <v>232.31</v>
      </c>
      <c r="D35" s="40">
        <f t="shared" si="0"/>
        <v>2.0561921895008935E-2</v>
      </c>
      <c r="E35" s="5"/>
    </row>
    <row r="36" spans="1:7" ht="15.75" customHeight="1" x14ac:dyDescent="0.3">
      <c r="C36" s="47">
        <v>225.76</v>
      </c>
      <c r="D36" s="40">
        <f t="shared" si="0"/>
        <v>-8.2129073779983377E-3</v>
      </c>
      <c r="E36" s="5"/>
    </row>
    <row r="37" spans="1:7" ht="15.75" customHeight="1" x14ac:dyDescent="0.3">
      <c r="C37" s="47">
        <v>215.99</v>
      </c>
      <c r="D37" s="40">
        <f t="shared" si="0"/>
        <v>-5.1133530583689954E-2</v>
      </c>
      <c r="E37" s="5"/>
    </row>
    <row r="38" spans="1:7" ht="15.75" customHeight="1" x14ac:dyDescent="0.3">
      <c r="C38" s="47">
        <v>232.91</v>
      </c>
      <c r="D38" s="40">
        <f t="shared" si="0"/>
        <v>2.3197784118490491E-2</v>
      </c>
      <c r="E38" s="5"/>
    </row>
    <row r="39" spans="1:7" ht="15.75" customHeight="1" x14ac:dyDescent="0.3">
      <c r="C39" s="47">
        <v>237.16</v>
      </c>
      <c r="D39" s="40">
        <f t="shared" si="0"/>
        <v>4.1868474868151664E-2</v>
      </c>
      <c r="E39" s="5"/>
    </row>
    <row r="40" spans="1:7" ht="15.75" customHeight="1" x14ac:dyDescent="0.3">
      <c r="C40" s="47">
        <v>236.82</v>
      </c>
      <c r="D40" s="40">
        <f t="shared" si="0"/>
        <v>4.0374819608178757E-2</v>
      </c>
      <c r="E40" s="5"/>
    </row>
    <row r="41" spans="1:7" ht="15.75" customHeight="1" x14ac:dyDescent="0.3">
      <c r="C41" s="47">
        <v>229.04</v>
      </c>
      <c r="D41" s="40">
        <f t="shared" si="0"/>
        <v>6.1964727770342926E-3</v>
      </c>
      <c r="E41" s="5"/>
    </row>
    <row r="42" spans="1:7" ht="15.75" customHeight="1" x14ac:dyDescent="0.3">
      <c r="C42" s="47">
        <v>234.17</v>
      </c>
      <c r="D42" s="40">
        <f t="shared" si="0"/>
        <v>2.8733094787801762E-2</v>
      </c>
      <c r="E42" s="5"/>
    </row>
    <row r="43" spans="1:7" ht="16.5" customHeight="1" x14ac:dyDescent="0.3">
      <c r="C43" s="48">
        <v>221.27</v>
      </c>
      <c r="D43" s="41">
        <f t="shared" si="0"/>
        <v>-2.7937943017052061E-2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4552.5900000000011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227.62950000000006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231">
        <f>C46</f>
        <v>227.62950000000006</v>
      </c>
      <c r="C49" s="45">
        <f>-IF(C46&lt;=80,10%,IF(C46&lt;250,7.5%,5%))</f>
        <v>-7.4999999999999997E-2</v>
      </c>
      <c r="D49" s="33">
        <f>IF(C46&lt;=80,C46*0.9,IF(C46&lt;250,C46*0.925,C46*0.95))</f>
        <v>210.55728750000006</v>
      </c>
    </row>
    <row r="50" spans="1:6" ht="17.25" customHeight="1" x14ac:dyDescent="0.3">
      <c r="B50" s="232"/>
      <c r="C50" s="46">
        <f>IF(C46&lt;=80, 10%, IF(C46&lt;250, 7.5%, 5%))</f>
        <v>7.4999999999999997E-2</v>
      </c>
      <c r="D50" s="33">
        <f>IF(C46&lt;=80, C46*1.1, IF(C46&lt;250, C46*1.075, C46*1.05))</f>
        <v>244.70171250000007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3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2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1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0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9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8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7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6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5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4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3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2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1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0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9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8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7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6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4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abSelected="1" view="pageBreakPreview" topLeftCell="A82" zoomScale="55" zoomScaleNormal="55" workbookViewId="0">
      <selection activeCell="B32" sqref="B32"/>
    </sheetView>
  </sheetViews>
  <sheetFormatPr defaultColWidth="9.140625" defaultRowHeight="15" x14ac:dyDescent="0.3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3.5703125" style="1" customWidth="1"/>
    <col min="6" max="6" width="36" style="1" customWidth="1"/>
    <col min="7" max="7" width="33.140625" style="1" customWidth="1"/>
    <col min="8" max="8" width="29.7109375" style="1" customWidth="1"/>
    <col min="9" max="9" width="29.85546875" style="2" customWidth="1"/>
    <col min="10" max="10" width="34.85546875" style="2" customWidth="1"/>
    <col min="11" max="11" width="9.140625" style="2"/>
  </cols>
  <sheetData>
    <row r="1" spans="1:8" ht="13.5" x14ac:dyDescent="0.25">
      <c r="A1" s="239" t="s">
        <v>45</v>
      </c>
      <c r="B1" s="239"/>
      <c r="C1" s="239"/>
      <c r="D1" s="239"/>
      <c r="E1" s="239"/>
      <c r="F1" s="239"/>
      <c r="G1" s="239"/>
      <c r="H1" s="239"/>
    </row>
    <row r="2" spans="1:8" ht="13.5" x14ac:dyDescent="0.25">
      <c r="A2" s="239"/>
      <c r="B2" s="239"/>
      <c r="C2" s="239"/>
      <c r="D2" s="239"/>
      <c r="E2" s="239"/>
      <c r="F2" s="239"/>
      <c r="G2" s="239"/>
      <c r="H2" s="239"/>
    </row>
    <row r="3" spans="1:8" ht="13.5" x14ac:dyDescent="0.25">
      <c r="A3" s="239"/>
      <c r="B3" s="239"/>
      <c r="C3" s="239"/>
      <c r="D3" s="239"/>
      <c r="E3" s="239"/>
      <c r="F3" s="239"/>
      <c r="G3" s="239"/>
      <c r="H3" s="239"/>
    </row>
    <row r="4" spans="1:8" ht="13.5" x14ac:dyDescent="0.25">
      <c r="A4" s="239"/>
      <c r="B4" s="239"/>
      <c r="C4" s="239"/>
      <c r="D4" s="239"/>
      <c r="E4" s="239"/>
      <c r="F4" s="239"/>
      <c r="G4" s="239"/>
      <c r="H4" s="239"/>
    </row>
    <row r="5" spans="1:8" ht="13.5" x14ac:dyDescent="0.25">
      <c r="A5" s="239"/>
      <c r="B5" s="239"/>
      <c r="C5" s="239"/>
      <c r="D5" s="239"/>
      <c r="E5" s="239"/>
      <c r="F5" s="239"/>
      <c r="G5" s="239"/>
      <c r="H5" s="239"/>
    </row>
    <row r="6" spans="1:8" ht="13.5" x14ac:dyDescent="0.25">
      <c r="A6" s="239"/>
      <c r="B6" s="239"/>
      <c r="C6" s="239"/>
      <c r="D6" s="239"/>
      <c r="E6" s="239"/>
      <c r="F6" s="239"/>
      <c r="G6" s="239"/>
      <c r="H6" s="239"/>
    </row>
    <row r="7" spans="1:8" ht="13.5" x14ac:dyDescent="0.25">
      <c r="A7" s="239"/>
      <c r="B7" s="239"/>
      <c r="C7" s="239"/>
      <c r="D7" s="239"/>
      <c r="E7" s="239"/>
      <c r="F7" s="239"/>
      <c r="G7" s="239"/>
      <c r="H7" s="239"/>
    </row>
    <row r="8" spans="1:8" ht="13.5" x14ac:dyDescent="0.25">
      <c r="A8" s="240" t="s">
        <v>46</v>
      </c>
      <c r="B8" s="240"/>
      <c r="C8" s="240"/>
      <c r="D8" s="240"/>
      <c r="E8" s="240"/>
      <c r="F8" s="240"/>
      <c r="G8" s="240"/>
      <c r="H8" s="240"/>
    </row>
    <row r="9" spans="1:8" ht="13.5" x14ac:dyDescent="0.25">
      <c r="A9" s="240"/>
      <c r="B9" s="240"/>
      <c r="C9" s="240"/>
      <c r="D9" s="240"/>
      <c r="E9" s="240"/>
      <c r="F9" s="240"/>
      <c r="G9" s="240"/>
      <c r="H9" s="240"/>
    </row>
    <row r="10" spans="1:8" ht="13.5" x14ac:dyDescent="0.25">
      <c r="A10" s="240"/>
      <c r="B10" s="240"/>
      <c r="C10" s="240"/>
      <c r="D10" s="240"/>
      <c r="E10" s="240"/>
      <c r="F10" s="240"/>
      <c r="G10" s="240"/>
      <c r="H10" s="240"/>
    </row>
    <row r="11" spans="1:8" ht="13.5" x14ac:dyDescent="0.25">
      <c r="A11" s="240"/>
      <c r="B11" s="240"/>
      <c r="C11" s="240"/>
      <c r="D11" s="240"/>
      <c r="E11" s="240"/>
      <c r="F11" s="240"/>
      <c r="G11" s="240"/>
      <c r="H11" s="240"/>
    </row>
    <row r="12" spans="1:8" ht="13.5" x14ac:dyDescent="0.25">
      <c r="A12" s="240"/>
      <c r="B12" s="240"/>
      <c r="C12" s="240"/>
      <c r="D12" s="240"/>
      <c r="E12" s="240"/>
      <c r="F12" s="240"/>
      <c r="G12" s="240"/>
      <c r="H12" s="240"/>
    </row>
    <row r="13" spans="1:8" ht="13.5" x14ac:dyDescent="0.25">
      <c r="A13" s="240"/>
      <c r="B13" s="240"/>
      <c r="C13" s="240"/>
      <c r="D13" s="240"/>
      <c r="E13" s="240"/>
      <c r="F13" s="240"/>
      <c r="G13" s="240"/>
      <c r="H13" s="240"/>
    </row>
    <row r="14" spans="1:8" ht="13.5" x14ac:dyDescent="0.25">
      <c r="A14" s="240"/>
      <c r="B14" s="240"/>
      <c r="C14" s="240"/>
      <c r="D14" s="240"/>
      <c r="E14" s="240"/>
      <c r="F14" s="240"/>
      <c r="G14" s="240"/>
      <c r="H14" s="240"/>
    </row>
    <row r="15" spans="1:8" ht="19.5" customHeight="1" x14ac:dyDescent="0.3"/>
    <row r="16" spans="1:8" ht="19.5" customHeight="1" x14ac:dyDescent="0.3">
      <c r="A16" s="263" t="s">
        <v>31</v>
      </c>
      <c r="B16" s="264"/>
      <c r="C16" s="264"/>
      <c r="D16" s="264"/>
      <c r="E16" s="264"/>
      <c r="F16" s="264"/>
      <c r="G16" s="264"/>
      <c r="H16" s="265"/>
    </row>
    <row r="17" spans="1:13" ht="20.25" customHeight="1" x14ac:dyDescent="0.25">
      <c r="A17" s="266" t="s">
        <v>47</v>
      </c>
      <c r="B17" s="266"/>
      <c r="C17" s="266"/>
      <c r="D17" s="266"/>
      <c r="E17" s="266"/>
      <c r="F17" s="266"/>
      <c r="G17" s="266"/>
      <c r="H17" s="266"/>
    </row>
    <row r="18" spans="1:13" ht="26.25" customHeight="1" x14ac:dyDescent="0.4">
      <c r="A18" s="52" t="s">
        <v>33</v>
      </c>
      <c r="B18" s="262" t="s">
        <v>5</v>
      </c>
      <c r="C18" s="262"/>
      <c r="D18" s="262"/>
      <c r="E18" s="262"/>
    </row>
    <row r="19" spans="1:13" ht="26.25" customHeight="1" x14ac:dyDescent="0.3">
      <c r="A19" s="52" t="s">
        <v>34</v>
      </c>
      <c r="B19" s="53" t="s">
        <v>7</v>
      </c>
      <c r="C19" s="51">
        <v>2</v>
      </c>
    </row>
    <row r="20" spans="1:13" ht="26.25" customHeight="1" x14ac:dyDescent="0.3">
      <c r="A20" s="52" t="s">
        <v>35</v>
      </c>
      <c r="B20" s="53" t="s">
        <v>120</v>
      </c>
    </row>
    <row r="21" spans="1:13" ht="26.25" customHeight="1" x14ac:dyDescent="0.4">
      <c r="A21" s="52" t="s">
        <v>36</v>
      </c>
      <c r="B21" s="267" t="s">
        <v>11</v>
      </c>
      <c r="C21" s="267"/>
      <c r="D21" s="267"/>
      <c r="E21" s="267"/>
      <c r="F21" s="267"/>
      <c r="G21" s="267"/>
      <c r="H21" s="267"/>
    </row>
    <row r="22" spans="1:13" ht="26.25" customHeight="1" x14ac:dyDescent="0.3">
      <c r="A22" s="52" t="s">
        <v>37</v>
      </c>
      <c r="B22" s="54">
        <v>42704</v>
      </c>
    </row>
    <row r="23" spans="1:13" ht="26.25" customHeight="1" x14ac:dyDescent="0.3">
      <c r="A23" s="52" t="s">
        <v>38</v>
      </c>
      <c r="B23" s="54">
        <v>42705</v>
      </c>
    </row>
    <row r="24" spans="1:13" ht="18.75" x14ac:dyDescent="0.3">
      <c r="A24" s="52"/>
      <c r="B24" s="55"/>
    </row>
    <row r="25" spans="1:13" ht="18.75" x14ac:dyDescent="0.3">
      <c r="A25" s="56" t="s">
        <v>1</v>
      </c>
      <c r="B25" s="55"/>
    </row>
    <row r="26" spans="1:13" ht="26.25" customHeight="1" x14ac:dyDescent="0.3">
      <c r="A26" s="57" t="s">
        <v>4</v>
      </c>
      <c r="B26" s="268" t="s">
        <v>120</v>
      </c>
      <c r="C26" s="268"/>
    </row>
    <row r="27" spans="1:13" ht="26.25" customHeight="1" x14ac:dyDescent="0.3">
      <c r="A27" s="58" t="s">
        <v>48</v>
      </c>
      <c r="B27" s="268" t="s">
        <v>119</v>
      </c>
      <c r="C27" s="268"/>
    </row>
    <row r="28" spans="1:13" ht="27" customHeight="1" x14ac:dyDescent="0.3">
      <c r="A28" s="58" t="s">
        <v>6</v>
      </c>
      <c r="B28" s="59">
        <v>93.21</v>
      </c>
    </row>
    <row r="29" spans="1:13" s="3" customFormat="1" ht="15.75" customHeight="1" x14ac:dyDescent="0.3">
      <c r="A29" s="58" t="s">
        <v>49</v>
      </c>
      <c r="B29" s="60">
        <v>0</v>
      </c>
      <c r="C29" s="245" t="s">
        <v>112</v>
      </c>
      <c r="D29" s="246"/>
      <c r="E29" s="246"/>
      <c r="F29" s="246"/>
      <c r="G29" s="246"/>
      <c r="H29" s="247"/>
      <c r="I29" s="61"/>
      <c r="J29" s="61"/>
      <c r="K29" s="61"/>
    </row>
    <row r="30" spans="1:13" s="3" customFormat="1" ht="19.5" customHeight="1" x14ac:dyDescent="0.3">
      <c r="A30" s="58" t="s">
        <v>50</v>
      </c>
      <c r="B30" s="62">
        <f>B28-B29</f>
        <v>93.21</v>
      </c>
      <c r="C30" s="63"/>
      <c r="D30" s="63"/>
      <c r="E30" s="63"/>
      <c r="F30" s="63"/>
      <c r="G30" s="63"/>
      <c r="H30" s="64"/>
      <c r="I30" s="61"/>
      <c r="J30" s="61"/>
      <c r="K30" s="61"/>
    </row>
    <row r="31" spans="1:13" s="3" customFormat="1" ht="27" customHeight="1" x14ac:dyDescent="0.3">
      <c r="A31" s="58" t="s">
        <v>51</v>
      </c>
      <c r="B31" s="65">
        <v>383.37099999999998</v>
      </c>
      <c r="C31" s="248" t="s">
        <v>52</v>
      </c>
      <c r="D31" s="249"/>
      <c r="E31" s="249"/>
      <c r="F31" s="249"/>
      <c r="G31" s="249"/>
      <c r="H31" s="250"/>
      <c r="I31" s="61"/>
      <c r="J31" s="61"/>
      <c r="K31" s="61"/>
    </row>
    <row r="32" spans="1:13" s="3" customFormat="1" ht="27" customHeight="1" x14ac:dyDescent="0.3">
      <c r="A32" s="58" t="s">
        <v>53</v>
      </c>
      <c r="B32" s="65">
        <v>405.35199999999998</v>
      </c>
      <c r="C32" s="248" t="s">
        <v>54</v>
      </c>
      <c r="D32" s="249"/>
      <c r="E32" s="249"/>
      <c r="F32" s="249"/>
      <c r="G32" s="249"/>
      <c r="H32" s="250"/>
      <c r="I32" s="61"/>
      <c r="J32" s="61"/>
      <c r="K32" s="66"/>
      <c r="L32" s="66"/>
      <c r="M32" s="67"/>
    </row>
    <row r="33" spans="1:13" s="3" customFormat="1" ht="17.25" customHeight="1" x14ac:dyDescent="0.3">
      <c r="A33" s="58"/>
      <c r="B33" s="68"/>
      <c r="C33" s="69"/>
      <c r="D33" s="69"/>
      <c r="E33" s="69"/>
      <c r="F33" s="69"/>
      <c r="G33" s="69"/>
      <c r="H33" s="69"/>
      <c r="I33" s="61"/>
      <c r="J33" s="61"/>
      <c r="K33" s="66"/>
      <c r="L33" s="66"/>
      <c r="M33" s="67"/>
    </row>
    <row r="34" spans="1:13" s="3" customFormat="1" ht="18.75" x14ac:dyDescent="0.3">
      <c r="A34" s="58" t="s">
        <v>55</v>
      </c>
      <c r="B34" s="70">
        <f>B31/B32</f>
        <v>0.94577305650397681</v>
      </c>
      <c r="C34" s="51" t="s">
        <v>56</v>
      </c>
      <c r="D34" s="51"/>
      <c r="E34" s="51"/>
      <c r="F34" s="51"/>
      <c r="G34" s="51"/>
      <c r="H34" s="71"/>
      <c r="I34" s="61"/>
      <c r="J34" s="61"/>
      <c r="K34" s="66"/>
      <c r="L34" s="66"/>
      <c r="M34" s="67"/>
    </row>
    <row r="35" spans="1:13" s="3" customFormat="1" ht="19.5" customHeight="1" x14ac:dyDescent="0.3">
      <c r="A35" s="58"/>
      <c r="B35" s="62"/>
      <c r="C35" s="71"/>
      <c r="D35" s="71"/>
      <c r="E35" s="71"/>
      <c r="F35" s="71"/>
      <c r="G35" s="51"/>
      <c r="H35" s="71"/>
      <c r="I35" s="61"/>
      <c r="J35" s="61"/>
      <c r="K35" s="66"/>
      <c r="L35" s="66"/>
      <c r="M35" s="67"/>
    </row>
    <row r="36" spans="1:13" s="3" customFormat="1" ht="15.75" customHeight="1" x14ac:dyDescent="0.3">
      <c r="A36" s="72" t="s">
        <v>113</v>
      </c>
      <c r="B36" s="73">
        <v>50</v>
      </c>
      <c r="C36" s="51"/>
      <c r="D36" s="269" t="s">
        <v>57</v>
      </c>
      <c r="E36" s="270"/>
      <c r="F36" s="269" t="s">
        <v>58</v>
      </c>
      <c r="G36" s="270"/>
      <c r="H36" s="71"/>
      <c r="I36" s="61"/>
      <c r="J36" s="61"/>
      <c r="K36" s="66"/>
      <c r="L36" s="66"/>
      <c r="M36" s="67"/>
    </row>
    <row r="37" spans="1:13" s="3" customFormat="1" ht="15.75" customHeight="1" x14ac:dyDescent="0.3">
      <c r="A37" s="74" t="s">
        <v>59</v>
      </c>
      <c r="B37" s="75">
        <v>1</v>
      </c>
      <c r="C37" s="76" t="s">
        <v>60</v>
      </c>
      <c r="D37" s="77" t="s">
        <v>61</v>
      </c>
      <c r="E37" s="78" t="s">
        <v>62</v>
      </c>
      <c r="F37" s="77" t="s">
        <v>61</v>
      </c>
      <c r="G37" s="79" t="s">
        <v>62</v>
      </c>
      <c r="H37" s="71"/>
      <c r="I37" s="61"/>
      <c r="J37" s="61"/>
      <c r="K37" s="66"/>
      <c r="L37" s="66"/>
      <c r="M37" s="67"/>
    </row>
    <row r="38" spans="1:13" s="3" customFormat="1" ht="26.25" customHeight="1" x14ac:dyDescent="0.3">
      <c r="A38" s="74" t="s">
        <v>63</v>
      </c>
      <c r="B38" s="75">
        <v>1</v>
      </c>
      <c r="C38" s="80">
        <v>1</v>
      </c>
      <c r="D38" s="81">
        <v>72566546</v>
      </c>
      <c r="E38" s="82">
        <f>IF(ISBLANK(D38),"-",$D$48/$D$45*D38)</f>
        <v>77075394.088162586</v>
      </c>
      <c r="F38" s="81">
        <v>67362075</v>
      </c>
      <c r="G38" s="83">
        <f>IF(ISBLANK(F38),"-",$D$48/$F$45*F38)</f>
        <v>79431166.229654327</v>
      </c>
      <c r="H38" s="71"/>
      <c r="I38" s="61"/>
      <c r="J38" s="61"/>
      <c r="K38" s="66"/>
      <c r="L38" s="66"/>
      <c r="M38" s="67"/>
    </row>
    <row r="39" spans="1:13" s="3" customFormat="1" ht="26.25" customHeight="1" x14ac:dyDescent="0.3">
      <c r="A39" s="74" t="s">
        <v>64</v>
      </c>
      <c r="B39" s="75">
        <v>1</v>
      </c>
      <c r="C39" s="84">
        <v>2</v>
      </c>
      <c r="D39" s="85">
        <v>72609303</v>
      </c>
      <c r="E39" s="86">
        <f>IF(ISBLANK(D39),"-",$D$48/$D$45*D39)</f>
        <v>77120807.750610128</v>
      </c>
      <c r="F39" s="85">
        <v>67394568</v>
      </c>
      <c r="G39" s="87">
        <f>IF(ISBLANK(F39),"-",$D$48/$F$45*F39)</f>
        <v>79469480.917619333</v>
      </c>
      <c r="H39" s="71"/>
      <c r="I39" s="61"/>
      <c r="J39" s="61"/>
      <c r="K39" s="66"/>
      <c r="L39" s="66"/>
      <c r="M39" s="67"/>
    </row>
    <row r="40" spans="1:13" ht="26.25" customHeight="1" x14ac:dyDescent="0.3">
      <c r="A40" s="74" t="s">
        <v>65</v>
      </c>
      <c r="B40" s="75">
        <v>1</v>
      </c>
      <c r="C40" s="84">
        <v>3</v>
      </c>
      <c r="D40" s="85">
        <v>73112452</v>
      </c>
      <c r="E40" s="86">
        <f>IF(ISBLANK(D40),"-",$D$48/$D$45*D40)</f>
        <v>77655219.3989207</v>
      </c>
      <c r="F40" s="85">
        <v>67741088</v>
      </c>
      <c r="G40" s="87">
        <f>IF(ISBLANK(F40),"-",$D$48/$F$45*F40)</f>
        <v>79878086.022522941</v>
      </c>
      <c r="K40" s="66"/>
      <c r="L40" s="66"/>
      <c r="M40" s="88"/>
    </row>
    <row r="41" spans="1:13" ht="26.25" customHeight="1" x14ac:dyDescent="0.3">
      <c r="A41" s="74" t="s">
        <v>66</v>
      </c>
      <c r="B41" s="75">
        <v>1</v>
      </c>
      <c r="C41" s="89">
        <v>4</v>
      </c>
      <c r="D41" s="90"/>
      <c r="E41" s="91" t="str">
        <f>IF(ISBLANK(D41),"-",$D$48/$D$45*D41)</f>
        <v>-</v>
      </c>
      <c r="F41" s="90"/>
      <c r="G41" s="92" t="str">
        <f>IF(ISBLANK(F41),"-",$D$48/$F$45*F41)</f>
        <v>-</v>
      </c>
      <c r="K41" s="66"/>
      <c r="L41" s="66"/>
      <c r="M41" s="88"/>
    </row>
    <row r="42" spans="1:13" ht="27" customHeight="1" x14ac:dyDescent="0.25">
      <c r="A42" s="74" t="s">
        <v>67</v>
      </c>
      <c r="B42" s="75">
        <v>1</v>
      </c>
      <c r="C42" s="93" t="s">
        <v>68</v>
      </c>
      <c r="D42" s="94">
        <f>AVERAGE(D38:D41)</f>
        <v>72762767</v>
      </c>
      <c r="E42" s="95">
        <f>AVERAGE(E38:E41)</f>
        <v>77283807.079231143</v>
      </c>
      <c r="F42" s="96">
        <f>AVERAGE(F38:F41)</f>
        <v>67499243.666666672</v>
      </c>
      <c r="G42" s="97">
        <f>AVERAGE(G38:G41)</f>
        <v>79592911.056598857</v>
      </c>
      <c r="H42" s="98"/>
    </row>
    <row r="43" spans="1:13" ht="26.25" customHeight="1" x14ac:dyDescent="0.3">
      <c r="A43" s="74" t="s">
        <v>69</v>
      </c>
      <c r="B43" s="59">
        <v>1</v>
      </c>
      <c r="C43" s="99" t="s">
        <v>102</v>
      </c>
      <c r="D43" s="100">
        <v>10.68</v>
      </c>
      <c r="E43" s="101"/>
      <c r="F43" s="102">
        <v>9.6199999999999992</v>
      </c>
      <c r="H43" s="98"/>
    </row>
    <row r="44" spans="1:13" ht="26.25" customHeight="1" x14ac:dyDescent="0.3">
      <c r="A44" s="74" t="s">
        <v>70</v>
      </c>
      <c r="B44" s="59">
        <v>1</v>
      </c>
      <c r="C44" s="103" t="s">
        <v>103</v>
      </c>
      <c r="D44" s="104">
        <f>D43*$B$34</f>
        <v>10.100856243462472</v>
      </c>
      <c r="E44" s="105"/>
      <c r="F44" s="106">
        <f>F43*$B$34</f>
        <v>9.0983368035682552</v>
      </c>
      <c r="H44" s="98"/>
    </row>
    <row r="45" spans="1:13" ht="19.5" customHeight="1" x14ac:dyDescent="0.3">
      <c r="A45" s="74" t="s">
        <v>71</v>
      </c>
      <c r="B45" s="107">
        <f>(B44/B43)*(B42/B41)*(B40/B39)*(B38/B37)*B36</f>
        <v>50</v>
      </c>
      <c r="C45" s="103" t="s">
        <v>72</v>
      </c>
      <c r="D45" s="108">
        <f>D44*$B$30/100</f>
        <v>9.4150081045313705</v>
      </c>
      <c r="E45" s="109"/>
      <c r="F45" s="110">
        <f>F44*$B$30/100</f>
        <v>8.4805597346059702</v>
      </c>
      <c r="H45" s="98"/>
    </row>
    <row r="46" spans="1:13" ht="19.5" customHeight="1" x14ac:dyDescent="0.3">
      <c r="A46" s="241" t="s">
        <v>73</v>
      </c>
      <c r="B46" s="242"/>
      <c r="C46" s="103" t="s">
        <v>74</v>
      </c>
      <c r="D46" s="104">
        <f>D45/$B$45</f>
        <v>0.18830016209062742</v>
      </c>
      <c r="E46" s="109"/>
      <c r="F46" s="111">
        <f>F45/$B$45</f>
        <v>0.16961119469211941</v>
      </c>
      <c r="H46" s="98"/>
    </row>
    <row r="47" spans="1:13" ht="27" customHeight="1" x14ac:dyDescent="0.3">
      <c r="A47" s="243"/>
      <c r="B47" s="244"/>
      <c r="C47" s="103" t="s">
        <v>114</v>
      </c>
      <c r="D47" s="112">
        <v>0.2</v>
      </c>
      <c r="F47" s="113"/>
      <c r="H47" s="98"/>
    </row>
    <row r="48" spans="1:13" ht="18.75" x14ac:dyDescent="0.3">
      <c r="C48" s="103" t="s">
        <v>75</v>
      </c>
      <c r="D48" s="104">
        <f>D47*$B$45</f>
        <v>10</v>
      </c>
      <c r="F48" s="113"/>
      <c r="H48" s="98"/>
    </row>
    <row r="49" spans="1:11" ht="19.5" customHeight="1" x14ac:dyDescent="0.3">
      <c r="C49" s="114" t="s">
        <v>76</v>
      </c>
      <c r="D49" s="115">
        <f>D48/B34</f>
        <v>10.573361052348769</v>
      </c>
      <c r="F49" s="116"/>
      <c r="H49" s="98"/>
    </row>
    <row r="50" spans="1:11" ht="18.75" x14ac:dyDescent="0.3">
      <c r="C50" s="117" t="s">
        <v>77</v>
      </c>
      <c r="D50" s="118">
        <f>AVERAGE(E38:E41,G38:G41)</f>
        <v>78438359.067915007</v>
      </c>
      <c r="F50" s="116"/>
      <c r="H50" s="98"/>
    </row>
    <row r="51" spans="1:11" ht="18.75" x14ac:dyDescent="0.3">
      <c r="C51" s="119" t="s">
        <v>78</v>
      </c>
      <c r="D51" s="120">
        <f>STDEV(E38:E41,G38:G41)/D50</f>
        <v>1.6454052775524908E-2</v>
      </c>
      <c r="F51" s="116"/>
    </row>
    <row r="52" spans="1:11" ht="19.5" customHeight="1" x14ac:dyDescent="0.3">
      <c r="C52" s="121" t="s">
        <v>20</v>
      </c>
      <c r="D52" s="122">
        <f>COUNT(E38:E41,G38:G41)</f>
        <v>6</v>
      </c>
      <c r="F52" s="116"/>
    </row>
    <row r="54" spans="1:11" ht="18.75" x14ac:dyDescent="0.3">
      <c r="A54" s="123" t="s">
        <v>1</v>
      </c>
      <c r="B54" s="124" t="s">
        <v>79</v>
      </c>
    </row>
    <row r="55" spans="1:11" ht="18.75" x14ac:dyDescent="0.3">
      <c r="A55" s="51" t="s">
        <v>80</v>
      </c>
      <c r="B55" s="125" t="str">
        <f>B21</f>
        <v>Each tablet contains Pantoprazole sodium 40mg</v>
      </c>
    </row>
    <row r="56" spans="1:11" ht="26.25" customHeight="1" x14ac:dyDescent="0.3">
      <c r="A56" s="126" t="s">
        <v>81</v>
      </c>
      <c r="B56" s="60">
        <v>40</v>
      </c>
      <c r="C56" s="51" t="str">
        <f>B20</f>
        <v>Pantoprazole Sodium</v>
      </c>
      <c r="H56" s="127"/>
    </row>
    <row r="57" spans="1:11" ht="18.75" x14ac:dyDescent="0.3">
      <c r="A57" s="125" t="s">
        <v>82</v>
      </c>
      <c r="B57" s="228">
        <f>Uniformity!C46</f>
        <v>227.62950000000006</v>
      </c>
      <c r="H57" s="127"/>
    </row>
    <row r="58" spans="1:11" ht="19.5" customHeight="1" x14ac:dyDescent="0.3">
      <c r="H58" s="127"/>
    </row>
    <row r="59" spans="1:11" s="3" customFormat="1" ht="27" customHeight="1" x14ac:dyDescent="0.3">
      <c r="A59" s="72" t="s">
        <v>115</v>
      </c>
      <c r="B59" s="73">
        <v>100</v>
      </c>
      <c r="C59" s="51"/>
      <c r="D59" s="128" t="s">
        <v>83</v>
      </c>
      <c r="E59" s="129" t="s">
        <v>60</v>
      </c>
      <c r="F59" s="129" t="s">
        <v>61</v>
      </c>
      <c r="G59" s="129" t="s">
        <v>84</v>
      </c>
      <c r="H59" s="76" t="s">
        <v>85</v>
      </c>
      <c r="K59" s="61"/>
    </row>
    <row r="60" spans="1:11" s="3" customFormat="1" ht="26.25" customHeight="1" x14ac:dyDescent="0.3">
      <c r="A60" s="74" t="s">
        <v>109</v>
      </c>
      <c r="B60" s="75">
        <v>10</v>
      </c>
      <c r="C60" s="271" t="s">
        <v>86</v>
      </c>
      <c r="D60" s="255">
        <v>215.52</v>
      </c>
      <c r="E60" s="130">
        <v>1</v>
      </c>
      <c r="F60" s="131"/>
      <c r="G60" s="132" t="str">
        <f>IF(ISBLANK(F60),"-",(F60/$D$50*$D$47*$B$68)*($B$57/$D$60))</f>
        <v>-</v>
      </c>
      <c r="H60" s="133" t="str">
        <f t="shared" ref="H60:H71" si="0">IF(ISBLANK(F60),"-",G60/$B$56)</f>
        <v>-</v>
      </c>
      <c r="K60" s="61"/>
    </row>
    <row r="61" spans="1:11" s="3" customFormat="1" ht="26.25" customHeight="1" x14ac:dyDescent="0.3">
      <c r="A61" s="74" t="s">
        <v>87</v>
      </c>
      <c r="B61" s="75">
        <v>20</v>
      </c>
      <c r="C61" s="272"/>
      <c r="D61" s="256"/>
      <c r="E61" s="134">
        <v>2</v>
      </c>
      <c r="F61" s="85"/>
      <c r="G61" s="135" t="str">
        <f>IF(ISBLANK(F61),"-",(F61/$D$50*$D$47*$B$68)*($B$57/$D$60))</f>
        <v>-</v>
      </c>
      <c r="H61" s="136" t="str">
        <f t="shared" si="0"/>
        <v>-</v>
      </c>
      <c r="K61" s="61"/>
    </row>
    <row r="62" spans="1:11" s="3" customFormat="1" ht="26.25" customHeight="1" x14ac:dyDescent="0.3">
      <c r="A62" s="74" t="s">
        <v>88</v>
      </c>
      <c r="B62" s="75">
        <v>1</v>
      </c>
      <c r="C62" s="272"/>
      <c r="D62" s="256"/>
      <c r="E62" s="134">
        <v>3</v>
      </c>
      <c r="F62" s="85"/>
      <c r="G62" s="135" t="str">
        <f>IF(ISBLANK(F62),"-",(F62/$D$50*$D$47*$B$68)*($B$57/$D$60))</f>
        <v>-</v>
      </c>
      <c r="H62" s="136" t="str">
        <f t="shared" si="0"/>
        <v>-</v>
      </c>
      <c r="K62" s="61"/>
    </row>
    <row r="63" spans="1:11" ht="27" customHeight="1" x14ac:dyDescent="0.25">
      <c r="A63" s="74" t="s">
        <v>89</v>
      </c>
      <c r="B63" s="75">
        <v>1</v>
      </c>
      <c r="C63" s="273"/>
      <c r="D63" s="257"/>
      <c r="E63" s="137">
        <v>4</v>
      </c>
      <c r="F63" s="138"/>
      <c r="G63" s="135" t="str">
        <f>IF(ISBLANK(F63),"-",(F63/$D$50*$D$47*$B$68)*($B$57/$D$60))</f>
        <v>-</v>
      </c>
      <c r="H63" s="136" t="str">
        <f t="shared" si="0"/>
        <v>-</v>
      </c>
    </row>
    <row r="64" spans="1:11" ht="26.25" customHeight="1" x14ac:dyDescent="0.25">
      <c r="A64" s="74" t="s">
        <v>90</v>
      </c>
      <c r="B64" s="75">
        <v>1</v>
      </c>
      <c r="C64" s="271" t="s">
        <v>91</v>
      </c>
      <c r="D64" s="255">
        <v>221.22</v>
      </c>
      <c r="E64" s="130">
        <v>1</v>
      </c>
      <c r="F64" s="131">
        <v>65148759</v>
      </c>
      <c r="G64" s="139">
        <f>IF(ISBLANK(F64),"-",(F64/$D$50*$D$47*$B$68)*($B$57/$D$64))</f>
        <v>34.185488917263683</v>
      </c>
      <c r="H64" s="140">
        <f t="shared" si="0"/>
        <v>0.85463722293159206</v>
      </c>
    </row>
    <row r="65" spans="1:8" ht="26.25" customHeight="1" x14ac:dyDescent="0.25">
      <c r="A65" s="74" t="s">
        <v>92</v>
      </c>
      <c r="B65" s="75">
        <v>1</v>
      </c>
      <c r="C65" s="272"/>
      <c r="D65" s="256"/>
      <c r="E65" s="134">
        <v>2</v>
      </c>
      <c r="F65" s="85">
        <v>65236478</v>
      </c>
      <c r="G65" s="141">
        <f>IF(ISBLANK(F65),"-",(F65/$D$50*$D$47*$B$68)*($B$57/$D$64))</f>
        <v>34.2315176820224</v>
      </c>
      <c r="H65" s="142">
        <f t="shared" si="0"/>
        <v>0.85578794205055997</v>
      </c>
    </row>
    <row r="66" spans="1:8" ht="26.25" customHeight="1" x14ac:dyDescent="0.25">
      <c r="A66" s="74" t="s">
        <v>93</v>
      </c>
      <c r="B66" s="75">
        <v>1</v>
      </c>
      <c r="C66" s="272"/>
      <c r="D66" s="256"/>
      <c r="E66" s="134">
        <v>3</v>
      </c>
      <c r="F66" s="85">
        <v>65121776</v>
      </c>
      <c r="G66" s="141">
        <f>IF(ISBLANK(F66),"-",(F66/$D$50*$D$47*$B$68)*($B$57/$D$64))</f>
        <v>34.171330135705695</v>
      </c>
      <c r="H66" s="142">
        <f t="shared" si="0"/>
        <v>0.85428325339264233</v>
      </c>
    </row>
    <row r="67" spans="1:8" ht="27" customHeight="1" x14ac:dyDescent="0.25">
      <c r="A67" s="74" t="s">
        <v>94</v>
      </c>
      <c r="B67" s="75">
        <v>1</v>
      </c>
      <c r="C67" s="273"/>
      <c r="D67" s="257"/>
      <c r="E67" s="137">
        <v>4</v>
      </c>
      <c r="F67" s="138"/>
      <c r="G67" s="143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25">
      <c r="A68" s="74" t="s">
        <v>95</v>
      </c>
      <c r="B68" s="145">
        <f>(B67/B66)*(B65/B64)*(B63/B62)*(B61/B60)*B59</f>
        <v>200</v>
      </c>
      <c r="C68" s="271" t="s">
        <v>96</v>
      </c>
      <c r="D68" s="255">
        <v>227.35</v>
      </c>
      <c r="E68" s="130">
        <v>1</v>
      </c>
      <c r="F68" s="131">
        <v>68466572</v>
      </c>
      <c r="G68" s="139">
        <f>IF(ISBLANK(F68),"-",(F68/$D$50*$D$47*$B$68)*($B$57/$D$68))</f>
        <v>34.957765249809597</v>
      </c>
      <c r="H68" s="136">
        <f t="shared" si="0"/>
        <v>0.87394413124523995</v>
      </c>
    </row>
    <row r="69" spans="1:8" ht="27" customHeight="1" x14ac:dyDescent="0.25">
      <c r="A69" s="146" t="s">
        <v>97</v>
      </c>
      <c r="B69" s="230">
        <f>(D47*B68)/B56*B57</f>
        <v>227.62950000000006</v>
      </c>
      <c r="C69" s="272"/>
      <c r="D69" s="256"/>
      <c r="E69" s="134">
        <v>2</v>
      </c>
      <c r="F69" s="85">
        <v>68364577</v>
      </c>
      <c r="G69" s="141">
        <f>IF(ISBLANK(F69),"-",(F69/$D$50*$D$47*$B$68)*($B$57/$D$68))</f>
        <v>34.905688489392055</v>
      </c>
      <c r="H69" s="136">
        <f t="shared" si="0"/>
        <v>0.87264221223480143</v>
      </c>
    </row>
    <row r="70" spans="1:8" ht="26.25" customHeight="1" x14ac:dyDescent="0.25">
      <c r="A70" s="258" t="s">
        <v>73</v>
      </c>
      <c r="B70" s="259"/>
      <c r="C70" s="272"/>
      <c r="D70" s="256"/>
      <c r="E70" s="134">
        <v>3</v>
      </c>
      <c r="F70" s="85">
        <v>68342725</v>
      </c>
      <c r="G70" s="141">
        <f>IF(ISBLANK(F70),"-",(F70/$D$50*$D$47*$B$68)*($B$57/$D$68))</f>
        <v>34.894531262384426</v>
      </c>
      <c r="H70" s="136">
        <f t="shared" si="0"/>
        <v>0.87236328155961063</v>
      </c>
    </row>
    <row r="71" spans="1:8" ht="27" customHeight="1" x14ac:dyDescent="0.25">
      <c r="A71" s="260"/>
      <c r="B71" s="261"/>
      <c r="C71" s="273"/>
      <c r="D71" s="257"/>
      <c r="E71" s="137">
        <v>4</v>
      </c>
      <c r="F71" s="138"/>
      <c r="G71" s="143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25">
      <c r="A72" s="148"/>
      <c r="B72" s="148"/>
      <c r="C72" s="148"/>
      <c r="D72" s="148"/>
      <c r="E72" s="148"/>
      <c r="F72" s="149"/>
      <c r="G72" s="150" t="s">
        <v>68</v>
      </c>
      <c r="H72" s="151">
        <f>AVERAGE(H60:H71)</f>
        <v>0.86394300723574091</v>
      </c>
    </row>
    <row r="73" spans="1:8" ht="26.25" customHeight="1" x14ac:dyDescent="0.3">
      <c r="C73" s="148"/>
      <c r="D73" s="148"/>
      <c r="E73" s="148"/>
      <c r="F73" s="149"/>
      <c r="G73" s="119" t="s">
        <v>78</v>
      </c>
      <c r="H73" s="152">
        <f>STDEV(H60:H71)/H72</f>
        <v>1.1493682278562088E-2</v>
      </c>
    </row>
    <row r="74" spans="1:8" ht="27" customHeight="1" x14ac:dyDescent="0.25">
      <c r="A74" s="148"/>
      <c r="B74" s="148"/>
      <c r="C74" s="149"/>
      <c r="D74" s="149"/>
      <c r="E74" s="153"/>
      <c r="F74" s="149"/>
      <c r="G74" s="121" t="s">
        <v>20</v>
      </c>
      <c r="H74" s="154">
        <f>COUNT(H60:H71)</f>
        <v>6</v>
      </c>
    </row>
    <row r="75" spans="1:8" s="50" customFormat="1" ht="18.75" x14ac:dyDescent="0.3">
      <c r="A75" s="155"/>
      <c r="B75" s="155"/>
      <c r="C75" s="105"/>
      <c r="D75" s="105"/>
      <c r="E75" s="109"/>
      <c r="F75" s="105"/>
      <c r="G75" s="156"/>
      <c r="H75" s="157"/>
    </row>
    <row r="76" spans="1:8" s="50" customFormat="1" ht="26.25" customHeight="1" x14ac:dyDescent="0.3">
      <c r="A76" s="57" t="s">
        <v>116</v>
      </c>
      <c r="B76" s="158" t="s">
        <v>99</v>
      </c>
      <c r="C76" s="254" t="str">
        <f>B20</f>
        <v>Pantoprazole Sodium</v>
      </c>
      <c r="D76" s="254"/>
      <c r="E76" s="159" t="s">
        <v>100</v>
      </c>
      <c r="F76" s="159"/>
      <c r="G76" s="229">
        <f>H72</f>
        <v>0.86394300723574091</v>
      </c>
      <c r="H76" s="157"/>
    </row>
    <row r="77" spans="1:8" ht="18.75" x14ac:dyDescent="0.25">
      <c r="A77" s="148"/>
      <c r="B77" s="148"/>
      <c r="C77" s="149"/>
      <c r="D77" s="149"/>
      <c r="E77" s="153"/>
      <c r="F77" s="149"/>
      <c r="G77" s="160"/>
      <c r="H77" s="157"/>
    </row>
    <row r="78" spans="1:8" ht="18.75" x14ac:dyDescent="0.3">
      <c r="A78" s="56"/>
      <c r="B78" s="56" t="s">
        <v>101</v>
      </c>
    </row>
    <row r="79" spans="1:8" ht="18.75" x14ac:dyDescent="0.3">
      <c r="A79" s="56"/>
      <c r="B79" s="56"/>
    </row>
    <row r="80" spans="1:8" ht="26.25" customHeight="1" x14ac:dyDescent="0.3">
      <c r="A80" s="57" t="s">
        <v>4</v>
      </c>
      <c r="B80" s="60" t="s">
        <v>126</v>
      </c>
    </row>
    <row r="81" spans="1:11" ht="26.25" customHeight="1" x14ac:dyDescent="0.3">
      <c r="A81" s="58" t="s">
        <v>48</v>
      </c>
      <c r="B81" s="60" t="s">
        <v>121</v>
      </c>
    </row>
    <row r="82" spans="1:11" ht="27" customHeight="1" x14ac:dyDescent="0.3">
      <c r="A82" s="58" t="s">
        <v>6</v>
      </c>
      <c r="B82" s="60">
        <v>93.8</v>
      </c>
    </row>
    <row r="83" spans="1:11" s="3" customFormat="1" ht="27" customHeight="1" x14ac:dyDescent="0.3">
      <c r="A83" s="58" t="s">
        <v>49</v>
      </c>
      <c r="B83" s="60">
        <f>B29</f>
        <v>0</v>
      </c>
      <c r="C83" s="245" t="s">
        <v>112</v>
      </c>
      <c r="D83" s="246"/>
      <c r="E83" s="246"/>
      <c r="F83" s="246"/>
      <c r="G83" s="246"/>
      <c r="H83" s="247"/>
      <c r="I83" s="61"/>
      <c r="J83" s="61"/>
      <c r="K83" s="61"/>
    </row>
    <row r="84" spans="1:11" s="3" customFormat="1" ht="19.5" customHeight="1" x14ac:dyDescent="0.3">
      <c r="A84" s="58" t="s">
        <v>50</v>
      </c>
      <c r="B84" s="62">
        <f>B82-B83</f>
        <v>93.8</v>
      </c>
      <c r="C84" s="63"/>
      <c r="D84" s="63"/>
      <c r="E84" s="63"/>
      <c r="F84" s="63"/>
      <c r="G84" s="63"/>
      <c r="H84" s="64"/>
      <c r="I84" s="61"/>
      <c r="J84" s="61"/>
      <c r="K84" s="61"/>
    </row>
    <row r="85" spans="1:11" s="3" customFormat="1" ht="27" customHeight="1" x14ac:dyDescent="0.3">
      <c r="A85" s="58" t="s">
        <v>51</v>
      </c>
      <c r="B85" s="65">
        <v>383.37</v>
      </c>
      <c r="C85" s="248" t="s">
        <v>52</v>
      </c>
      <c r="D85" s="249"/>
      <c r="E85" s="249"/>
      <c r="F85" s="249"/>
      <c r="G85" s="249"/>
      <c r="H85" s="250"/>
      <c r="I85" s="61"/>
      <c r="J85" s="61"/>
      <c r="K85" s="61"/>
    </row>
    <row r="86" spans="1:11" s="3" customFormat="1" ht="27" customHeight="1" x14ac:dyDescent="0.3">
      <c r="A86" s="58" t="s">
        <v>53</v>
      </c>
      <c r="B86" s="65">
        <v>432.4</v>
      </c>
      <c r="C86" s="248" t="s">
        <v>54</v>
      </c>
      <c r="D86" s="249"/>
      <c r="E86" s="249"/>
      <c r="F86" s="249"/>
      <c r="G86" s="249"/>
      <c r="H86" s="250"/>
      <c r="I86" s="61"/>
      <c r="J86" s="61"/>
      <c r="K86" s="61"/>
    </row>
    <row r="87" spans="1:11" s="3" customFormat="1" ht="18.75" x14ac:dyDescent="0.3">
      <c r="A87" s="58"/>
      <c r="B87" s="68"/>
      <c r="C87" s="69"/>
      <c r="D87" s="69"/>
      <c r="E87" s="69"/>
      <c r="F87" s="69"/>
      <c r="G87" s="69"/>
      <c r="H87" s="69"/>
      <c r="I87" s="61"/>
      <c r="J87" s="61"/>
      <c r="K87" s="61"/>
    </row>
    <row r="88" spans="1:11" s="3" customFormat="1" ht="18.75" x14ac:dyDescent="0.3">
      <c r="A88" s="58" t="s">
        <v>55</v>
      </c>
      <c r="B88" s="70">
        <f>B85/B86</f>
        <v>0.88660962072155414</v>
      </c>
      <c r="C88" s="51" t="s">
        <v>56</v>
      </c>
      <c r="D88" s="51"/>
      <c r="E88" s="51"/>
      <c r="F88" s="51"/>
      <c r="G88" s="51"/>
      <c r="H88" s="71"/>
      <c r="I88" s="61"/>
      <c r="J88" s="61"/>
      <c r="K88" s="61"/>
    </row>
    <row r="89" spans="1:11" ht="19.5" customHeight="1" x14ac:dyDescent="0.3">
      <c r="A89" s="56"/>
      <c r="B89" s="56"/>
    </row>
    <row r="90" spans="1:11" ht="27" customHeight="1" x14ac:dyDescent="0.3">
      <c r="A90" s="72" t="s">
        <v>113</v>
      </c>
      <c r="B90" s="73">
        <v>50</v>
      </c>
      <c r="D90" s="161" t="s">
        <v>57</v>
      </c>
      <c r="E90" s="162"/>
      <c r="F90" s="269" t="s">
        <v>58</v>
      </c>
      <c r="G90" s="270"/>
    </row>
    <row r="91" spans="1:11" ht="26.25" customHeight="1" x14ac:dyDescent="0.3">
      <c r="A91" s="74" t="s">
        <v>59</v>
      </c>
      <c r="B91" s="75">
        <v>10</v>
      </c>
      <c r="C91" s="163" t="s">
        <v>60</v>
      </c>
      <c r="D91" s="77" t="s">
        <v>61</v>
      </c>
      <c r="E91" s="78" t="s">
        <v>62</v>
      </c>
      <c r="F91" s="77" t="s">
        <v>61</v>
      </c>
      <c r="G91" s="79" t="s">
        <v>62</v>
      </c>
    </row>
    <row r="92" spans="1:11" ht="26.25" customHeight="1" x14ac:dyDescent="0.3">
      <c r="A92" s="74" t="s">
        <v>63</v>
      </c>
      <c r="B92" s="75">
        <v>100</v>
      </c>
      <c r="C92" s="164">
        <v>1</v>
      </c>
      <c r="D92" s="81">
        <v>5733967</v>
      </c>
      <c r="E92" s="82">
        <f>IF(ISBLANK(D92),"-",$D$102/$D$99*D92)</f>
        <v>8306954.2541969232</v>
      </c>
      <c r="F92" s="81">
        <v>6811681</v>
      </c>
      <c r="G92" s="83">
        <f>IF(ISBLANK(F92),"-",$D$102/$F$99*F92)</f>
        <v>8357818.7280025007</v>
      </c>
    </row>
    <row r="93" spans="1:11" ht="26.25" customHeight="1" x14ac:dyDescent="0.3">
      <c r="A93" s="74" t="s">
        <v>64</v>
      </c>
      <c r="B93" s="75">
        <v>1</v>
      </c>
      <c r="C93" s="149">
        <v>2</v>
      </c>
      <c r="D93" s="85">
        <v>5686938</v>
      </c>
      <c r="E93" s="86">
        <f>IF(ISBLANK(D93),"-",$D$102/$D$99*D93)</f>
        <v>8238822.060268946</v>
      </c>
      <c r="F93" s="85">
        <v>6852043</v>
      </c>
      <c r="G93" s="87">
        <f>IF(ISBLANK(F93),"-",$D$102/$F$99*F93)</f>
        <v>8407342.2273413036</v>
      </c>
    </row>
    <row r="94" spans="1:11" ht="26.25" customHeight="1" x14ac:dyDescent="0.3">
      <c r="A94" s="74" t="s">
        <v>65</v>
      </c>
      <c r="B94" s="75">
        <v>1</v>
      </c>
      <c r="C94" s="149">
        <v>3</v>
      </c>
      <c r="D94" s="85">
        <v>5734159</v>
      </c>
      <c r="E94" s="86">
        <f>IF(ISBLANK(D94),"-",$D$102/$D$99*D94)</f>
        <v>8307232.4098292822</v>
      </c>
      <c r="F94" s="85">
        <v>6854053</v>
      </c>
      <c r="G94" s="87">
        <f>IF(ISBLANK(F94),"-",$D$102/$F$99*F94)</f>
        <v>8409808.4637436382</v>
      </c>
    </row>
    <row r="95" spans="1:11" ht="26.25" customHeight="1" x14ac:dyDescent="0.3">
      <c r="A95" s="74" t="s">
        <v>66</v>
      </c>
      <c r="B95" s="75">
        <v>1</v>
      </c>
      <c r="C95" s="165">
        <v>4</v>
      </c>
      <c r="D95" s="90"/>
      <c r="E95" s="91" t="str">
        <f>IF(ISBLANK(D95),"-",$D$102/$D$99*D95)</f>
        <v>-</v>
      </c>
      <c r="F95" s="166"/>
      <c r="G95" s="92" t="str">
        <f>IF(ISBLANK(F95),"-",$D$102/$F$99*F95)</f>
        <v>-</v>
      </c>
    </row>
    <row r="96" spans="1:11" ht="27" customHeight="1" x14ac:dyDescent="0.3">
      <c r="A96" s="74" t="s">
        <v>67</v>
      </c>
      <c r="B96" s="75">
        <v>1</v>
      </c>
      <c r="C96" s="160" t="s">
        <v>68</v>
      </c>
      <c r="D96" s="167">
        <f>AVERAGE(D92:D95)</f>
        <v>5718354.666666667</v>
      </c>
      <c r="E96" s="95">
        <f>AVERAGE(E92:E95)</f>
        <v>8284336.2414317168</v>
      </c>
      <c r="F96" s="168">
        <f>AVERAGE(F92:F95)</f>
        <v>6839259</v>
      </c>
      <c r="G96" s="169">
        <f>AVERAGE(G92:G95)</f>
        <v>8391656.4730291478</v>
      </c>
    </row>
    <row r="97" spans="1:9" ht="26.25" customHeight="1" x14ac:dyDescent="0.3">
      <c r="A97" s="74" t="s">
        <v>69</v>
      </c>
      <c r="B97" s="59">
        <v>1</v>
      </c>
      <c r="C97" s="99" t="s">
        <v>102</v>
      </c>
      <c r="D97" s="170">
        <v>8.3000000000000007</v>
      </c>
      <c r="E97" s="101"/>
      <c r="F97" s="102">
        <v>9.8000000000000007</v>
      </c>
    </row>
    <row r="98" spans="1:9" ht="26.25" customHeight="1" x14ac:dyDescent="0.3">
      <c r="A98" s="74" t="s">
        <v>70</v>
      </c>
      <c r="B98" s="59">
        <v>1</v>
      </c>
      <c r="C98" s="103" t="s">
        <v>103</v>
      </c>
      <c r="D98" s="104">
        <f>D97*$B$88</f>
        <v>7.3588598519888997</v>
      </c>
      <c r="E98" s="105"/>
      <c r="F98" s="106">
        <f>F97*$B$88</f>
        <v>8.6887742830712309</v>
      </c>
    </row>
    <row r="99" spans="1:9" ht="19.5" customHeight="1" x14ac:dyDescent="0.3">
      <c r="A99" s="74" t="s">
        <v>71</v>
      </c>
      <c r="B99" s="107">
        <f>(B98/B97)*(B96/B95)*(B94/B93)*(B92/B91)*B90</f>
        <v>500</v>
      </c>
      <c r="C99" s="103" t="s">
        <v>72</v>
      </c>
      <c r="D99" s="108">
        <f>D98*$B$84/100</f>
        <v>6.9026105411655871</v>
      </c>
      <c r="E99" s="109"/>
      <c r="F99" s="110">
        <f>F98*$B$84/100</f>
        <v>8.1500702775208147</v>
      </c>
    </row>
    <row r="100" spans="1:9" ht="19.5" customHeight="1" x14ac:dyDescent="0.25">
      <c r="A100" s="241" t="s">
        <v>73</v>
      </c>
      <c r="B100" s="251"/>
      <c r="C100" s="103" t="s">
        <v>74</v>
      </c>
      <c r="D100" s="171">
        <f>D99/$B$99</f>
        <v>1.3805221082331174E-2</v>
      </c>
      <c r="E100" s="109"/>
      <c r="F100" s="172">
        <f>F99/$B$99</f>
        <v>1.6300140555041628E-2</v>
      </c>
      <c r="G100" s="173"/>
      <c r="H100" s="98"/>
    </row>
    <row r="101" spans="1:9" ht="19.5" customHeight="1" x14ac:dyDescent="0.3">
      <c r="A101" s="243"/>
      <c r="B101" s="252"/>
      <c r="C101" s="103" t="s">
        <v>114</v>
      </c>
      <c r="D101" s="174">
        <f>$B$56/$B$136</f>
        <v>0.02</v>
      </c>
      <c r="F101" s="113"/>
      <c r="G101" s="175"/>
      <c r="H101" s="98"/>
    </row>
    <row r="102" spans="1:9" ht="18.75" x14ac:dyDescent="0.3">
      <c r="C102" s="103" t="s">
        <v>75</v>
      </c>
      <c r="D102" s="104">
        <f>D101*$B$99</f>
        <v>10</v>
      </c>
      <c r="F102" s="113"/>
      <c r="G102" s="173"/>
      <c r="H102" s="98"/>
    </row>
    <row r="103" spans="1:9" ht="19.5" customHeight="1" x14ac:dyDescent="0.3">
      <c r="C103" s="114" t="s">
        <v>76</v>
      </c>
      <c r="D103" s="176">
        <f>D102/B34</f>
        <v>10.573361052348769</v>
      </c>
      <c r="F103" s="116"/>
      <c r="G103" s="173"/>
      <c r="H103" s="98"/>
      <c r="I103" s="177"/>
    </row>
    <row r="104" spans="1:9" ht="18.75" x14ac:dyDescent="0.3">
      <c r="C104" s="117" t="s">
        <v>104</v>
      </c>
      <c r="D104" s="118">
        <f>AVERAGE(E92:E95,G92:G95)</f>
        <v>8337996.3572304323</v>
      </c>
      <c r="F104" s="116"/>
      <c r="G104" s="178"/>
      <c r="H104" s="98"/>
      <c r="I104" s="179"/>
    </row>
    <row r="105" spans="1:9" ht="18.75" x14ac:dyDescent="0.3">
      <c r="C105" s="119" t="s">
        <v>78</v>
      </c>
      <c r="D105" s="180">
        <f>STDEV(E92:E95,G92:G95)/D104</f>
        <v>7.974288798287538E-3</v>
      </c>
      <c r="F105" s="116"/>
      <c r="G105" s="173"/>
      <c r="H105" s="98"/>
      <c r="I105" s="179"/>
    </row>
    <row r="106" spans="1:9" ht="19.5" customHeight="1" x14ac:dyDescent="0.3">
      <c r="C106" s="121" t="s">
        <v>20</v>
      </c>
      <c r="D106" s="181">
        <f>COUNT(E92:E95,G92:G95)</f>
        <v>6</v>
      </c>
      <c r="F106" s="116"/>
      <c r="G106" s="173"/>
      <c r="H106" s="98"/>
      <c r="I106" s="179"/>
    </row>
    <row r="107" spans="1:9" s="50" customFormat="1" ht="18.75" x14ac:dyDescent="0.3">
      <c r="A107" s="182"/>
      <c r="B107" s="182"/>
      <c r="C107" s="156"/>
      <c r="D107" s="157"/>
      <c r="E107" s="182"/>
      <c r="F107" s="116"/>
      <c r="G107" s="183"/>
      <c r="H107" s="184"/>
      <c r="I107" s="179"/>
    </row>
    <row r="108" spans="1:9" s="50" customFormat="1" ht="18.75" x14ac:dyDescent="0.3">
      <c r="A108" s="56" t="s">
        <v>117</v>
      </c>
      <c r="B108" s="182"/>
      <c r="C108" s="156"/>
      <c r="D108" s="157"/>
      <c r="E108" s="182"/>
      <c r="F108" s="116"/>
      <c r="G108" s="183"/>
      <c r="H108" s="184"/>
      <c r="I108" s="179"/>
    </row>
    <row r="109" spans="1:9" ht="19.5" customHeight="1" x14ac:dyDescent="0.3">
      <c r="A109" s="123"/>
      <c r="B109" s="123"/>
      <c r="C109" s="123"/>
      <c r="D109" s="123"/>
      <c r="E109" s="123"/>
    </row>
    <row r="110" spans="1:9" ht="26.25" customHeight="1" x14ac:dyDescent="0.3">
      <c r="A110" s="72" t="s">
        <v>105</v>
      </c>
      <c r="B110" s="73">
        <v>1000</v>
      </c>
      <c r="C110" s="185" t="s">
        <v>106</v>
      </c>
      <c r="D110" s="186" t="s">
        <v>61</v>
      </c>
      <c r="E110" s="187" t="s">
        <v>107</v>
      </c>
      <c r="F110" s="188" t="s">
        <v>108</v>
      </c>
    </row>
    <row r="111" spans="1:9" ht="26.25" customHeight="1" x14ac:dyDescent="0.3">
      <c r="A111" s="74" t="s">
        <v>109</v>
      </c>
      <c r="B111" s="75">
        <v>10</v>
      </c>
      <c r="C111" s="189">
        <v>1</v>
      </c>
      <c r="D111" s="190">
        <v>10987</v>
      </c>
      <c r="E111" s="191">
        <f t="shared" ref="E111:E116" si="1">IF(ISBLANK(D111),"-",D111/$D$104*$D$101*$B$119)</f>
        <v>5.2708106500777931E-2</v>
      </c>
      <c r="F111" s="192">
        <f t="shared" ref="F111:F116" si="2">IF(ISBLANK(D111), "-", E111/$B$56)</f>
        <v>1.3177026625194482E-3</v>
      </c>
    </row>
    <row r="112" spans="1:9" ht="26.25" customHeight="1" x14ac:dyDescent="0.3">
      <c r="A112" s="74" t="s">
        <v>87</v>
      </c>
      <c r="B112" s="75">
        <v>20</v>
      </c>
      <c r="C112" s="189">
        <v>2</v>
      </c>
      <c r="D112" s="190">
        <v>10198</v>
      </c>
      <c r="E112" s="193">
        <f t="shared" si="1"/>
        <v>4.8923024492120985E-2</v>
      </c>
      <c r="F112" s="194">
        <f t="shared" si="2"/>
        <v>1.2230756123030246E-3</v>
      </c>
    </row>
    <row r="113" spans="1:9" ht="26.25" customHeight="1" x14ac:dyDescent="0.3">
      <c r="A113" s="74" t="s">
        <v>88</v>
      </c>
      <c r="B113" s="75">
        <v>1</v>
      </c>
      <c r="C113" s="189">
        <v>3</v>
      </c>
      <c r="D113" s="190">
        <v>8169</v>
      </c>
      <c r="E113" s="193">
        <f t="shared" si="1"/>
        <v>3.9189271139060247E-2</v>
      </c>
      <c r="F113" s="194">
        <f t="shared" si="2"/>
        <v>9.7973177847650609E-4</v>
      </c>
    </row>
    <row r="114" spans="1:9" ht="26.25" customHeight="1" x14ac:dyDescent="0.3">
      <c r="A114" s="74" t="s">
        <v>89</v>
      </c>
      <c r="B114" s="75">
        <v>1</v>
      </c>
      <c r="C114" s="189">
        <v>4</v>
      </c>
      <c r="D114" s="190">
        <v>8696</v>
      </c>
      <c r="E114" s="193">
        <f t="shared" si="1"/>
        <v>4.1717456460431866E-2</v>
      </c>
      <c r="F114" s="194">
        <f t="shared" si="2"/>
        <v>1.0429364115107967E-3</v>
      </c>
    </row>
    <row r="115" spans="1:9" ht="26.25" customHeight="1" x14ac:dyDescent="0.3">
      <c r="A115" s="74" t="s">
        <v>90</v>
      </c>
      <c r="B115" s="75">
        <v>1</v>
      </c>
      <c r="C115" s="189">
        <v>5</v>
      </c>
      <c r="D115" s="190">
        <v>7824</v>
      </c>
      <c r="E115" s="193">
        <f t="shared" si="1"/>
        <v>3.7534197256947892E-2</v>
      </c>
      <c r="F115" s="194">
        <f t="shared" si="2"/>
        <v>9.3835493142369725E-4</v>
      </c>
    </row>
    <row r="116" spans="1:9" ht="26.25" customHeight="1" x14ac:dyDescent="0.3">
      <c r="A116" s="74" t="s">
        <v>92</v>
      </c>
      <c r="B116" s="75">
        <v>1</v>
      </c>
      <c r="C116" s="195">
        <v>6</v>
      </c>
      <c r="D116" s="196">
        <v>10192</v>
      </c>
      <c r="E116" s="197">
        <f t="shared" si="1"/>
        <v>4.8894240598519031E-2</v>
      </c>
      <c r="F116" s="198">
        <f t="shared" si="2"/>
        <v>1.2223560149629757E-3</v>
      </c>
    </row>
    <row r="117" spans="1:9" ht="26.25" customHeight="1" x14ac:dyDescent="0.3">
      <c r="A117" s="74" t="s">
        <v>93</v>
      </c>
      <c r="B117" s="75">
        <v>1</v>
      </c>
      <c r="C117" s="189"/>
      <c r="D117" s="149"/>
      <c r="E117" s="159"/>
      <c r="F117" s="199"/>
    </row>
    <row r="118" spans="1:9" ht="26.25" customHeight="1" x14ac:dyDescent="0.3">
      <c r="A118" s="74" t="s">
        <v>94</v>
      </c>
      <c r="B118" s="75">
        <v>1</v>
      </c>
      <c r="C118" s="189"/>
      <c r="D118" s="200"/>
      <c r="E118" s="201" t="s">
        <v>68</v>
      </c>
      <c r="F118" s="202">
        <f>AVERAGE(F111:F116)</f>
        <v>1.1206929018660746E-3</v>
      </c>
    </row>
    <row r="119" spans="1:9" ht="27" customHeight="1" x14ac:dyDescent="0.3">
      <c r="A119" s="74" t="s">
        <v>95</v>
      </c>
      <c r="B119" s="203">
        <f>(B118/B117)*(B116/B115)*(B114/B113)*(B112/B111)*B110</f>
        <v>2000</v>
      </c>
      <c r="C119" s="204"/>
      <c r="D119" s="205"/>
      <c r="E119" s="160" t="s">
        <v>78</v>
      </c>
      <c r="F119" s="206">
        <f>STDEV(F111:F116)/F118</f>
        <v>0.13753875220538875</v>
      </c>
    </row>
    <row r="120" spans="1:9" ht="27" customHeight="1" x14ac:dyDescent="0.3">
      <c r="A120" s="241" t="s">
        <v>73</v>
      </c>
      <c r="B120" s="242"/>
      <c r="C120" s="207"/>
      <c r="D120" s="208"/>
      <c r="E120" s="209" t="s">
        <v>20</v>
      </c>
      <c r="F120" s="210">
        <f>COUNT(F111:F116)</f>
        <v>6</v>
      </c>
      <c r="I120" s="179"/>
    </row>
    <row r="121" spans="1:9" ht="19.5" customHeight="1" x14ac:dyDescent="0.25">
      <c r="A121" s="243"/>
      <c r="B121" s="244"/>
      <c r="C121" s="159"/>
      <c r="D121" s="159"/>
      <c r="E121" s="159"/>
      <c r="F121" s="149"/>
      <c r="G121" s="159"/>
      <c r="H121" s="159"/>
    </row>
    <row r="122" spans="1:9" ht="18.75" x14ac:dyDescent="0.25">
      <c r="A122" s="69"/>
      <c r="B122" s="69"/>
      <c r="C122" s="159"/>
      <c r="D122" s="159"/>
      <c r="E122" s="159"/>
      <c r="F122" s="149"/>
      <c r="G122" s="159"/>
      <c r="H122" s="159"/>
    </row>
    <row r="123" spans="1:9" ht="26.25" customHeight="1" x14ac:dyDescent="0.25">
      <c r="A123" s="57" t="s">
        <v>98</v>
      </c>
      <c r="B123" s="158" t="s">
        <v>110</v>
      </c>
      <c r="C123" s="254" t="str">
        <f>B20</f>
        <v>Pantoprazole Sodium</v>
      </c>
      <c r="D123" s="254"/>
      <c r="E123" s="159" t="s">
        <v>111</v>
      </c>
      <c r="F123" s="159"/>
      <c r="G123" s="229">
        <f>F118</f>
        <v>1.1206929018660746E-3</v>
      </c>
      <c r="H123" s="159"/>
    </row>
    <row r="124" spans="1:9" ht="18.75" x14ac:dyDescent="0.25">
      <c r="A124" s="69"/>
      <c r="B124" s="69"/>
      <c r="C124" s="159"/>
      <c r="D124" s="159"/>
      <c r="E124" s="159"/>
      <c r="F124" s="149"/>
      <c r="G124" s="159"/>
      <c r="H124" s="159"/>
    </row>
    <row r="125" spans="1:9" ht="18.75" x14ac:dyDescent="0.3">
      <c r="A125" s="56" t="s">
        <v>118</v>
      </c>
      <c r="B125" s="56"/>
    </row>
    <row r="126" spans="1:9" ht="19.5" customHeight="1" x14ac:dyDescent="0.3">
      <c r="A126" s="123"/>
      <c r="B126" s="123"/>
      <c r="C126" s="123"/>
      <c r="D126" s="123"/>
      <c r="E126" s="123"/>
    </row>
    <row r="127" spans="1:9" ht="26.25" customHeight="1" x14ac:dyDescent="0.3">
      <c r="A127" s="72" t="s">
        <v>105</v>
      </c>
      <c r="B127" s="73">
        <v>1000</v>
      </c>
      <c r="C127" s="185" t="s">
        <v>106</v>
      </c>
      <c r="D127" s="186" t="s">
        <v>61</v>
      </c>
      <c r="E127" s="187" t="s">
        <v>107</v>
      </c>
      <c r="F127" s="188" t="s">
        <v>108</v>
      </c>
    </row>
    <row r="128" spans="1:9" ht="26.25" customHeight="1" x14ac:dyDescent="0.3">
      <c r="A128" s="74" t="s">
        <v>109</v>
      </c>
      <c r="B128" s="75">
        <v>10</v>
      </c>
      <c r="C128" s="189">
        <v>1</v>
      </c>
      <c r="D128" s="190">
        <v>16487</v>
      </c>
      <c r="E128" s="211">
        <f t="shared" ref="E128:E133" si="3">IF(ISBLANK(D128),"-",D128/$D$104*$D$101*$B$136)</f>
        <v>7.9093342302569009E-2</v>
      </c>
      <c r="F128" s="212">
        <f t="shared" ref="F128:F133" si="4">IF(ISBLANK(D128), "-", E128/$B$56)</f>
        <v>1.9773335575642252E-3</v>
      </c>
    </row>
    <row r="129" spans="1:9" ht="26.25" customHeight="1" x14ac:dyDescent="0.3">
      <c r="A129" s="74" t="s">
        <v>87</v>
      </c>
      <c r="B129" s="75">
        <v>20</v>
      </c>
      <c r="C129" s="189">
        <v>2</v>
      </c>
      <c r="D129" s="190">
        <v>17312</v>
      </c>
      <c r="E129" s="213">
        <f t="shared" si="3"/>
        <v>8.3051127672837663E-2</v>
      </c>
      <c r="F129" s="214">
        <f t="shared" si="4"/>
        <v>2.0762781918209415E-3</v>
      </c>
    </row>
    <row r="130" spans="1:9" ht="26.25" customHeight="1" x14ac:dyDescent="0.3">
      <c r="A130" s="74" t="s">
        <v>88</v>
      </c>
      <c r="B130" s="75">
        <v>1</v>
      </c>
      <c r="C130" s="189">
        <v>3</v>
      </c>
      <c r="D130" s="190">
        <v>13722</v>
      </c>
      <c r="E130" s="213">
        <f t="shared" si="3"/>
        <v>6.5828764667668571E-2</v>
      </c>
      <c r="F130" s="214">
        <f t="shared" si="4"/>
        <v>1.6457191166917144E-3</v>
      </c>
    </row>
    <row r="131" spans="1:9" ht="26.25" customHeight="1" x14ac:dyDescent="0.3">
      <c r="A131" s="74" t="s">
        <v>89</v>
      </c>
      <c r="B131" s="75">
        <v>1</v>
      </c>
      <c r="C131" s="189">
        <v>4</v>
      </c>
      <c r="D131" s="190">
        <v>18721</v>
      </c>
      <c r="E131" s="213">
        <f t="shared" si="3"/>
        <v>8.9810545353696494E-2</v>
      </c>
      <c r="F131" s="214">
        <f t="shared" si="4"/>
        <v>2.2452636338424125E-3</v>
      </c>
    </row>
    <row r="132" spans="1:9" ht="26.25" customHeight="1" x14ac:dyDescent="0.3">
      <c r="A132" s="74" t="s">
        <v>90</v>
      </c>
      <c r="B132" s="75">
        <v>1</v>
      </c>
      <c r="C132" s="189">
        <v>5</v>
      </c>
      <c r="D132" s="190">
        <v>12805</v>
      </c>
      <c r="E132" s="213">
        <f t="shared" si="3"/>
        <v>6.1429626262169953E-2</v>
      </c>
      <c r="F132" s="214">
        <f t="shared" si="4"/>
        <v>1.5357406565542488E-3</v>
      </c>
    </row>
    <row r="133" spans="1:9" ht="26.25" customHeight="1" x14ac:dyDescent="0.3">
      <c r="A133" s="74" t="s">
        <v>92</v>
      </c>
      <c r="B133" s="75">
        <v>1</v>
      </c>
      <c r="C133" s="195">
        <v>6</v>
      </c>
      <c r="D133" s="196">
        <v>17848</v>
      </c>
      <c r="E133" s="215">
        <f t="shared" si="3"/>
        <v>8.5622488834612209E-2</v>
      </c>
      <c r="F133" s="216">
        <f t="shared" si="4"/>
        <v>2.1405622208653051E-3</v>
      </c>
    </row>
    <row r="134" spans="1:9" ht="26.25" customHeight="1" x14ac:dyDescent="0.3">
      <c r="A134" s="74" t="s">
        <v>93</v>
      </c>
      <c r="B134" s="75">
        <v>1</v>
      </c>
      <c r="C134" s="189"/>
      <c r="D134" s="149"/>
      <c r="E134" s="159"/>
      <c r="F134" s="199"/>
    </row>
    <row r="135" spans="1:9" ht="26.25" customHeight="1" x14ac:dyDescent="0.3">
      <c r="A135" s="74" t="s">
        <v>94</v>
      </c>
      <c r="B135" s="75">
        <v>1</v>
      </c>
      <c r="C135" s="189"/>
      <c r="D135" s="200"/>
      <c r="E135" s="201" t="s">
        <v>68</v>
      </c>
      <c r="F135" s="202">
        <f>AVERAGE(F128:F133)</f>
        <v>1.9368162295564746E-3</v>
      </c>
    </row>
    <row r="136" spans="1:9" ht="27" customHeight="1" x14ac:dyDescent="0.3">
      <c r="A136" s="74" t="s">
        <v>95</v>
      </c>
      <c r="B136" s="75">
        <f>(B135/B134)*(B133/B132)*(B131/B130)*(B129/B128)*B127</f>
        <v>2000</v>
      </c>
      <c r="C136" s="204"/>
      <c r="D136" s="159"/>
      <c r="E136" s="217" t="s">
        <v>78</v>
      </c>
      <c r="F136" s="206">
        <f>STDEV(F128:F133)/F135</f>
        <v>0.14664378621825724</v>
      </c>
    </row>
    <row r="137" spans="1:9" ht="27" customHeight="1" x14ac:dyDescent="0.3">
      <c r="A137" s="241" t="s">
        <v>73</v>
      </c>
      <c r="B137" s="242"/>
      <c r="C137" s="207"/>
      <c r="D137" s="218"/>
      <c r="E137" s="219" t="s">
        <v>20</v>
      </c>
      <c r="F137" s="210">
        <f>COUNT(F128:F133)</f>
        <v>6</v>
      </c>
      <c r="I137" s="179"/>
    </row>
    <row r="138" spans="1:9" ht="19.5" customHeight="1" x14ac:dyDescent="0.25">
      <c r="A138" s="243"/>
      <c r="B138" s="244"/>
      <c r="C138" s="159"/>
      <c r="D138" s="159"/>
      <c r="E138" s="159"/>
      <c r="F138" s="149"/>
      <c r="G138" s="159"/>
      <c r="H138" s="159"/>
    </row>
    <row r="139" spans="1:9" ht="18.75" x14ac:dyDescent="0.25">
      <c r="A139" s="69"/>
      <c r="B139" s="69"/>
      <c r="C139" s="159"/>
      <c r="D139" s="159"/>
      <c r="E139" s="159"/>
      <c r="F139" s="149"/>
      <c r="G139" s="159"/>
      <c r="H139" s="159"/>
    </row>
    <row r="140" spans="1:9" ht="26.25" customHeight="1" x14ac:dyDescent="0.25">
      <c r="A140" s="57" t="s">
        <v>98</v>
      </c>
      <c r="B140" s="158" t="s">
        <v>110</v>
      </c>
      <c r="C140" s="254" t="str">
        <f>B20</f>
        <v>Pantoprazole Sodium</v>
      </c>
      <c r="D140" s="254"/>
      <c r="E140" s="159" t="s">
        <v>111</v>
      </c>
      <c r="F140" s="159"/>
      <c r="G140" s="229">
        <f>F135</f>
        <v>1.9368162295564746E-3</v>
      </c>
      <c r="H140" s="159"/>
    </row>
    <row r="141" spans="1:9" ht="19.5" customHeight="1" x14ac:dyDescent="0.25">
      <c r="A141" s="220"/>
      <c r="B141" s="220"/>
      <c r="C141" s="221"/>
      <c r="D141" s="221"/>
      <c r="E141" s="221"/>
      <c r="F141" s="221"/>
      <c r="G141" s="221"/>
      <c r="H141" s="221"/>
    </row>
    <row r="142" spans="1:9" ht="18.75" x14ac:dyDescent="0.3">
      <c r="B142" s="253" t="s">
        <v>26</v>
      </c>
      <c r="C142" s="253"/>
      <c r="E142" s="163" t="s">
        <v>27</v>
      </c>
      <c r="F142" s="222"/>
      <c r="G142" s="253" t="s">
        <v>28</v>
      </c>
      <c r="H142" s="253"/>
    </row>
    <row r="143" spans="1:9" ht="60" customHeight="1" x14ac:dyDescent="0.3">
      <c r="A143" s="223" t="s">
        <v>29</v>
      </c>
      <c r="B143" s="274"/>
      <c r="C143" s="274"/>
      <c r="E143" s="224"/>
      <c r="F143" s="159"/>
      <c r="G143" s="225"/>
      <c r="H143" s="225"/>
    </row>
    <row r="144" spans="1:9" ht="60" customHeight="1" x14ac:dyDescent="0.3">
      <c r="A144" s="223" t="s">
        <v>30</v>
      </c>
      <c r="B144" s="275"/>
      <c r="C144" s="275"/>
      <c r="E144" s="226"/>
      <c r="F144" s="159"/>
      <c r="G144" s="227"/>
      <c r="H144" s="227"/>
    </row>
    <row r="145" spans="1:8" ht="18.75" x14ac:dyDescent="0.25">
      <c r="A145" s="148"/>
      <c r="B145" s="148"/>
      <c r="C145" s="149"/>
      <c r="D145" s="149"/>
      <c r="E145" s="149"/>
      <c r="F145" s="153"/>
      <c r="G145" s="149"/>
      <c r="H145" s="149"/>
    </row>
    <row r="146" spans="1:8" ht="18.75" x14ac:dyDescent="0.25">
      <c r="A146" s="148"/>
      <c r="B146" s="148"/>
      <c r="C146" s="149"/>
      <c r="D146" s="149"/>
      <c r="E146" s="149"/>
      <c r="F146" s="153"/>
      <c r="G146" s="149"/>
      <c r="H146" s="149"/>
    </row>
    <row r="147" spans="1:8" ht="18.75" x14ac:dyDescent="0.25">
      <c r="A147" s="148"/>
      <c r="B147" s="148"/>
      <c r="C147" s="149"/>
      <c r="D147" s="149"/>
      <c r="E147" s="149"/>
      <c r="F147" s="153"/>
      <c r="G147" s="149"/>
      <c r="H147" s="149"/>
    </row>
    <row r="148" spans="1:8" ht="18.75" x14ac:dyDescent="0.25">
      <c r="A148" s="148"/>
      <c r="B148" s="148"/>
      <c r="C148" s="149"/>
      <c r="D148" s="149"/>
      <c r="E148" s="149"/>
      <c r="F148" s="153"/>
      <c r="G148" s="149"/>
      <c r="H148" s="149"/>
    </row>
    <row r="149" spans="1:8" ht="18.75" x14ac:dyDescent="0.25">
      <c r="A149" s="148"/>
      <c r="B149" s="148"/>
      <c r="C149" s="149"/>
      <c r="D149" s="149"/>
      <c r="E149" s="149"/>
      <c r="F149" s="153"/>
      <c r="G149" s="149"/>
      <c r="H149" s="149"/>
    </row>
    <row r="150" spans="1:8" ht="18.75" x14ac:dyDescent="0.25">
      <c r="A150" s="148"/>
      <c r="B150" s="148"/>
      <c r="C150" s="149"/>
      <c r="D150" s="149"/>
      <c r="E150" s="149"/>
      <c r="F150" s="153"/>
      <c r="G150" s="149"/>
      <c r="H150" s="149"/>
    </row>
    <row r="151" spans="1:8" ht="18.75" x14ac:dyDescent="0.25">
      <c r="A151" s="148"/>
      <c r="B151" s="148"/>
      <c r="C151" s="149"/>
      <c r="D151" s="149"/>
      <c r="E151" s="149"/>
      <c r="F151" s="153"/>
      <c r="G151" s="149"/>
      <c r="H151" s="149"/>
    </row>
    <row r="152" spans="1:8" ht="18.75" x14ac:dyDescent="0.25">
      <c r="A152" s="148"/>
      <c r="B152" s="148"/>
      <c r="C152" s="149"/>
      <c r="D152" s="149"/>
      <c r="E152" s="149"/>
      <c r="F152" s="153"/>
      <c r="G152" s="149"/>
      <c r="H152" s="149"/>
    </row>
    <row r="153" spans="1:8" ht="18.75" x14ac:dyDescent="0.25">
      <c r="A153" s="148"/>
      <c r="B153" s="148"/>
      <c r="C153" s="149"/>
      <c r="D153" s="149"/>
      <c r="E153" s="149"/>
      <c r="F153" s="153"/>
      <c r="G153" s="149"/>
      <c r="H153" s="149"/>
    </row>
    <row r="250" spans="1:1" x14ac:dyDescent="0.3">
      <c r="A250" s="1">
        <v>5</v>
      </c>
    </row>
  </sheetData>
  <sheetProtection password="F258" sheet="1" objects="1" scenarios="1" formatCells="0" formatColumns="0"/>
  <mergeCells count="36">
    <mergeCell ref="G142:H142"/>
    <mergeCell ref="B143:C143"/>
    <mergeCell ref="B144:C144"/>
    <mergeCell ref="A100:B101"/>
    <mergeCell ref="A120:B121"/>
    <mergeCell ref="C123:D123"/>
    <mergeCell ref="A137:B138"/>
    <mergeCell ref="C140:D140"/>
    <mergeCell ref="B142:C142"/>
    <mergeCell ref="A70:B71"/>
    <mergeCell ref="C76:D76"/>
    <mergeCell ref="C83:H83"/>
    <mergeCell ref="C85:H85"/>
    <mergeCell ref="C86:H86"/>
    <mergeCell ref="F90:G90"/>
    <mergeCell ref="C60:C63"/>
    <mergeCell ref="D60:D63"/>
    <mergeCell ref="C64:C67"/>
    <mergeCell ref="D64:D67"/>
    <mergeCell ref="C68:C71"/>
    <mergeCell ref="D68:D71"/>
    <mergeCell ref="A1:H7"/>
    <mergeCell ref="A8:H14"/>
    <mergeCell ref="A46:B47"/>
    <mergeCell ref="A16:H16"/>
    <mergeCell ref="A17:H17"/>
    <mergeCell ref="B21:H21"/>
    <mergeCell ref="B26:C26"/>
    <mergeCell ref="B27:C27"/>
    <mergeCell ref="C29:H29"/>
    <mergeCell ref="C31:H31"/>
    <mergeCell ref="C32:H32"/>
    <mergeCell ref="D36:E36"/>
    <mergeCell ref="F36:G36"/>
    <mergeCell ref="B18:C18"/>
    <mergeCell ref="D18:E18"/>
  </mergeCells>
  <conditionalFormatting sqref="D51">
    <cfRule type="cellIs" dxfId="2" priority="1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5">
    <cfRule type="cellIs" dxfId="0" priority="3" operator="greaterThan">
      <formula>0.02</formula>
    </cfRule>
  </conditionalFormatting>
  <pageMargins left="0.7" right="0.7" top="0.75" bottom="0.75" header="0.3" footer="0.3"/>
  <pageSetup scale="21" orientation="portrait" r:id="rId1"/>
  <headerFooter>
    <oddHeader>&amp;LVer 2</oddHeader>
    <oddFooter>&amp;LNQCL/ADDO/014&amp;CPage &amp;P of &amp;N&amp;R&amp;D &amp;T</oddFooter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Pantoprazole </vt:lpstr>
      <vt:lpstr>'Pantoprazole '!Print_Area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2017-02-14T06:48:16Z</cp:lastPrinted>
  <dcterms:created xsi:type="dcterms:W3CDTF">2005-07-05T10:19:27Z</dcterms:created>
  <dcterms:modified xsi:type="dcterms:W3CDTF">2017-02-14T08:13:21Z</dcterms:modified>
</cp:coreProperties>
</file>