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2"/>
  </bookViews>
  <sheets>
    <sheet name="SST" sheetId="4" r:id="rId1"/>
    <sheet name="Uniformity" sheetId="5" r:id="rId2"/>
    <sheet name="Pantoprazole " sheetId="6" r:id="rId3"/>
    <sheet name="SST 2" sheetId="7" r:id="rId4"/>
    <sheet name="Uniformity 2" sheetId="2" r:id="rId5"/>
    <sheet name="Pantoprazole 2" sheetId="8" r:id="rId6"/>
  </sheets>
  <externalReferences>
    <externalReference r:id="rId7"/>
  </externalReferences>
  <definedNames>
    <definedName name="_xlnm.Print_Area" localSheetId="2">'Pantoprazole '!$A$1:$H$144</definedName>
    <definedName name="_xlnm.Print_Area" localSheetId="5">'Pantoprazole 2'!$A$1:$H$145</definedName>
    <definedName name="_xlnm.Print_Area" localSheetId="0">SST!$A$15:$G$61</definedName>
    <definedName name="_xlnm.Print_Area" localSheetId="1">Uniformity!$A$12:$F$54</definedName>
    <definedName name="_xlnm.Print_Area" localSheetId="4">'Uniformity 2'!$A$1:$F$54</definedName>
  </definedNames>
  <calcPr calcId="145621"/>
</workbook>
</file>

<file path=xl/calcChain.xml><?xml version="1.0" encoding="utf-8"?>
<calcChain xmlns="http://schemas.openxmlformats.org/spreadsheetml/2006/main">
  <c r="G138" i="8" l="1"/>
  <c r="G137" i="8"/>
  <c r="G136" i="8"/>
  <c r="G121" i="8"/>
  <c r="G120" i="8"/>
  <c r="G119" i="8"/>
  <c r="H78" i="8"/>
  <c r="H77" i="8"/>
  <c r="H76" i="8"/>
  <c r="B31" i="8"/>
  <c r="B32" i="8"/>
  <c r="B41" i="7"/>
  <c r="B42" i="7" s="1"/>
  <c r="B20" i="7"/>
  <c r="B21" i="7" s="1"/>
  <c r="B137" i="8"/>
  <c r="D102" i="8" s="1"/>
  <c r="D103" i="8" s="1"/>
  <c r="B120" i="8"/>
  <c r="B100" i="8"/>
  <c r="D99" i="8"/>
  <c r="F97" i="8"/>
  <c r="D97" i="8"/>
  <c r="G96" i="8"/>
  <c r="E96" i="8"/>
  <c r="B89" i="8"/>
  <c r="F99" i="8" s="1"/>
  <c r="B84" i="8"/>
  <c r="H71" i="8"/>
  <c r="G71" i="8"/>
  <c r="H70" i="8"/>
  <c r="G70" i="8"/>
  <c r="G69" i="8"/>
  <c r="H69" i="8" s="1"/>
  <c r="G68" i="8"/>
  <c r="H68" i="8" s="1"/>
  <c r="B68" i="8"/>
  <c r="H67" i="8"/>
  <c r="G67" i="8"/>
  <c r="H63" i="8"/>
  <c r="G63" i="8"/>
  <c r="B57" i="8"/>
  <c r="B55" i="8"/>
  <c r="B45" i="8"/>
  <c r="D48" i="8" s="1"/>
  <c r="F42" i="8"/>
  <c r="D42" i="8"/>
  <c r="G41" i="8"/>
  <c r="E41" i="8"/>
  <c r="B28" i="8"/>
  <c r="B30" i="8" s="1"/>
  <c r="B27" i="8"/>
  <c r="B82" i="8" s="1"/>
  <c r="B26" i="8"/>
  <c r="B81" i="8" s="1"/>
  <c r="B22" i="8"/>
  <c r="B21" i="8"/>
  <c r="B20" i="8"/>
  <c r="C76" i="8" s="1"/>
  <c r="B19" i="8"/>
  <c r="B18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83" i="8" l="1"/>
  <c r="B85" i="8" s="1"/>
  <c r="F100" i="8" s="1"/>
  <c r="B69" i="8"/>
  <c r="B34" i="8"/>
  <c r="D104" i="8"/>
  <c r="D44" i="8"/>
  <c r="D45" i="8" s="1"/>
  <c r="D46" i="8" s="1"/>
  <c r="F44" i="8"/>
  <c r="F45" i="8" s="1"/>
  <c r="F46" i="8" s="1"/>
  <c r="D49" i="8"/>
  <c r="C56" i="8"/>
  <c r="C124" i="8"/>
  <c r="C141" i="8"/>
  <c r="F101" i="8" l="1"/>
  <c r="G94" i="8"/>
  <c r="G97" i="8" s="1"/>
  <c r="G95" i="8"/>
  <c r="G93" i="8"/>
  <c r="D100" i="8"/>
  <c r="E39" i="8"/>
  <c r="E40" i="8"/>
  <c r="G40" i="8"/>
  <c r="G39" i="8"/>
  <c r="E94" i="8"/>
  <c r="G38" i="8"/>
  <c r="E38" i="8"/>
  <c r="D101" i="8" l="1"/>
  <c r="E95" i="8"/>
  <c r="E93" i="8"/>
  <c r="D52" i="8"/>
  <c r="D50" i="8"/>
  <c r="E42" i="8"/>
  <c r="G42" i="8"/>
  <c r="D107" i="8" l="1"/>
  <c r="E97" i="8"/>
  <c r="D105" i="8"/>
  <c r="G66" i="8"/>
  <c r="H66" i="8" s="1"/>
  <c r="G64" i="8"/>
  <c r="H64" i="8" s="1"/>
  <c r="G62" i="8"/>
  <c r="H62" i="8" s="1"/>
  <c r="G60" i="8"/>
  <c r="H60" i="8" s="1"/>
  <c r="D51" i="8"/>
  <c r="G65" i="8"/>
  <c r="H65" i="8" s="1"/>
  <c r="G61" i="8"/>
  <c r="H61" i="8" s="1"/>
  <c r="E130" i="8" l="1"/>
  <c r="F130" i="8" s="1"/>
  <c r="E117" i="8"/>
  <c r="F117" i="8" s="1"/>
  <c r="E134" i="8"/>
  <c r="F134" i="8" s="1"/>
  <c r="E114" i="8"/>
  <c r="F114" i="8" s="1"/>
  <c r="E113" i="8"/>
  <c r="F113" i="8" s="1"/>
  <c r="E129" i="8"/>
  <c r="F129" i="8" s="1"/>
  <c r="D106" i="8"/>
  <c r="E133" i="8"/>
  <c r="F133" i="8" s="1"/>
  <c r="E115" i="8"/>
  <c r="F115" i="8" s="1"/>
  <c r="E132" i="8"/>
  <c r="F132" i="8" s="1"/>
  <c r="E112" i="8"/>
  <c r="F112" i="8" s="1"/>
  <c r="E131" i="8"/>
  <c r="F131" i="8" s="1"/>
  <c r="E116" i="8"/>
  <c r="F116" i="8" s="1"/>
  <c r="H74" i="8"/>
  <c r="H72" i="8"/>
  <c r="F136" i="8" l="1"/>
  <c r="G141" i="8" s="1"/>
  <c r="F138" i="8"/>
  <c r="F119" i="8"/>
  <c r="F121" i="8"/>
  <c r="H73" i="8"/>
  <c r="G76" i="8"/>
  <c r="G124" i="8" l="1"/>
  <c r="F120" i="8"/>
  <c r="F137" i="8"/>
  <c r="C140" i="6"/>
  <c r="B136" i="6"/>
  <c r="C123" i="6"/>
  <c r="B119" i="6"/>
  <c r="D101" i="6"/>
  <c r="D102" i="6" s="1"/>
  <c r="B99" i="6"/>
  <c r="F96" i="6"/>
  <c r="D96" i="6"/>
  <c r="G95" i="6"/>
  <c r="E95" i="6"/>
  <c r="B88" i="6"/>
  <c r="D98" i="6" s="1"/>
  <c r="D99" i="6" s="1"/>
  <c r="D100" i="6" s="1"/>
  <c r="B84" i="6"/>
  <c r="B83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F46" i="6" s="1"/>
  <c r="B30" i="6"/>
  <c r="D49" i="5"/>
  <c r="C49" i="5"/>
  <c r="C46" i="5"/>
  <c r="D50" i="5" s="1"/>
  <c r="C45" i="5"/>
  <c r="D43" i="5"/>
  <c r="D41" i="5"/>
  <c r="D40" i="5"/>
  <c r="D39" i="5"/>
  <c r="D37" i="5"/>
  <c r="D36" i="5"/>
  <c r="D35" i="5"/>
  <c r="D33" i="5"/>
  <c r="D32" i="5"/>
  <c r="D31" i="5"/>
  <c r="D29" i="5"/>
  <c r="D28" i="5"/>
  <c r="D27" i="5"/>
  <c r="D25" i="5"/>
  <c r="D24" i="5"/>
  <c r="C19" i="5"/>
  <c r="B53" i="4"/>
  <c r="E51" i="4"/>
  <c r="D51" i="4"/>
  <c r="C51" i="4"/>
  <c r="B51" i="4"/>
  <c r="B52" i="4" s="1"/>
  <c r="B42" i="4"/>
  <c r="B32" i="4"/>
  <c r="E30" i="4"/>
  <c r="D30" i="4"/>
  <c r="C30" i="4"/>
  <c r="B30" i="4"/>
  <c r="B31" i="4" s="1"/>
  <c r="B21" i="4"/>
  <c r="B69" i="6" l="1"/>
  <c r="E94" i="6"/>
  <c r="E92" i="6"/>
  <c r="E93" i="6"/>
  <c r="D103" i="6"/>
  <c r="G94" i="6"/>
  <c r="G40" i="6"/>
  <c r="G38" i="6"/>
  <c r="D49" i="6"/>
  <c r="G39" i="6"/>
  <c r="B57" i="6"/>
  <c r="F98" i="6"/>
  <c r="F99" i="6" s="1"/>
  <c r="F100" i="6" s="1"/>
  <c r="C50" i="5"/>
  <c r="D44" i="6"/>
  <c r="D45" i="6" s="1"/>
  <c r="D46" i="6" s="1"/>
  <c r="D26" i="5"/>
  <c r="D30" i="5"/>
  <c r="D34" i="5"/>
  <c r="D38" i="5"/>
  <c r="D42" i="5"/>
  <c r="B49" i="5"/>
  <c r="G42" i="6" l="1"/>
  <c r="E38" i="6"/>
  <c r="E40" i="6"/>
  <c r="G92" i="6"/>
  <c r="G93" i="6"/>
  <c r="D104" i="6" s="1"/>
  <c r="E39" i="6"/>
  <c r="D106" i="6"/>
  <c r="E96" i="6"/>
  <c r="E132" i="6" l="1"/>
  <c r="F132" i="6" s="1"/>
  <c r="E130" i="6"/>
  <c r="F130" i="6" s="1"/>
  <c r="E128" i="6"/>
  <c r="F128" i="6" s="1"/>
  <c r="E116" i="6"/>
  <c r="F116" i="6" s="1"/>
  <c r="E114" i="6"/>
  <c r="F114" i="6" s="1"/>
  <c r="E112" i="6"/>
  <c r="F112" i="6" s="1"/>
  <c r="D105" i="6"/>
  <c r="E133" i="6"/>
  <c r="F133" i="6" s="1"/>
  <c r="E131" i="6"/>
  <c r="F131" i="6" s="1"/>
  <c r="E129" i="6"/>
  <c r="F129" i="6" s="1"/>
  <c r="E115" i="6"/>
  <c r="F115" i="6" s="1"/>
  <c r="E113" i="6"/>
  <c r="F113" i="6" s="1"/>
  <c r="E111" i="6"/>
  <c r="F111" i="6" s="1"/>
  <c r="D50" i="6"/>
  <c r="E42" i="6"/>
  <c r="D52" i="6"/>
  <c r="G96" i="6"/>
  <c r="F120" i="6" l="1"/>
  <c r="F118" i="6"/>
  <c r="F135" i="6"/>
  <c r="F137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D51" i="6"/>
  <c r="F119" i="6" l="1"/>
  <c r="G123" i="6"/>
  <c r="G140" i="6"/>
  <c r="F136" i="6"/>
  <c r="H72" i="6"/>
  <c r="H74" i="6"/>
  <c r="G76" i="6" l="1"/>
  <c r="H73" i="6"/>
  <c r="C46" i="2" l="1"/>
  <c r="D50" i="2" s="1"/>
  <c r="C45" i="2"/>
  <c r="C19" i="2"/>
  <c r="D27" i="2" l="1"/>
  <c r="D31" i="2"/>
  <c r="D35" i="2"/>
  <c r="D39" i="2"/>
  <c r="D43" i="2"/>
  <c r="C49" i="2"/>
  <c r="D24" i="2"/>
  <c r="D28" i="2"/>
  <c r="D32" i="2"/>
  <c r="D36" i="2"/>
  <c r="D40" i="2"/>
  <c r="D49" i="2"/>
  <c r="D25" i="2"/>
  <c r="D29" i="2"/>
  <c r="D33" i="2"/>
  <c r="D37" i="2"/>
  <c r="D41" i="2"/>
  <c r="C50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<sst xmlns="http://schemas.openxmlformats.org/spreadsheetml/2006/main" count="505" uniqueCount="131">
  <si>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</si>
  <si>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</si>
  <si>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</si>
  <si>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</si>
  <si>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</si>
  <si>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</si>
  <si>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</si>
  <si>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</si>
  <si>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</si>
  <si>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</si>
  <si>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</si>
  <si>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</si>
  <si>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</si>
  <si>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</si>
  <si>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</si>
  <si>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</si>
  <si>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</si>
  <si>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</si>
  <si>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</si>
  <si>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</si>
  <si>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</si>
  <si>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</si>
  <si>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</si>
  <si>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</si>
  <si>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</si>
  <si>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</si>
  <si>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</si>
  <si>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</si>
  <si>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</si>
  <si>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PREZ -40 DR TABLETS</t>
  </si>
  <si>
    <t>Laboratory Ref No:</t>
  </si>
  <si>
    <t>NDQD201605934r1</t>
  </si>
  <si>
    <t>Active Ingredient:</t>
  </si>
  <si>
    <t xml:space="preserve">Pantoprazole  </t>
  </si>
  <si>
    <t>Label Claim:</t>
  </si>
  <si>
    <t>Each tablet contains Pantoprazole sodium 40mg</t>
  </si>
  <si>
    <t>Date Analysis Started:</t>
  </si>
  <si>
    <t>2016-05-13 10:03:36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</si>
  <si>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</si>
  <si>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</si>
  <si>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</si>
  <si>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</si>
  <si>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</si>
  <si>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</si>
  <si>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</si>
  <si>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</si>
  <si>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</si>
  <si>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</si>
  <si>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</si>
  <si>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</si>
  <si>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</si>
  <si>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</si>
  <si>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</si>
  <si>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</si>
  <si>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</si>
  <si>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</si>
  <si>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</si>
  <si>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</si>
  <si>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</si>
  <si>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</si>
  <si>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</si>
  <si>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</si>
  <si>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</si>
  <si>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</si>
  <si>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</si>
  <si>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</si>
  <si>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</si>
  <si>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</si>
  <si>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</si>
  <si>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</si>
  <si>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</si>
  <si>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</si>
  <si>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</si>
  <si>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</si>
  <si>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</si>
  <si>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</si>
  <si>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</si>
  <si>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</si>
  <si>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</si>
  <si>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</si>
  <si>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</si>
  <si>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</si>
  <si>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</si>
  <si>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</si>
  <si>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</si>
  <si>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</si>
  <si>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</si>
  <si>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</si>
  <si>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</si>
  <si>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</si>
  <si>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</si>
  <si>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</si>
  <si>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</si>
  <si>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</si>
  <si>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</si>
  <si>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</si>
  <si>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</si>
  <si>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</si>
  <si>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</si>
  <si>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</si>
  <si>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</si>
  <si>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</si>
  <si>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</si>
  <si>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</si>
  <si>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</si>
  <si>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</si>
  <si>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</si>
  <si>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</si>
  <si>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</si>
  <si>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</si>
  <si>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</si>
  <si>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</si>
  <si>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</si>
  <si>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</si>
  <si>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</si>
  <si>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</si>
  <si>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</si>
  <si>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</si>
  <si>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</si>
  <si>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 xml:space="preserve">      Pantoprazole  Sodium</t>
  </si>
  <si>
    <t>Pantoprazole  Sodium Sesquihydrate</t>
  </si>
  <si>
    <t>The Assymetry of all peaks is NMT 2.5</t>
  </si>
  <si>
    <t>RUTTO KENNEDY</t>
  </si>
  <si>
    <t>NDQD201605934</t>
  </si>
  <si>
    <t>Pantoprazole Sodium</t>
  </si>
  <si>
    <t>P29-4</t>
  </si>
  <si>
    <t>Each Tablet contains</t>
  </si>
  <si>
    <t>Average Tablet Content Weight (mg):</t>
  </si>
  <si>
    <t xml:space="preserve">                         Pantoprazole Na Sesquihydrate</t>
  </si>
  <si>
    <t>P11-1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</si>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</sst>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2" borderId="0"/>
    <xf numFmtId="0" fontId="11" fillId="2" borderId="0"/>
    <xf numFmtId="0" fontId="11" fillId="2" borderId="0"/>
    <xf numFmtId="0" fontId="11" fillId="2" borderId="0"/>
  </cellStyleXfs>
  <cellXfs count="39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" fillId="2" borderId="0" xfId="1" applyFont="1" applyFill="1"/>
    <xf numFmtId="0" fontId="11" fillId="2" borderId="0" xfId="1" applyFill="1"/>
    <xf numFmtId="0" fontId="16" fillId="2" borderId="0" xfId="1" applyFont="1" applyFill="1" applyAlignment="1">
      <alignment vertical="center"/>
    </xf>
    <xf numFmtId="0" fontId="17" fillId="3" borderId="0" xfId="1" applyFont="1" applyFill="1" applyAlignment="1" applyProtection="1">
      <alignment horizontal="left" vertical="center"/>
      <protection locked="0"/>
    </xf>
    <xf numFmtId="0" fontId="18" fillId="2" borderId="0" xfId="1" applyFont="1" applyFill="1" applyAlignment="1">
      <alignment vertical="center"/>
    </xf>
    <xf numFmtId="168" fontId="17" fillId="3" borderId="0" xfId="1" applyNumberFormat="1" applyFont="1" applyFill="1" applyAlignment="1" applyProtection="1">
      <alignment horizontal="left" vertical="center"/>
      <protection locked="0"/>
    </xf>
    <xf numFmtId="168" fontId="18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6" fillId="2" borderId="0" xfId="1" applyFont="1" applyFill="1" applyAlignment="1">
      <alignment horizontal="right" vertical="center"/>
    </xf>
    <xf numFmtId="0" fontId="18" fillId="2" borderId="0" xfId="1" applyFont="1" applyFill="1" applyAlignment="1">
      <alignment horizontal="right" vertical="center"/>
    </xf>
    <xf numFmtId="0" fontId="17" fillId="3" borderId="0" xfId="1" applyFont="1" applyFill="1" applyAlignment="1" applyProtection="1">
      <alignment horizontal="center" vertical="center"/>
      <protection locked="0"/>
    </xf>
    <xf numFmtId="0" fontId="19" fillId="2" borderId="0" xfId="1" applyFont="1" applyFill="1" applyAlignment="1">
      <alignment vertical="center" wrapText="1"/>
    </xf>
    <xf numFmtId="2" fontId="5" fillId="2" borderId="0" xfId="1" applyNumberFormat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7" fillId="3" borderId="0" xfId="1" applyNumberFormat="1" applyFont="1" applyFill="1" applyAlignment="1" applyProtection="1">
      <alignment horizontal="center" vertical="center"/>
      <protection locked="0"/>
    </xf>
    <xf numFmtId="0" fontId="16" fillId="2" borderId="0" xfId="1" applyFont="1" applyFill="1" applyAlignment="1">
      <alignment vertical="center" wrapText="1"/>
    </xf>
    <xf numFmtId="0" fontId="22" fillId="2" borderId="0" xfId="1" applyFont="1" applyFill="1"/>
    <xf numFmtId="2" fontId="16" fillId="2" borderId="0" xfId="1" applyNumberFormat="1" applyFont="1" applyFill="1" applyAlignment="1">
      <alignment horizontal="center" vertical="center"/>
    </xf>
    <xf numFmtId="0" fontId="14" fillId="2" borderId="0" xfId="1" applyFont="1" applyFill="1" applyAlignment="1">
      <alignment horizontal="left" vertical="center" wrapText="1"/>
    </xf>
    <xf numFmtId="169" fontId="16" fillId="2" borderId="0" xfId="1" applyNumberFormat="1" applyFont="1" applyFill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18" fillId="2" borderId="21" xfId="1" applyFont="1" applyFill="1" applyBorder="1" applyAlignment="1">
      <alignment horizontal="right" vertical="center"/>
    </xf>
    <xf numFmtId="0" fontId="17" fillId="3" borderId="22" xfId="1" applyFont="1" applyFill="1" applyBorder="1" applyAlignment="1" applyProtection="1">
      <alignment horizontal="center" vertical="center"/>
      <protection locked="0"/>
    </xf>
    <xf numFmtId="0" fontId="18" fillId="2" borderId="25" xfId="1" applyFont="1" applyFill="1" applyBorder="1" applyAlignment="1">
      <alignment horizontal="right" vertical="center"/>
    </xf>
    <xf numFmtId="0" fontId="17" fillId="3" borderId="26" xfId="1" applyFont="1" applyFill="1" applyBorder="1" applyAlignment="1" applyProtection="1">
      <alignment horizontal="center" vertical="center"/>
      <protection locked="0"/>
    </xf>
    <xf numFmtId="0" fontId="16" fillId="2" borderId="22" xfId="1" applyFont="1" applyFill="1" applyBorder="1" applyAlignment="1">
      <alignment horizontal="center" vertical="center"/>
    </xf>
    <xf numFmtId="0" fontId="16" fillId="2" borderId="27" xfId="1" applyFont="1" applyFill="1" applyBorder="1" applyAlignment="1">
      <alignment horizontal="center" vertical="center"/>
    </xf>
    <xf numFmtId="0" fontId="16" fillId="2" borderId="28" xfId="1" applyFont="1" applyFill="1" applyBorder="1" applyAlignment="1">
      <alignment horizontal="center" vertical="center"/>
    </xf>
    <xf numFmtId="0" fontId="16" fillId="2" borderId="29" xfId="1" applyFont="1" applyFill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7" fillId="3" borderId="31" xfId="1" applyFont="1" applyFill="1" applyBorder="1" applyAlignment="1" applyProtection="1">
      <alignment horizontal="center" vertical="center"/>
      <protection locked="0"/>
    </xf>
    <xf numFmtId="170" fontId="18" fillId="2" borderId="28" xfId="1" applyNumberFormat="1" applyFont="1" applyFill="1" applyBorder="1" applyAlignment="1">
      <alignment horizontal="center" vertical="center"/>
    </xf>
    <xf numFmtId="170" fontId="18" fillId="2" borderId="29" xfId="1" applyNumberFormat="1" applyFont="1" applyFill="1" applyBorder="1" applyAlignment="1">
      <alignment horizontal="center" vertical="center"/>
    </xf>
    <xf numFmtId="0" fontId="18" fillId="2" borderId="26" xfId="1" applyFont="1" applyFill="1" applyBorder="1" applyAlignment="1">
      <alignment horizontal="center" vertical="center"/>
    </xf>
    <xf numFmtId="0" fontId="17" fillId="3" borderId="25" xfId="1" applyFont="1" applyFill="1" applyBorder="1" applyAlignment="1" applyProtection="1">
      <alignment horizontal="center" vertical="center"/>
      <protection locked="0"/>
    </xf>
    <xf numFmtId="170" fontId="18" fillId="2" borderId="32" xfId="1" applyNumberFormat="1" applyFont="1" applyFill="1" applyBorder="1" applyAlignment="1">
      <alignment horizontal="center" vertical="center"/>
    </xf>
    <xf numFmtId="170" fontId="18" fillId="2" borderId="33" xfId="1" applyNumberFormat="1" applyFont="1" applyFill="1" applyBorder="1" applyAlignment="1">
      <alignment horizontal="center" vertical="center"/>
    </xf>
    <xf numFmtId="0" fontId="18" fillId="2" borderId="0" xfId="1" applyFont="1" applyFill="1"/>
    <xf numFmtId="0" fontId="18" fillId="2" borderId="34" xfId="1" applyFont="1" applyFill="1" applyBorder="1" applyAlignment="1">
      <alignment horizontal="center" vertical="center"/>
    </xf>
    <xf numFmtId="0" fontId="17" fillId="3" borderId="35" xfId="1" applyFont="1" applyFill="1" applyBorder="1" applyAlignment="1" applyProtection="1">
      <alignment horizontal="center" vertical="center"/>
      <protection locked="0"/>
    </xf>
    <xf numFmtId="170" fontId="18" fillId="2" borderId="36" xfId="1" applyNumberFormat="1" applyFont="1" applyFill="1" applyBorder="1" applyAlignment="1">
      <alignment horizontal="center" vertical="center"/>
    </xf>
    <xf numFmtId="170" fontId="18" fillId="2" borderId="37" xfId="1" applyNumberFormat="1" applyFont="1" applyFill="1" applyBorder="1" applyAlignment="1">
      <alignment horizontal="center" vertical="center"/>
    </xf>
    <xf numFmtId="0" fontId="18" fillId="2" borderId="26" xfId="1" applyFont="1" applyFill="1" applyBorder="1" applyAlignment="1">
      <alignment horizontal="right" vertical="center"/>
    </xf>
    <xf numFmtId="1" fontId="16" fillId="6" borderId="38" xfId="1" applyNumberFormat="1" applyFont="1" applyFill="1" applyBorder="1" applyAlignment="1">
      <alignment horizontal="center" vertical="center"/>
    </xf>
    <xf numFmtId="170" fontId="16" fillId="6" borderId="39" xfId="1" applyNumberFormat="1" applyFont="1" applyFill="1" applyBorder="1" applyAlignment="1">
      <alignment horizontal="center" vertical="center"/>
    </xf>
    <xf numFmtId="1" fontId="16" fillId="6" borderId="40" xfId="1" applyNumberFormat="1" applyFont="1" applyFill="1" applyBorder="1" applyAlignment="1">
      <alignment horizontal="center" vertical="center"/>
    </xf>
    <xf numFmtId="170" fontId="16" fillId="6" borderId="41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8" fillId="2" borderId="42" xfId="1" applyFont="1" applyFill="1" applyBorder="1" applyAlignment="1">
      <alignment horizontal="right" vertical="center"/>
    </xf>
    <xf numFmtId="2" fontId="17" fillId="3" borderId="43" xfId="1" applyNumberFormat="1" applyFont="1" applyFill="1" applyBorder="1" applyAlignment="1" applyProtection="1">
      <alignment horizontal="center" vertical="center"/>
      <protection locked="0"/>
    </xf>
    <xf numFmtId="0" fontId="17" fillId="3" borderId="16" xfId="1" applyFont="1" applyFill="1" applyBorder="1" applyAlignment="1" applyProtection="1">
      <alignment horizontal="center" vertical="center"/>
      <protection locked="0"/>
    </xf>
    <xf numFmtId="0" fontId="18" fillId="2" borderId="27" xfId="1" applyFont="1" applyFill="1" applyBorder="1" applyAlignment="1">
      <alignment horizontal="right" vertical="center"/>
    </xf>
    <xf numFmtId="2" fontId="18" fillId="6" borderId="44" xfId="1" applyNumberFormat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2" fontId="18" fillId="6" borderId="45" xfId="1" applyNumberFormat="1" applyFont="1" applyFill="1" applyBorder="1" applyAlignment="1">
      <alignment horizontal="center" vertical="center"/>
    </xf>
    <xf numFmtId="2" fontId="18" fillId="7" borderId="44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7" borderId="45" xfId="1" applyNumberFormat="1" applyFont="1" applyFill="1" applyBorder="1" applyAlignment="1">
      <alignment horizontal="center" vertical="center"/>
    </xf>
    <xf numFmtId="2" fontId="18" fillId="6" borderId="17" xfId="1" applyNumberFormat="1" applyFont="1" applyFill="1" applyBorder="1" applyAlignment="1">
      <alignment horizontal="center" vertical="center"/>
    </xf>
    <xf numFmtId="0" fontId="17" fillId="3" borderId="44" xfId="1" applyFont="1" applyFill="1" applyBorder="1" applyAlignment="1" applyProtection="1">
      <alignment horizontal="center" vertical="center"/>
      <protection locked="0"/>
    </xf>
    <xf numFmtId="1" fontId="18" fillId="2" borderId="0" xfId="1" applyNumberFormat="1" applyFont="1" applyFill="1" applyAlignment="1">
      <alignment horizontal="center" vertical="center"/>
    </xf>
    <xf numFmtId="0" fontId="18" fillId="2" borderId="38" xfId="1" applyFont="1" applyFill="1" applyBorder="1" applyAlignment="1">
      <alignment horizontal="right" vertical="center"/>
    </xf>
    <xf numFmtId="2" fontId="18" fillId="7" borderId="29" xfId="1" applyNumberFormat="1" applyFont="1" applyFill="1" applyBorder="1" applyAlignment="1">
      <alignment horizontal="center" vertical="center"/>
    </xf>
    <xf numFmtId="170" fontId="18" fillId="2" borderId="0" xfId="1" applyNumberFormat="1" applyFont="1" applyFill="1" applyAlignment="1">
      <alignment horizontal="center" vertical="center"/>
    </xf>
    <xf numFmtId="0" fontId="18" fillId="2" borderId="16" xfId="1" applyFont="1" applyFill="1" applyBorder="1" applyAlignment="1">
      <alignment horizontal="right" vertical="center"/>
    </xf>
    <xf numFmtId="170" fontId="16" fillId="7" borderId="16" xfId="1" applyNumberFormat="1" applyFont="1" applyFill="1" applyBorder="1" applyAlignment="1">
      <alignment horizontal="center" vertical="center"/>
    </xf>
    <xf numFmtId="0" fontId="18" fillId="2" borderId="45" xfId="1" applyFont="1" applyFill="1" applyBorder="1" applyAlignment="1">
      <alignment horizontal="right" vertical="center"/>
    </xf>
    <xf numFmtId="10" fontId="18" fillId="6" borderId="45" xfId="1" applyNumberFormat="1" applyFont="1" applyFill="1" applyBorder="1" applyAlignment="1">
      <alignment horizontal="center" vertical="center"/>
    </xf>
    <xf numFmtId="0" fontId="18" fillId="2" borderId="17" xfId="1" applyFont="1" applyFill="1" applyBorder="1" applyAlignment="1">
      <alignment horizontal="right" vertical="center"/>
    </xf>
    <xf numFmtId="0" fontId="18" fillId="7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left" vertical="center"/>
    </xf>
    <xf numFmtId="166" fontId="16" fillId="2" borderId="0" xfId="1" applyNumberFormat="1" applyFont="1" applyFill="1" applyAlignment="1" applyProtection="1">
      <alignment horizontal="center" vertical="center"/>
      <protection locked="0"/>
    </xf>
    <xf numFmtId="2" fontId="16" fillId="2" borderId="13" xfId="1" applyNumberFormat="1" applyFont="1" applyFill="1" applyBorder="1" applyAlignment="1">
      <alignment horizontal="center" vertical="center"/>
    </xf>
    <xf numFmtId="0" fontId="16" fillId="2" borderId="13" xfId="1" applyFont="1" applyFill="1" applyBorder="1" applyAlignment="1">
      <alignment horizontal="center" vertical="center"/>
    </xf>
    <xf numFmtId="0" fontId="18" fillId="2" borderId="13" xfId="1" applyFont="1" applyFill="1" applyBorder="1" applyAlignment="1">
      <alignment horizontal="center" vertical="center"/>
    </xf>
    <xf numFmtId="0" fontId="17" fillId="3" borderId="21" xfId="1" applyFont="1" applyFill="1" applyBorder="1" applyAlignment="1" applyProtection="1">
      <alignment horizontal="center" vertical="center"/>
      <protection locked="0"/>
    </xf>
    <xf numFmtId="2" fontId="18" fillId="2" borderId="21" xfId="1" applyNumberFormat="1" applyFont="1" applyFill="1" applyBorder="1" applyAlignment="1">
      <alignment horizontal="center" vertical="center"/>
    </xf>
    <xf numFmtId="10" fontId="18" fillId="2" borderId="13" xfId="1" applyNumberFormat="1" applyFont="1" applyFill="1" applyBorder="1" applyAlignment="1">
      <alignment horizontal="center" vertical="center"/>
    </xf>
    <xf numFmtId="0" fontId="18" fillId="2" borderId="14" xfId="1" applyFont="1" applyFill="1" applyBorder="1" applyAlignment="1">
      <alignment horizontal="center" vertical="center"/>
    </xf>
    <xf numFmtId="2" fontId="18" fillId="2" borderId="25" xfId="1" applyNumberFormat="1" applyFont="1" applyFill="1" applyBorder="1" applyAlignment="1">
      <alignment horizontal="center" vertical="center"/>
    </xf>
    <xf numFmtId="10" fontId="18" fillId="2" borderId="14" xfId="1" applyNumberFormat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/>
    </xf>
    <xf numFmtId="0" fontId="17" fillId="3" borderId="46" xfId="1" applyFont="1" applyFill="1" applyBorder="1" applyAlignment="1" applyProtection="1">
      <alignment horizontal="center" vertical="center"/>
      <protection locked="0"/>
    </xf>
    <xf numFmtId="2" fontId="18" fillId="2" borderId="13" xfId="1" applyNumberFormat="1" applyFont="1" applyFill="1" applyBorder="1" applyAlignment="1">
      <alignment horizontal="center" vertical="center"/>
    </xf>
    <xf numFmtId="10" fontId="18" fillId="2" borderId="22" xfId="1" applyNumberFormat="1" applyFont="1" applyFill="1" applyBorder="1" applyAlignment="1">
      <alignment horizontal="center" vertical="center"/>
    </xf>
    <xf numFmtId="2" fontId="18" fillId="2" borderId="14" xfId="1" applyNumberFormat="1" applyFont="1" applyFill="1" applyBorder="1" applyAlignment="1">
      <alignment horizontal="center" vertical="center"/>
    </xf>
    <xf numFmtId="10" fontId="18" fillId="2" borderId="26" xfId="1" applyNumberFormat="1" applyFont="1" applyFill="1" applyBorder="1" applyAlignment="1">
      <alignment horizontal="center" vertical="center"/>
    </xf>
    <xf numFmtId="2" fontId="18" fillId="2" borderId="15" xfId="1" applyNumberFormat="1" applyFont="1" applyFill="1" applyBorder="1" applyAlignment="1">
      <alignment horizontal="center" vertical="center"/>
    </xf>
    <xf numFmtId="10" fontId="18" fillId="2" borderId="47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center" vertical="center"/>
    </xf>
    <xf numFmtId="0" fontId="18" fillId="2" borderId="46" xfId="1" applyFont="1" applyFill="1" applyBorder="1" applyAlignment="1">
      <alignment horizontal="right" vertical="center"/>
    </xf>
    <xf numFmtId="2" fontId="24" fillId="2" borderId="47" xfId="1" applyNumberFormat="1" applyFont="1" applyFill="1" applyBorder="1" applyAlignment="1">
      <alignment horizontal="center" vertical="center"/>
    </xf>
    <xf numFmtId="10" fontId="18" fillId="2" borderId="15" xfId="1" applyNumberFormat="1" applyFont="1" applyFill="1" applyBorder="1" applyAlignment="1">
      <alignment horizontal="center" vertical="center"/>
    </xf>
    <xf numFmtId="0" fontId="18" fillId="2" borderId="48" xfId="1" applyFont="1" applyFill="1" applyBorder="1" applyAlignment="1">
      <alignment horizontal="right" vertical="center"/>
    </xf>
    <xf numFmtId="10" fontId="17" fillId="7" borderId="34" xfId="1" applyNumberFormat="1" applyFont="1" applyFill="1" applyBorder="1" applyAlignment="1">
      <alignment horizontal="center" vertical="center"/>
    </xf>
    <xf numFmtId="10" fontId="17" fillId="6" borderId="49" xfId="1" applyNumberFormat="1" applyFont="1" applyFill="1" applyBorder="1" applyAlignment="1">
      <alignment horizontal="center" vertical="center"/>
    </xf>
    <xf numFmtId="0" fontId="17" fillId="7" borderId="5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165" fontId="17" fillId="2" borderId="0" xfId="1" applyNumberFormat="1" applyFont="1" applyFill="1" applyAlignment="1">
      <alignment horizontal="center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51" xfId="1" applyFont="1" applyFill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170" fontId="17" fillId="3" borderId="35" xfId="1" applyNumberFormat="1" applyFont="1" applyFill="1" applyBorder="1" applyAlignment="1" applyProtection="1">
      <alignment horizontal="center" vertical="center"/>
      <protection locked="0"/>
    </xf>
    <xf numFmtId="1" fontId="16" fillId="6" borderId="53" xfId="1" applyNumberFormat="1" applyFont="1" applyFill="1" applyBorder="1" applyAlignment="1">
      <alignment horizontal="center" vertical="center"/>
    </xf>
    <xf numFmtId="1" fontId="16" fillId="6" borderId="54" xfId="1" applyNumberFormat="1" applyFont="1" applyFill="1" applyBorder="1" applyAlignment="1">
      <alignment horizontal="center" vertical="center"/>
    </xf>
    <xf numFmtId="1" fontId="16" fillId="6" borderId="15" xfId="1" applyNumberFormat="1" applyFont="1" applyFill="1" applyBorder="1" applyAlignment="1">
      <alignment horizontal="center" vertical="center"/>
    </xf>
    <xf numFmtId="0" fontId="17" fillId="3" borderId="43" xfId="1" applyFont="1" applyFill="1" applyBorder="1" applyAlignment="1" applyProtection="1">
      <alignment horizontal="center" vertical="center"/>
      <protection locked="0"/>
    </xf>
    <xf numFmtId="166" fontId="18" fillId="6" borderId="44" xfId="1" applyNumberFormat="1" applyFont="1" applyFill="1" applyBorder="1" applyAlignment="1">
      <alignment horizontal="center" vertical="center"/>
    </xf>
    <xf numFmtId="166" fontId="18" fillId="6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8" fillId="7" borderId="44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wrapText="1"/>
    </xf>
    <xf numFmtId="10" fontId="18" fillId="2" borderId="0" xfId="1" applyNumberFormat="1" applyFont="1" applyFill="1" applyAlignment="1">
      <alignment horizontal="center"/>
    </xf>
    <xf numFmtId="10" fontId="16" fillId="6" borderId="45" xfId="1" applyNumberFormat="1" applyFont="1" applyFill="1" applyBorder="1" applyAlignment="1">
      <alignment horizontal="center" vertical="center"/>
    </xf>
    <xf numFmtId="0" fontId="16" fillId="7" borderId="17" xfId="1" applyFont="1" applyFill="1" applyBorder="1" applyAlignment="1">
      <alignment horizontal="center" vertical="center"/>
    </xf>
    <xf numFmtId="0" fontId="16" fillId="2" borderId="55" xfId="1" applyFont="1" applyFill="1" applyBorder="1" applyAlignment="1">
      <alignment horizontal="center" vertical="center"/>
    </xf>
    <xf numFmtId="0" fontId="16" fillId="2" borderId="56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center" vertical="center" wrapText="1"/>
    </xf>
    <xf numFmtId="0" fontId="18" fillId="2" borderId="25" xfId="1" applyFont="1" applyFill="1" applyBorder="1" applyAlignment="1">
      <alignment horizontal="center" vertical="center"/>
    </xf>
    <xf numFmtId="1" fontId="17" fillId="3" borderId="32" xfId="1" applyNumberFormat="1" applyFont="1" applyFill="1" applyBorder="1" applyAlignment="1" applyProtection="1">
      <alignment horizontal="center" vertical="center"/>
      <protection locked="0"/>
    </xf>
    <xf numFmtId="2" fontId="18" fillId="2" borderId="28" xfId="1" applyNumberFormat="1" applyFont="1" applyFill="1" applyBorder="1" applyAlignment="1">
      <alignment horizontal="center" vertical="center"/>
    </xf>
    <xf numFmtId="10" fontId="18" fillId="2" borderId="29" xfId="1" applyNumberFormat="1" applyFont="1" applyFill="1" applyBorder="1" applyAlignment="1">
      <alignment horizontal="center" vertical="center"/>
    </xf>
    <xf numFmtId="2" fontId="18" fillId="2" borderId="32" xfId="1" applyNumberFormat="1" applyFont="1" applyFill="1" applyBorder="1" applyAlignment="1">
      <alignment horizontal="center" vertical="center"/>
    </xf>
    <xf numFmtId="10" fontId="18" fillId="2" borderId="33" xfId="1" applyNumberFormat="1" applyFont="1" applyFill="1" applyBorder="1" applyAlignment="1">
      <alignment horizontal="center" vertical="center"/>
    </xf>
    <xf numFmtId="0" fontId="18" fillId="2" borderId="35" xfId="1" applyFont="1" applyFill="1" applyBorder="1" applyAlignment="1">
      <alignment horizontal="center" vertical="center"/>
    </xf>
    <xf numFmtId="1" fontId="17" fillId="3" borderId="36" xfId="1" applyNumberFormat="1" applyFont="1" applyFill="1" applyBorder="1" applyAlignment="1" applyProtection="1">
      <alignment horizontal="center" vertical="center"/>
      <protection locked="0"/>
    </xf>
    <xf numFmtId="2" fontId="18" fillId="2" borderId="36" xfId="1" applyNumberFormat="1" applyFont="1" applyFill="1" applyBorder="1" applyAlignment="1">
      <alignment horizontal="center" vertical="center"/>
    </xf>
    <xf numFmtId="10" fontId="18" fillId="2" borderId="37" xfId="1" applyNumberFormat="1" applyFont="1" applyFill="1" applyBorder="1" applyAlignment="1">
      <alignment horizontal="center" vertical="center"/>
    </xf>
    <xf numFmtId="2" fontId="18" fillId="2" borderId="26" xfId="1" applyNumberFormat="1" applyFont="1" applyFill="1" applyBorder="1" applyAlignment="1">
      <alignment horizontal="center" vertical="center"/>
    </xf>
    <xf numFmtId="170" fontId="16" fillId="2" borderId="0" xfId="1" applyNumberFormat="1" applyFont="1" applyFill="1" applyAlignment="1">
      <alignment horizontal="center" vertical="center"/>
    </xf>
    <xf numFmtId="170" fontId="18" fillId="2" borderId="2" xfId="1" applyNumberFormat="1" applyFont="1" applyFill="1" applyBorder="1" applyAlignment="1">
      <alignment horizontal="right" vertical="center"/>
    </xf>
    <xf numFmtId="10" fontId="17" fillId="7" borderId="44" xfId="1" applyNumberFormat="1" applyFont="1" applyFill="1" applyBorder="1" applyAlignment="1">
      <alignment horizontal="center" vertical="center"/>
    </xf>
    <xf numFmtId="0" fontId="18" fillId="2" borderId="25" xfId="1" applyFont="1" applyFill="1" applyBorder="1" applyAlignment="1">
      <alignment vertical="center"/>
    </xf>
    <xf numFmtId="0" fontId="18" fillId="2" borderId="6" xfId="1" applyFont="1" applyFill="1" applyBorder="1" applyAlignment="1">
      <alignment vertical="center"/>
    </xf>
    <xf numFmtId="10" fontId="17" fillId="6" borderId="44" xfId="1" applyNumberFormat="1" applyFont="1" applyFill="1" applyBorder="1" applyAlignment="1">
      <alignment horizontal="center" vertical="center"/>
    </xf>
    <xf numFmtId="0" fontId="18" fillId="2" borderId="46" xfId="1" applyFont="1" applyFill="1" applyBorder="1" applyAlignment="1">
      <alignment vertical="center"/>
    </xf>
    <xf numFmtId="0" fontId="18" fillId="2" borderId="57" xfId="1" applyFont="1" applyFill="1" applyBorder="1" applyAlignment="1">
      <alignment horizontal="center" vertical="center"/>
    </xf>
    <xf numFmtId="0" fontId="18" fillId="2" borderId="58" xfId="1" applyFont="1" applyFill="1" applyBorder="1" applyAlignment="1">
      <alignment horizontal="right" vertical="center"/>
    </xf>
    <xf numFmtId="0" fontId="17" fillId="7" borderId="17" xfId="1" applyFont="1" applyFill="1" applyBorder="1" applyAlignment="1">
      <alignment horizontal="center" vertical="center"/>
    </xf>
    <xf numFmtId="2" fontId="18" fillId="2" borderId="4" xfId="1" applyNumberFormat="1" applyFont="1" applyFill="1" applyBorder="1" applyAlignment="1">
      <alignment horizontal="center" vertical="center"/>
    </xf>
    <xf numFmtId="10" fontId="18" fillId="2" borderId="30" xfId="1" applyNumberFormat="1" applyFont="1" applyFill="1" applyBorder="1" applyAlignment="1">
      <alignment horizontal="center" vertical="center"/>
    </xf>
    <xf numFmtId="2" fontId="18" fillId="2" borderId="3" xfId="1" applyNumberFormat="1" applyFont="1" applyFill="1" applyBorder="1" applyAlignment="1">
      <alignment horizontal="center" vertical="center"/>
    </xf>
    <xf numFmtId="2" fontId="18" fillId="2" borderId="5" xfId="1" applyNumberFormat="1" applyFont="1" applyFill="1" applyBorder="1" applyAlignment="1">
      <alignment horizontal="center" vertical="center"/>
    </xf>
    <xf numFmtId="10" fontId="18" fillId="2" borderId="34" xfId="1" applyNumberFormat="1" applyFont="1" applyFill="1" applyBorder="1" applyAlignment="1">
      <alignment horizontal="center" vertical="center"/>
    </xf>
    <xf numFmtId="0" fontId="18" fillId="2" borderId="32" xfId="1" applyFont="1" applyFill="1" applyBorder="1" applyAlignment="1">
      <alignment horizontal="right" vertical="center"/>
    </xf>
    <xf numFmtId="0" fontId="18" fillId="2" borderId="9" xfId="1" applyFont="1" applyFill="1" applyBorder="1" applyAlignment="1">
      <alignment horizontal="center" vertical="center"/>
    </xf>
    <xf numFmtId="0" fontId="18" fillId="2" borderId="59" xfId="1" applyFont="1" applyFill="1" applyBorder="1" applyAlignment="1">
      <alignment horizontal="right" vertical="center"/>
    </xf>
    <xf numFmtId="0" fontId="14" fillId="2" borderId="9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vertical="center"/>
    </xf>
    <xf numFmtId="0" fontId="16" fillId="2" borderId="10" xfId="1" applyFont="1" applyFill="1" applyBorder="1" applyAlignment="1">
      <alignment horizontal="center" vertical="center"/>
    </xf>
    <xf numFmtId="0" fontId="18" fillId="2" borderId="10" xfId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vertical="center"/>
    </xf>
    <xf numFmtId="0" fontId="16" fillId="2" borderId="11" xfId="1" applyFont="1" applyFill="1" applyBorder="1" applyAlignment="1">
      <alignment vertical="center"/>
    </xf>
    <xf numFmtId="0" fontId="18" fillId="2" borderId="11" xfId="1" applyFont="1" applyFill="1" applyBorder="1" applyAlignment="1">
      <alignment vertical="center"/>
    </xf>
    <xf numFmtId="0" fontId="18" fillId="2" borderId="7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left" vertical="center" wrapText="1"/>
    </xf>
    <xf numFmtId="0" fontId="14" fillId="2" borderId="22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14" fillId="2" borderId="47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20" xfId="1" applyFont="1" applyFill="1" applyBorder="1" applyAlignment="1">
      <alignment horizontal="justify" vertical="center" wrapText="1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20" xfId="1" applyFont="1" applyFill="1" applyBorder="1" applyAlignment="1">
      <alignment horizontal="left" vertical="center" wrapText="1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2" fontId="17" fillId="3" borderId="13" xfId="1" applyNumberFormat="1" applyFont="1" applyFill="1" applyBorder="1" applyAlignment="1" applyProtection="1">
      <alignment horizontal="center" vertical="center"/>
      <protection locked="0"/>
    </xf>
    <xf numFmtId="2" fontId="17" fillId="3" borderId="14" xfId="1" applyNumberFormat="1" applyFont="1" applyFill="1" applyBorder="1" applyAlignment="1" applyProtection="1">
      <alignment horizontal="center" vertical="center"/>
      <protection locked="0"/>
    </xf>
    <xf numFmtId="2" fontId="17" fillId="3" borderId="15" xfId="1" applyNumberFormat="1" applyFont="1" applyFill="1" applyBorder="1" applyAlignment="1" applyProtection="1">
      <alignment horizontal="center" vertical="center"/>
      <protection locked="0"/>
    </xf>
    <xf numFmtId="0" fontId="14" fillId="2" borderId="21" xfId="1" applyFont="1" applyFill="1" applyBorder="1" applyAlignment="1">
      <alignment horizontal="center" vertical="center" wrapText="1"/>
    </xf>
    <xf numFmtId="0" fontId="14" fillId="2" borderId="22" xfId="1" applyFont="1" applyFill="1" applyBorder="1" applyAlignment="1">
      <alignment horizontal="center" vertical="center" wrapText="1"/>
    </xf>
    <xf numFmtId="0" fontId="14" fillId="2" borderId="46" xfId="1" applyFont="1" applyFill="1" applyBorder="1" applyAlignment="1">
      <alignment horizontal="center" vertical="center" wrapText="1"/>
    </xf>
    <xf numFmtId="0" fontId="14" fillId="2" borderId="47" xfId="1" applyFont="1" applyFill="1" applyBorder="1" applyAlignment="1">
      <alignment horizontal="center" vertical="center" wrapText="1"/>
    </xf>
    <xf numFmtId="0" fontId="17" fillId="3" borderId="0" xfId="1" applyFont="1" applyFill="1" applyAlignment="1" applyProtection="1">
      <alignment horizontal="left" vertical="center"/>
      <protection locked="0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14" fillId="2" borderId="20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1" xfId="1" applyFont="1" applyFill="1" applyBorder="1"/>
    <xf numFmtId="0" fontId="6" fillId="2" borderId="11" xfId="1" applyFont="1" applyFill="1" applyBorder="1"/>
    <xf numFmtId="0" fontId="17" fillId="3" borderId="0" xfId="1" applyFont="1" applyFill="1" applyAlignment="1" applyProtection="1">
      <alignment horizontal="left" wrapText="1"/>
      <protection locked="0"/>
    </xf>
    <xf numFmtId="0" fontId="24" fillId="3" borderId="0" xfId="1" applyFont="1" applyFill="1" applyAlignment="1" applyProtection="1">
      <alignment horizontal="left" wrapText="1"/>
      <protection locked="0"/>
    </xf>
    <xf numFmtId="0" fontId="16" fillId="2" borderId="0" xfId="1" applyFont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1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" fontId="18" fillId="6" borderId="0" xfId="1" applyNumberFormat="1" applyFont="1" applyFill="1" applyBorder="1" applyAlignment="1">
      <alignment horizontal="center" vertical="center"/>
    </xf>
    <xf numFmtId="2" fontId="18" fillId="6" borderId="49" xfId="1" applyNumberFormat="1" applyFont="1" applyFill="1" applyBorder="1" applyAlignment="1">
      <alignment horizontal="center" vertical="center"/>
    </xf>
    <xf numFmtId="10" fontId="17" fillId="7" borderId="60" xfId="1" applyNumberFormat="1" applyFont="1" applyFill="1" applyBorder="1" applyAlignment="1">
      <alignment horizontal="center" vertical="center"/>
    </xf>
    <xf numFmtId="10" fontId="17" fillId="0" borderId="60" xfId="1" applyNumberFormat="1" applyFont="1" applyFill="1" applyBorder="1" applyAlignment="1">
      <alignment horizontal="center" vertical="center"/>
    </xf>
    <xf numFmtId="0" fontId="17" fillId="7" borderId="60" xfId="1" applyFont="1" applyFill="1" applyBorder="1" applyAlignment="1">
      <alignment horizontal="center" vertical="center"/>
    </xf>
    <xf numFmtId="165" fontId="17" fillId="0" borderId="60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5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py%20of%20NDQD201605934r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oprazole (2)"/>
      <sheetName val="SST 2"/>
      <sheetName val="PANTOPRAZOLE FINAL COPY"/>
      <sheetName val="Uniformity"/>
    </sheetNames>
    <sheetDataSet>
      <sheetData sheetId="0">
        <row r="18">
          <cell r="B18" t="str">
            <v>PREZ -40 DR TABLETS</v>
          </cell>
        </row>
        <row r="19">
          <cell r="B19" t="str">
            <v>NDQD201605934r1</v>
          </cell>
        </row>
        <row r="20">
          <cell r="B20" t="str">
            <v xml:space="preserve">Pantoprazole  </v>
          </cell>
        </row>
        <row r="21">
          <cell r="B21" t="str">
            <v>Each tablet contains Pantoprazole sodium 40mg</v>
          </cell>
        </row>
        <row r="22">
          <cell r="B22" t="str">
            <v>2016-05-13 10:03:36</v>
          </cell>
        </row>
        <row r="26">
          <cell r="B26" t="str">
            <v>Pantoprazole Sodium Sesquihydrate</v>
          </cell>
        </row>
        <row r="27">
          <cell r="B27" t="str">
            <v>P11-1</v>
          </cell>
        </row>
        <row r="28">
          <cell r="B28">
            <v>93.8</v>
          </cell>
        </row>
        <row r="31">
          <cell r="B31">
            <v>383.37</v>
          </cell>
        </row>
        <row r="32">
          <cell r="B32">
            <v>432.4</v>
          </cell>
        </row>
      </sheetData>
      <sheetData sheetId="1" refreshError="1"/>
      <sheetData sheetId="2" refreshError="1"/>
      <sheetData sheetId="3">
        <row r="46">
          <cell r="C46">
            <v>224.75899999999996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F63" sqref="F63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49"/>
      <c r="C14" s="251"/>
      <c r="F14" s="251"/>
    </row>
    <row r="15" spans="1:6" ht="18.75" customHeight="1" x14ac:dyDescent="0.3">
      <c r="A15" s="252" t="s">
        <v>0</v>
      </c>
      <c r="B15" s="252"/>
      <c r="C15" s="252"/>
      <c r="D15" s="252"/>
      <c r="E15" s="252"/>
    </row>
    <row r="16" spans="1:6" ht="16.5" customHeight="1" x14ac:dyDescent="0.3">
      <c r="A16" s="253" t="s">
        <v>1</v>
      </c>
      <c r="B16" s="254" t="s">
        <v>2</v>
      </c>
    </row>
    <row r="17" spans="1:5" ht="16.5" customHeight="1" x14ac:dyDescent="0.3">
      <c r="A17" s="255" t="s">
        <v>3</v>
      </c>
      <c r="B17" s="255" t="s">
        <v>29</v>
      </c>
      <c r="D17" s="256"/>
      <c r="E17" s="257"/>
    </row>
    <row r="18" spans="1:5" ht="16.5" customHeight="1" x14ac:dyDescent="0.3">
      <c r="A18" s="258" t="s">
        <v>4</v>
      </c>
      <c r="B18" s="61" t="s">
        <v>119</v>
      </c>
      <c r="C18" s="257"/>
      <c r="D18" s="257"/>
      <c r="E18" s="257"/>
    </row>
    <row r="19" spans="1:5" ht="16.5" customHeight="1" x14ac:dyDescent="0.3">
      <c r="A19" s="258" t="s">
        <v>5</v>
      </c>
      <c r="B19" s="61">
        <v>93.21</v>
      </c>
      <c r="C19" s="257"/>
      <c r="D19" s="257"/>
      <c r="E19" s="257"/>
    </row>
    <row r="20" spans="1:5" ht="16.5" customHeight="1" x14ac:dyDescent="0.3">
      <c r="A20" s="255" t="s">
        <v>6</v>
      </c>
      <c r="B20" s="61">
        <v>10.68</v>
      </c>
      <c r="C20" s="257"/>
      <c r="D20" s="257"/>
      <c r="E20" s="257"/>
    </row>
    <row r="21" spans="1:5" ht="16.5" customHeight="1" x14ac:dyDescent="0.3">
      <c r="A21" s="255" t="s">
        <v>7</v>
      </c>
      <c r="B21" s="259">
        <f>10.68/50</f>
        <v>0.21359999999999998</v>
      </c>
      <c r="C21" s="257"/>
      <c r="D21" s="257"/>
      <c r="E21" s="257"/>
    </row>
    <row r="22" spans="1:5" ht="15.75" customHeight="1" x14ac:dyDescent="0.25">
      <c r="A22" s="257"/>
      <c r="B22" s="257"/>
      <c r="C22" s="257"/>
      <c r="D22" s="257"/>
      <c r="E22" s="257"/>
    </row>
    <row r="23" spans="1:5" ht="16.5" customHeight="1" x14ac:dyDescent="0.3">
      <c r="A23" s="260" t="s">
        <v>8</v>
      </c>
      <c r="B23" s="261" t="s">
        <v>9</v>
      </c>
      <c r="C23" s="260" t="s">
        <v>10</v>
      </c>
      <c r="D23" s="260" t="s">
        <v>11</v>
      </c>
      <c r="E23" s="260" t="s">
        <v>12</v>
      </c>
    </row>
    <row r="24" spans="1:5" ht="16.5" customHeight="1" x14ac:dyDescent="0.3">
      <c r="A24" s="262">
        <v>1</v>
      </c>
      <c r="B24" s="263">
        <v>73117229</v>
      </c>
      <c r="C24" s="263">
        <v>13181.2</v>
      </c>
      <c r="D24" s="264">
        <v>1</v>
      </c>
      <c r="E24" s="265">
        <v>7.7</v>
      </c>
    </row>
    <row r="25" spans="1:5" ht="16.5" customHeight="1" x14ac:dyDescent="0.3">
      <c r="A25" s="262">
        <v>2</v>
      </c>
      <c r="B25" s="263">
        <v>72714175</v>
      </c>
      <c r="C25" s="263">
        <v>13158.4</v>
      </c>
      <c r="D25" s="264">
        <v>1</v>
      </c>
      <c r="E25" s="264">
        <v>7.7</v>
      </c>
    </row>
    <row r="26" spans="1:5" ht="16.5" customHeight="1" x14ac:dyDescent="0.3">
      <c r="A26" s="262">
        <v>3</v>
      </c>
      <c r="B26" s="263">
        <v>73090581</v>
      </c>
      <c r="C26" s="263">
        <v>13190.6</v>
      </c>
      <c r="D26" s="264">
        <v>1</v>
      </c>
      <c r="E26" s="264">
        <v>7.7</v>
      </c>
    </row>
    <row r="27" spans="1:5" ht="16.5" customHeight="1" x14ac:dyDescent="0.3">
      <c r="A27" s="262">
        <v>4</v>
      </c>
      <c r="B27" s="263">
        <v>73009227</v>
      </c>
      <c r="C27" s="263">
        <v>13145.6</v>
      </c>
      <c r="D27" s="264">
        <v>1</v>
      </c>
      <c r="E27" s="264">
        <v>7.7</v>
      </c>
    </row>
    <row r="28" spans="1:5" ht="16.5" customHeight="1" x14ac:dyDescent="0.3">
      <c r="A28" s="262">
        <v>5</v>
      </c>
      <c r="B28" s="263">
        <v>73062973</v>
      </c>
      <c r="C28" s="263">
        <v>13173.7</v>
      </c>
      <c r="D28" s="264">
        <v>1</v>
      </c>
      <c r="E28" s="264">
        <v>7.7</v>
      </c>
    </row>
    <row r="29" spans="1:5" ht="16.5" customHeight="1" x14ac:dyDescent="0.3">
      <c r="A29" s="262">
        <v>6</v>
      </c>
      <c r="B29" s="266">
        <v>72802933</v>
      </c>
      <c r="C29" s="266">
        <v>13209.2</v>
      </c>
      <c r="D29" s="267">
        <v>1</v>
      </c>
      <c r="E29" s="267">
        <v>7.7</v>
      </c>
    </row>
    <row r="30" spans="1:5" ht="16.5" customHeight="1" x14ac:dyDescent="0.3">
      <c r="A30" s="268" t="s">
        <v>13</v>
      </c>
      <c r="B30" s="269">
        <f>AVERAGE(B24:B29)</f>
        <v>72966186.333333328</v>
      </c>
      <c r="C30" s="270">
        <f>AVERAGE(C24:C29)</f>
        <v>13176.449999999999</v>
      </c>
      <c r="D30" s="271">
        <f>AVERAGE(D24:D29)</f>
        <v>1</v>
      </c>
      <c r="E30" s="271">
        <f>AVERAGE(E24:E29)</f>
        <v>7.7</v>
      </c>
    </row>
    <row r="31" spans="1:5" ht="16.5" customHeight="1" x14ac:dyDescent="0.3">
      <c r="A31" s="272" t="s">
        <v>14</v>
      </c>
      <c r="B31" s="273">
        <f>(STDEV(B24:B29)/B30)</f>
        <v>2.2905725268647522E-3</v>
      </c>
      <c r="C31" s="274"/>
      <c r="D31" s="274"/>
      <c r="E31" s="275"/>
    </row>
    <row r="32" spans="1:5" s="48" customFormat="1" ht="16.5" customHeight="1" x14ac:dyDescent="0.3">
      <c r="A32" s="276" t="s">
        <v>15</v>
      </c>
      <c r="B32" s="277">
        <f>COUNT(B24:B29)</f>
        <v>6</v>
      </c>
      <c r="C32" s="278"/>
      <c r="D32" s="279"/>
      <c r="E32" s="280"/>
    </row>
    <row r="33" spans="1:5" s="48" customFormat="1" ht="15.75" customHeight="1" x14ac:dyDescent="0.25">
      <c r="A33" s="257"/>
      <c r="B33" s="257"/>
      <c r="C33" s="257"/>
      <c r="D33" s="257"/>
      <c r="E33" s="257"/>
    </row>
    <row r="34" spans="1:5" s="48" customFormat="1" ht="16.5" customHeight="1" x14ac:dyDescent="0.3">
      <c r="A34" s="258" t="s">
        <v>16</v>
      </c>
      <c r="B34" s="281" t="s">
        <v>17</v>
      </c>
      <c r="C34" s="282"/>
      <c r="D34" s="282"/>
      <c r="E34" s="282"/>
    </row>
    <row r="35" spans="1:5" ht="16.5" customHeight="1" x14ac:dyDescent="0.3">
      <c r="A35" s="258"/>
      <c r="B35" s="281" t="s">
        <v>18</v>
      </c>
      <c r="C35" s="282"/>
      <c r="D35" s="282"/>
      <c r="E35" s="282"/>
    </row>
    <row r="36" spans="1:5" ht="16.5" customHeight="1" x14ac:dyDescent="0.3">
      <c r="A36" s="258"/>
      <c r="B36" s="281" t="s">
        <v>19</v>
      </c>
      <c r="C36" s="282"/>
      <c r="D36" s="282"/>
      <c r="E36" s="282"/>
    </row>
    <row r="37" spans="1:5" ht="15.75" customHeight="1" x14ac:dyDescent="0.25">
      <c r="A37" s="257"/>
      <c r="B37" s="257"/>
      <c r="C37" s="257"/>
      <c r="D37" s="257"/>
      <c r="E37" s="257"/>
    </row>
    <row r="38" spans="1:5" ht="16.5" customHeight="1" x14ac:dyDescent="0.3">
      <c r="A38" s="253" t="s">
        <v>1</v>
      </c>
      <c r="B38" s="254" t="s">
        <v>20</v>
      </c>
    </row>
    <row r="39" spans="1:5" ht="16.5" customHeight="1" x14ac:dyDescent="0.3">
      <c r="A39" s="258" t="s">
        <v>4</v>
      </c>
      <c r="B39" s="255" t="s">
        <v>120</v>
      </c>
      <c r="C39" s="257"/>
      <c r="D39" s="257"/>
      <c r="E39" s="257"/>
    </row>
    <row r="40" spans="1:5" ht="16.5" customHeight="1" x14ac:dyDescent="0.3">
      <c r="A40" s="258" t="s">
        <v>5</v>
      </c>
      <c r="B40" s="61">
        <v>93.8</v>
      </c>
      <c r="C40" s="257"/>
      <c r="D40" s="257"/>
      <c r="E40" s="257"/>
    </row>
    <row r="41" spans="1:5" ht="16.5" customHeight="1" x14ac:dyDescent="0.3">
      <c r="A41" s="255" t="s">
        <v>6</v>
      </c>
      <c r="B41" s="61">
        <v>8.3000000000000007</v>
      </c>
      <c r="C41" s="257"/>
      <c r="D41" s="257"/>
      <c r="E41" s="257"/>
    </row>
    <row r="42" spans="1:5" ht="16.5" customHeight="1" x14ac:dyDescent="0.3">
      <c r="A42" s="255" t="s">
        <v>7</v>
      </c>
      <c r="B42" s="259">
        <f>8.3/50*10/100</f>
        <v>1.66E-2</v>
      </c>
      <c r="C42" s="257"/>
      <c r="D42" s="257"/>
      <c r="E42" s="257"/>
    </row>
    <row r="43" spans="1:5" ht="15.75" customHeight="1" x14ac:dyDescent="0.25">
      <c r="A43" s="257"/>
      <c r="B43" s="257"/>
      <c r="C43" s="257"/>
      <c r="D43" s="257"/>
      <c r="E43" s="257"/>
    </row>
    <row r="44" spans="1:5" ht="16.5" customHeight="1" x14ac:dyDescent="0.3">
      <c r="A44" s="260" t="s">
        <v>8</v>
      </c>
      <c r="B44" s="261" t="s">
        <v>9</v>
      </c>
      <c r="C44" s="260" t="s">
        <v>10</v>
      </c>
      <c r="D44" s="260" t="s">
        <v>11</v>
      </c>
      <c r="E44" s="260" t="s">
        <v>12</v>
      </c>
    </row>
    <row r="45" spans="1:5" ht="16.5" customHeight="1" x14ac:dyDescent="0.3">
      <c r="A45" s="262">
        <v>1</v>
      </c>
      <c r="B45" s="263">
        <v>5691560</v>
      </c>
      <c r="C45" s="263">
        <v>2910.37</v>
      </c>
      <c r="D45" s="264">
        <v>1.1200000000000001</v>
      </c>
      <c r="E45" s="265">
        <v>3.16</v>
      </c>
    </row>
    <row r="46" spans="1:5" ht="16.5" customHeight="1" x14ac:dyDescent="0.3">
      <c r="A46" s="262">
        <v>2</v>
      </c>
      <c r="B46" s="263">
        <v>5691313</v>
      </c>
      <c r="C46" s="263">
        <v>2897.16</v>
      </c>
      <c r="D46" s="264">
        <v>1.1399999999999999</v>
      </c>
      <c r="E46" s="264">
        <v>3.16</v>
      </c>
    </row>
    <row r="47" spans="1:5" ht="16.5" customHeight="1" x14ac:dyDescent="0.3">
      <c r="A47" s="262">
        <v>3</v>
      </c>
      <c r="B47" s="263">
        <v>5693947</v>
      </c>
      <c r="C47" s="263">
        <v>2888.11</v>
      </c>
      <c r="D47" s="264">
        <v>1.1399999999999999</v>
      </c>
      <c r="E47" s="264">
        <v>3.16</v>
      </c>
    </row>
    <row r="48" spans="1:5" ht="16.5" customHeight="1" x14ac:dyDescent="0.3">
      <c r="A48" s="262">
        <v>4</v>
      </c>
      <c r="B48" s="263">
        <v>5693910</v>
      </c>
      <c r="C48" s="263">
        <v>2905.3</v>
      </c>
      <c r="D48" s="264">
        <v>1.1499999999999999</v>
      </c>
      <c r="E48" s="264">
        <v>3.16</v>
      </c>
    </row>
    <row r="49" spans="1:7" ht="16.5" customHeight="1" x14ac:dyDescent="0.3">
      <c r="A49" s="262">
        <v>5</v>
      </c>
      <c r="B49" s="263">
        <v>5695502</v>
      </c>
      <c r="C49" s="263">
        <v>2860.03</v>
      </c>
      <c r="D49" s="264">
        <v>1.1200000000000001</v>
      </c>
      <c r="E49" s="264">
        <v>3.16</v>
      </c>
    </row>
    <row r="50" spans="1:7" ht="16.5" customHeight="1" x14ac:dyDescent="0.3">
      <c r="A50" s="262">
        <v>6</v>
      </c>
      <c r="B50" s="266">
        <v>5695798</v>
      </c>
      <c r="C50" s="266">
        <v>2867.63</v>
      </c>
      <c r="D50" s="267">
        <v>1.1299999999999999</v>
      </c>
      <c r="E50" s="267">
        <v>3.16</v>
      </c>
    </row>
    <row r="51" spans="1:7" ht="16.5" customHeight="1" x14ac:dyDescent="0.3">
      <c r="A51" s="268" t="s">
        <v>13</v>
      </c>
      <c r="B51" s="269">
        <f>AVERAGE(B45:B50)</f>
        <v>5693671.666666667</v>
      </c>
      <c r="C51" s="270">
        <f>AVERAGE(C45:C50)</f>
        <v>2888.1</v>
      </c>
      <c r="D51" s="271">
        <f>AVERAGE(D45:D50)</f>
        <v>1.1333333333333331</v>
      </c>
      <c r="E51" s="271">
        <f>AVERAGE(E45:E50)</f>
        <v>3.16</v>
      </c>
    </row>
    <row r="52" spans="1:7" ht="16.5" customHeight="1" x14ac:dyDescent="0.3">
      <c r="A52" s="272" t="s">
        <v>14</v>
      </c>
      <c r="B52" s="273">
        <f>(STDEV(B45:B50)/B51)</f>
        <v>3.3348623720049002E-4</v>
      </c>
      <c r="C52" s="274"/>
      <c r="D52" s="274"/>
      <c r="E52" s="275"/>
    </row>
    <row r="53" spans="1:7" s="48" customFormat="1" ht="16.5" customHeight="1" x14ac:dyDescent="0.3">
      <c r="A53" s="276" t="s">
        <v>15</v>
      </c>
      <c r="B53" s="277">
        <f>COUNT(B45:B50)</f>
        <v>6</v>
      </c>
      <c r="C53" s="278"/>
      <c r="D53" s="279"/>
      <c r="E53" s="280"/>
    </row>
    <row r="54" spans="1:7" s="48" customFormat="1" ht="15.75" customHeight="1" x14ac:dyDescent="0.25">
      <c r="A54" s="257"/>
      <c r="B54" s="257"/>
      <c r="C54" s="257"/>
      <c r="D54" s="257"/>
      <c r="E54" s="257"/>
    </row>
    <row r="55" spans="1:7" s="48" customFormat="1" ht="16.5" customHeight="1" x14ac:dyDescent="0.3">
      <c r="A55" s="258" t="s">
        <v>16</v>
      </c>
      <c r="B55" s="281" t="s">
        <v>17</v>
      </c>
      <c r="C55" s="282"/>
      <c r="D55" s="282"/>
      <c r="E55" s="282"/>
    </row>
    <row r="56" spans="1:7" ht="16.5" customHeight="1" x14ac:dyDescent="0.3">
      <c r="A56" s="258"/>
      <c r="B56" s="281" t="s">
        <v>18</v>
      </c>
      <c r="C56" s="282"/>
      <c r="D56" s="282"/>
      <c r="E56" s="282"/>
    </row>
    <row r="57" spans="1:7" ht="16.5" customHeight="1" x14ac:dyDescent="0.3">
      <c r="A57" s="258"/>
      <c r="B57" s="281" t="s">
        <v>121</v>
      </c>
      <c r="C57" s="282"/>
      <c r="D57" s="282"/>
      <c r="E57" s="282"/>
    </row>
    <row r="58" spans="1:7" ht="14.25" customHeight="1" thickBot="1" x14ac:dyDescent="0.3">
      <c r="A58" s="283"/>
      <c r="B58" s="284"/>
      <c r="D58" s="285"/>
      <c r="F58" s="50"/>
      <c r="G58" s="50"/>
    </row>
    <row r="59" spans="1:7" ht="15" customHeight="1" x14ac:dyDescent="0.3">
      <c r="B59" s="286" t="s">
        <v>21</v>
      </c>
      <c r="C59" s="286"/>
      <c r="E59" s="287" t="s">
        <v>22</v>
      </c>
      <c r="F59" s="288"/>
      <c r="G59" s="287" t="s">
        <v>23</v>
      </c>
    </row>
    <row r="60" spans="1:7" ht="15" customHeight="1" x14ac:dyDescent="0.3">
      <c r="A60" s="289" t="s">
        <v>24</v>
      </c>
      <c r="B60" s="290" t="s">
        <v>122</v>
      </c>
      <c r="C60" s="290"/>
      <c r="E60" s="290"/>
      <c r="G60" s="290"/>
    </row>
    <row r="61" spans="1:7" ht="15" customHeight="1" x14ac:dyDescent="0.3">
      <c r="A61" s="289" t="s">
        <v>25</v>
      </c>
      <c r="B61" s="291"/>
      <c r="C61" s="291"/>
      <c r="E61" s="291"/>
      <c r="G61" s="2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F63" sqref="F63"/>
    </sheetView>
  </sheetViews>
  <sheetFormatPr defaultRowHeight="15" x14ac:dyDescent="0.3"/>
  <cols>
    <col min="1" max="1" width="15.5703125" style="49" customWidth="1"/>
    <col min="2" max="2" width="18.42578125" style="49" customWidth="1"/>
    <col min="3" max="3" width="14.28515625" style="49" customWidth="1"/>
    <col min="4" max="4" width="15" style="49" customWidth="1"/>
    <col min="5" max="5" width="9.140625" style="49" customWidth="1"/>
    <col min="6" max="6" width="27.85546875" style="49" customWidth="1"/>
    <col min="7" max="7" width="12.28515625" style="49" customWidth="1"/>
    <col min="8" max="8" width="9.140625" style="49" customWidth="1"/>
    <col min="9" max="16384" width="9.140625" style="50"/>
  </cols>
  <sheetData>
    <row r="10" spans="1:7" ht="13.5" customHeight="1" thickBot="1" x14ac:dyDescent="0.35"/>
    <row r="11" spans="1:7" ht="13.5" customHeight="1" thickBot="1" x14ac:dyDescent="0.35">
      <c r="A11" s="293" t="s">
        <v>26</v>
      </c>
      <c r="B11" s="294"/>
      <c r="C11" s="294"/>
      <c r="D11" s="294"/>
      <c r="E11" s="294"/>
      <c r="F11" s="295"/>
      <c r="G11" s="296"/>
    </row>
    <row r="12" spans="1:7" ht="16.5" customHeight="1" x14ac:dyDescent="0.3">
      <c r="A12" s="297" t="s">
        <v>27</v>
      </c>
      <c r="B12" s="297"/>
      <c r="C12" s="297"/>
      <c r="D12" s="297"/>
      <c r="E12" s="297"/>
      <c r="F12" s="297"/>
      <c r="G12" s="253"/>
    </row>
    <row r="14" spans="1:7" ht="16.5" customHeight="1" x14ac:dyDescent="0.3">
      <c r="A14" s="298" t="s">
        <v>28</v>
      </c>
      <c r="B14" s="298"/>
      <c r="C14" s="257" t="s">
        <v>29</v>
      </c>
    </row>
    <row r="15" spans="1:7" ht="16.5" customHeight="1" x14ac:dyDescent="0.3">
      <c r="A15" s="298" t="s">
        <v>30</v>
      </c>
      <c r="B15" s="298"/>
      <c r="C15" s="257" t="s">
        <v>123</v>
      </c>
    </row>
    <row r="16" spans="1:7" ht="16.5" customHeight="1" x14ac:dyDescent="0.3">
      <c r="A16" s="298" t="s">
        <v>32</v>
      </c>
      <c r="B16" s="298"/>
      <c r="C16" s="257" t="s">
        <v>33</v>
      </c>
    </row>
    <row r="17" spans="1:5" ht="16.5" customHeight="1" x14ac:dyDescent="0.3">
      <c r="A17" s="298" t="s">
        <v>34</v>
      </c>
      <c r="B17" s="298"/>
      <c r="C17" s="257" t="s">
        <v>35</v>
      </c>
    </row>
    <row r="18" spans="1:5" ht="16.5" customHeight="1" x14ac:dyDescent="0.3">
      <c r="A18" s="298" t="s">
        <v>36</v>
      </c>
      <c r="B18" s="298"/>
      <c r="C18" s="299" t="s">
        <v>37</v>
      </c>
    </row>
    <row r="19" spans="1:5" ht="16.5" customHeight="1" x14ac:dyDescent="0.3">
      <c r="A19" s="298" t="s">
        <v>38</v>
      </c>
      <c r="B19" s="298"/>
      <c r="C19" s="299" t="e">
        <f>#REF!</f>
        <v>#REF!</v>
      </c>
    </row>
    <row r="20" spans="1:5" ht="16.5" customHeight="1" x14ac:dyDescent="0.3">
      <c r="A20" s="300"/>
      <c r="B20" s="300"/>
      <c r="C20" s="301"/>
    </row>
    <row r="21" spans="1:5" ht="16.5" customHeight="1" x14ac:dyDescent="0.3">
      <c r="A21" s="297" t="s">
        <v>1</v>
      </c>
      <c r="B21" s="297"/>
      <c r="C21" s="254" t="s">
        <v>39</v>
      </c>
      <c r="D21" s="302"/>
    </row>
    <row r="22" spans="1:5" ht="15.75" customHeight="1" thickBot="1" x14ac:dyDescent="0.35">
      <c r="A22" s="303"/>
      <c r="B22" s="303"/>
      <c r="C22" s="304"/>
      <c r="D22" s="303"/>
      <c r="E22" s="303"/>
    </row>
    <row r="23" spans="1:5" ht="33.75" customHeight="1" thickBot="1" x14ac:dyDescent="0.35">
      <c r="C23" s="305" t="s">
        <v>40</v>
      </c>
      <c r="D23" s="306" t="s">
        <v>41</v>
      </c>
      <c r="E23" s="284"/>
    </row>
    <row r="24" spans="1:5" ht="15.75" customHeight="1" x14ac:dyDescent="0.3">
      <c r="C24" s="307">
        <v>220.88</v>
      </c>
      <c r="D24" s="308">
        <f t="shared" ref="D24:D43" si="0">(C24-$C$46)/$C$46</f>
        <v>-2.965125346231515E-2</v>
      </c>
      <c r="E24" s="309"/>
    </row>
    <row r="25" spans="1:5" ht="15.75" customHeight="1" x14ac:dyDescent="0.3">
      <c r="C25" s="307">
        <v>231.76</v>
      </c>
      <c r="D25" s="310">
        <f t="shared" si="0"/>
        <v>1.814571485681744E-2</v>
      </c>
      <c r="E25" s="309"/>
    </row>
    <row r="26" spans="1:5" ht="15.75" customHeight="1" x14ac:dyDescent="0.3">
      <c r="C26" s="307">
        <v>213.7</v>
      </c>
      <c r="D26" s="310">
        <f t="shared" si="0"/>
        <v>-6.1193738069978063E-2</v>
      </c>
      <c r="E26" s="309"/>
    </row>
    <row r="27" spans="1:5" ht="15.75" customHeight="1" x14ac:dyDescent="0.3">
      <c r="C27" s="307">
        <v>226.24</v>
      </c>
      <c r="D27" s="310">
        <f t="shared" si="0"/>
        <v>-6.1042175992129955E-3</v>
      </c>
      <c r="E27" s="309"/>
    </row>
    <row r="28" spans="1:5" ht="15.75" customHeight="1" x14ac:dyDescent="0.3">
      <c r="C28" s="307">
        <v>227.25</v>
      </c>
      <c r="D28" s="310">
        <f t="shared" si="0"/>
        <v>-1.6671828563523798E-3</v>
      </c>
      <c r="E28" s="309"/>
    </row>
    <row r="29" spans="1:5" ht="15.75" customHeight="1" x14ac:dyDescent="0.3">
      <c r="C29" s="307">
        <v>228.43</v>
      </c>
      <c r="D29" s="310">
        <f t="shared" si="0"/>
        <v>3.5166795164947536E-3</v>
      </c>
      <c r="E29" s="309"/>
    </row>
    <row r="30" spans="1:5" ht="15.75" customHeight="1" x14ac:dyDescent="0.3">
      <c r="C30" s="307">
        <v>231.48</v>
      </c>
      <c r="D30" s="310">
        <f t="shared" si="0"/>
        <v>1.69156458191927E-2</v>
      </c>
      <c r="E30" s="309"/>
    </row>
    <row r="31" spans="1:5" ht="15.75" customHeight="1" x14ac:dyDescent="0.3">
      <c r="C31" s="307">
        <v>218.16</v>
      </c>
      <c r="D31" s="310">
        <f t="shared" si="0"/>
        <v>-4.1600495542098298E-2</v>
      </c>
      <c r="E31" s="309"/>
    </row>
    <row r="32" spans="1:5" ht="15.75" customHeight="1" x14ac:dyDescent="0.3">
      <c r="C32" s="307">
        <v>228.27</v>
      </c>
      <c r="D32" s="310">
        <f t="shared" si="0"/>
        <v>2.8137829235663474E-3</v>
      </c>
      <c r="E32" s="309"/>
    </row>
    <row r="33" spans="1:7" ht="15.75" customHeight="1" x14ac:dyDescent="0.3">
      <c r="C33" s="307">
        <v>234.8</v>
      </c>
      <c r="D33" s="310">
        <f t="shared" si="0"/>
        <v>3.1500750122457524E-2</v>
      </c>
      <c r="E33" s="309"/>
    </row>
    <row r="34" spans="1:7" ht="15.75" customHeight="1" x14ac:dyDescent="0.3">
      <c r="C34" s="307">
        <v>226.19</v>
      </c>
      <c r="D34" s="310">
        <f t="shared" si="0"/>
        <v>-6.3238727845031772E-3</v>
      </c>
      <c r="E34" s="309"/>
    </row>
    <row r="35" spans="1:7" ht="15.75" customHeight="1" x14ac:dyDescent="0.3">
      <c r="C35" s="307">
        <v>232.31</v>
      </c>
      <c r="D35" s="310">
        <f t="shared" si="0"/>
        <v>2.0561921895008935E-2</v>
      </c>
      <c r="E35" s="309"/>
    </row>
    <row r="36" spans="1:7" ht="15.75" customHeight="1" x14ac:dyDescent="0.3">
      <c r="C36" s="307">
        <v>225.76</v>
      </c>
      <c r="D36" s="310">
        <f t="shared" si="0"/>
        <v>-8.2129073779983377E-3</v>
      </c>
      <c r="E36" s="309"/>
    </row>
    <row r="37" spans="1:7" ht="15.75" customHeight="1" x14ac:dyDescent="0.3">
      <c r="C37" s="307">
        <v>215.99</v>
      </c>
      <c r="D37" s="310">
        <f t="shared" si="0"/>
        <v>-5.1133530583689954E-2</v>
      </c>
      <c r="E37" s="309"/>
    </row>
    <row r="38" spans="1:7" ht="15.75" customHeight="1" x14ac:dyDescent="0.3">
      <c r="C38" s="307">
        <v>232.91</v>
      </c>
      <c r="D38" s="310">
        <f t="shared" si="0"/>
        <v>2.3197784118490491E-2</v>
      </c>
      <c r="E38" s="309"/>
    </row>
    <row r="39" spans="1:7" ht="15.75" customHeight="1" x14ac:dyDescent="0.3">
      <c r="C39" s="307">
        <v>237.16</v>
      </c>
      <c r="D39" s="310">
        <f t="shared" si="0"/>
        <v>4.1868474868151664E-2</v>
      </c>
      <c r="E39" s="309"/>
    </row>
    <row r="40" spans="1:7" ht="15.75" customHeight="1" x14ac:dyDescent="0.3">
      <c r="C40" s="307">
        <v>236.82</v>
      </c>
      <c r="D40" s="310">
        <f t="shared" si="0"/>
        <v>4.0374819608178757E-2</v>
      </c>
      <c r="E40" s="309"/>
    </row>
    <row r="41" spans="1:7" ht="15.75" customHeight="1" x14ac:dyDescent="0.3">
      <c r="C41" s="307">
        <v>229.04</v>
      </c>
      <c r="D41" s="310">
        <f t="shared" si="0"/>
        <v>6.1964727770342926E-3</v>
      </c>
      <c r="E41" s="309"/>
    </row>
    <row r="42" spans="1:7" ht="15.75" customHeight="1" x14ac:dyDescent="0.3">
      <c r="C42" s="307">
        <v>234.17</v>
      </c>
      <c r="D42" s="310">
        <f t="shared" si="0"/>
        <v>2.8733094787801762E-2</v>
      </c>
      <c r="E42" s="309"/>
    </row>
    <row r="43" spans="1:7" ht="16.5" customHeight="1" thickBot="1" x14ac:dyDescent="0.35">
      <c r="C43" s="311">
        <v>221.27</v>
      </c>
      <c r="D43" s="312">
        <f t="shared" si="0"/>
        <v>-2.7937943017052061E-2</v>
      </c>
      <c r="E43" s="309"/>
    </row>
    <row r="44" spans="1:7" ht="16.5" customHeight="1" thickBot="1" x14ac:dyDescent="0.35">
      <c r="C44" s="313"/>
      <c r="D44" s="309"/>
      <c r="E44" s="314"/>
    </row>
    <row r="45" spans="1:7" ht="16.5" customHeight="1" thickBot="1" x14ac:dyDescent="0.35">
      <c r="B45" s="315" t="s">
        <v>42</v>
      </c>
      <c r="C45" s="316">
        <f>SUM(C24:C44)</f>
        <v>4552.5900000000011</v>
      </c>
      <c r="D45" s="317"/>
      <c r="E45" s="313"/>
    </row>
    <row r="46" spans="1:7" ht="17.25" customHeight="1" thickBot="1" x14ac:dyDescent="0.35">
      <c r="B46" s="315" t="s">
        <v>43</v>
      </c>
      <c r="C46" s="318">
        <f>AVERAGE(C24:C44)</f>
        <v>227.62950000000006</v>
      </c>
      <c r="E46" s="319"/>
    </row>
    <row r="47" spans="1:7" ht="17.25" customHeight="1" thickBot="1" x14ac:dyDescent="0.35">
      <c r="A47" s="257"/>
      <c r="B47" s="320"/>
      <c r="D47" s="321"/>
      <c r="E47" s="319"/>
    </row>
    <row r="48" spans="1:7" ht="33.75" customHeight="1" thickBot="1" x14ac:dyDescent="0.35">
      <c r="B48" s="322" t="s">
        <v>43</v>
      </c>
      <c r="C48" s="306" t="s">
        <v>44</v>
      </c>
      <c r="D48" s="323"/>
      <c r="G48" s="321"/>
    </row>
    <row r="49" spans="1:6" ht="17.25" customHeight="1" thickBot="1" x14ac:dyDescent="0.35">
      <c r="B49" s="324">
        <f>C46</f>
        <v>227.62950000000006</v>
      </c>
      <c r="C49" s="325">
        <f>-IF(C46&lt;=80,10%,IF(C46&lt;250,7.5%,5%))</f>
        <v>-7.4999999999999997E-2</v>
      </c>
      <c r="D49" s="326">
        <f>IF(C46&lt;=80,C46*0.9,IF(C46&lt;250,C46*0.925,C46*0.95))</f>
        <v>210.55728750000006</v>
      </c>
    </row>
    <row r="50" spans="1:6" ht="17.25" customHeight="1" thickBot="1" x14ac:dyDescent="0.35">
      <c r="B50" s="327"/>
      <c r="C50" s="328">
        <f>IF(C46&lt;=80, 10%, IF(C46&lt;250, 7.5%, 5%))</f>
        <v>7.4999999999999997E-2</v>
      </c>
      <c r="D50" s="326">
        <f>IF(C46&lt;=80, C46*1.1, IF(C46&lt;250, C46*1.075, C46*1.05))</f>
        <v>244.70171250000007</v>
      </c>
    </row>
    <row r="51" spans="1:6" ht="16.5" customHeight="1" thickBot="1" x14ac:dyDescent="0.35">
      <c r="A51" s="329"/>
      <c r="B51" s="330"/>
      <c r="C51" s="257"/>
      <c r="D51" s="331"/>
      <c r="E51" s="257"/>
      <c r="F51" s="302"/>
    </row>
    <row r="52" spans="1:6" ht="16.5" customHeight="1" x14ac:dyDescent="0.3">
      <c r="A52" s="257"/>
      <c r="B52" s="332" t="s">
        <v>21</v>
      </c>
      <c r="C52" s="332"/>
      <c r="D52" s="333" t="s">
        <v>22</v>
      </c>
      <c r="E52" s="334"/>
      <c r="F52" s="333" t="s">
        <v>23</v>
      </c>
    </row>
    <row r="53" spans="1:6" ht="34.5" customHeight="1" x14ac:dyDescent="0.3">
      <c r="A53" s="300" t="s">
        <v>24</v>
      </c>
      <c r="B53" s="279"/>
      <c r="C53" s="257"/>
      <c r="D53" s="279"/>
      <c r="E53" s="257"/>
      <c r="F53" s="279"/>
    </row>
    <row r="54" spans="1:6" ht="34.5" customHeight="1" x14ac:dyDescent="0.3">
      <c r="A54" s="300" t="s">
        <v>25</v>
      </c>
      <c r="B54" s="335"/>
      <c r="C54" s="258"/>
      <c r="D54" s="335"/>
      <c r="E54" s="257"/>
      <c r="F54" s="336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4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55" zoomScale="55" zoomScaleNormal="55" workbookViewId="0">
      <selection activeCell="C35" sqref="C35"/>
    </sheetView>
  </sheetViews>
  <sheetFormatPr defaultColWidth="9.140625" defaultRowHeight="15" x14ac:dyDescent="0.3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3.5703125" style="49" customWidth="1"/>
    <col min="6" max="6" width="36" style="49" customWidth="1"/>
    <col min="7" max="7" width="33.140625" style="49" customWidth="1"/>
    <col min="8" max="8" width="29.7109375" style="49" customWidth="1"/>
    <col min="9" max="9" width="29.85546875" style="48" customWidth="1"/>
    <col min="10" max="10" width="34.85546875" style="48" customWidth="1"/>
    <col min="11" max="11" width="9.140625" style="48"/>
    <col min="12" max="16384" width="9.140625" style="50"/>
  </cols>
  <sheetData>
    <row r="1" spans="1:8" ht="13.5" x14ac:dyDescent="0.25">
      <c r="A1" s="237" t="s">
        <v>45</v>
      </c>
      <c r="B1" s="237"/>
      <c r="C1" s="237"/>
      <c r="D1" s="237"/>
      <c r="E1" s="237"/>
      <c r="F1" s="237"/>
      <c r="G1" s="237"/>
      <c r="H1" s="237"/>
    </row>
    <row r="2" spans="1:8" ht="13.5" x14ac:dyDescent="0.25">
      <c r="A2" s="237"/>
      <c r="B2" s="237"/>
      <c r="C2" s="237"/>
      <c r="D2" s="237"/>
      <c r="E2" s="237"/>
      <c r="F2" s="237"/>
      <c r="G2" s="237"/>
      <c r="H2" s="237"/>
    </row>
    <row r="3" spans="1:8" ht="13.5" x14ac:dyDescent="0.25">
      <c r="A3" s="237"/>
      <c r="B3" s="237"/>
      <c r="C3" s="237"/>
      <c r="D3" s="237"/>
      <c r="E3" s="237"/>
      <c r="F3" s="237"/>
      <c r="G3" s="237"/>
      <c r="H3" s="237"/>
    </row>
    <row r="4" spans="1:8" ht="13.5" x14ac:dyDescent="0.25">
      <c r="A4" s="237"/>
      <c r="B4" s="237"/>
      <c r="C4" s="237"/>
      <c r="D4" s="237"/>
      <c r="E4" s="237"/>
      <c r="F4" s="237"/>
      <c r="G4" s="237"/>
      <c r="H4" s="237"/>
    </row>
    <row r="5" spans="1:8" ht="13.5" x14ac:dyDescent="0.25">
      <c r="A5" s="237"/>
      <c r="B5" s="237"/>
      <c r="C5" s="237"/>
      <c r="D5" s="237"/>
      <c r="E5" s="237"/>
      <c r="F5" s="237"/>
      <c r="G5" s="237"/>
      <c r="H5" s="237"/>
    </row>
    <row r="6" spans="1:8" ht="13.5" x14ac:dyDescent="0.25">
      <c r="A6" s="237"/>
      <c r="B6" s="237"/>
      <c r="C6" s="237"/>
      <c r="D6" s="237"/>
      <c r="E6" s="237"/>
      <c r="F6" s="237"/>
      <c r="G6" s="237"/>
      <c r="H6" s="237"/>
    </row>
    <row r="7" spans="1:8" ht="13.5" x14ac:dyDescent="0.25">
      <c r="A7" s="237"/>
      <c r="B7" s="237"/>
      <c r="C7" s="237"/>
      <c r="D7" s="237"/>
      <c r="E7" s="237"/>
      <c r="F7" s="237"/>
      <c r="G7" s="237"/>
      <c r="H7" s="237"/>
    </row>
    <row r="8" spans="1:8" ht="13.5" x14ac:dyDescent="0.25">
      <c r="A8" s="238" t="s">
        <v>46</v>
      </c>
      <c r="B8" s="238"/>
      <c r="C8" s="238"/>
      <c r="D8" s="238"/>
      <c r="E8" s="238"/>
      <c r="F8" s="238"/>
      <c r="G8" s="238"/>
      <c r="H8" s="238"/>
    </row>
    <row r="9" spans="1:8" ht="13.5" x14ac:dyDescent="0.25">
      <c r="A9" s="238"/>
      <c r="B9" s="238"/>
      <c r="C9" s="238"/>
      <c r="D9" s="238"/>
      <c r="E9" s="238"/>
      <c r="F9" s="238"/>
      <c r="G9" s="238"/>
      <c r="H9" s="238"/>
    </row>
    <row r="10" spans="1:8" ht="13.5" x14ac:dyDescent="0.25">
      <c r="A10" s="238"/>
      <c r="B10" s="238"/>
      <c r="C10" s="238"/>
      <c r="D10" s="238"/>
      <c r="E10" s="238"/>
      <c r="F10" s="238"/>
      <c r="G10" s="238"/>
      <c r="H10" s="238"/>
    </row>
    <row r="11" spans="1:8" ht="13.5" x14ac:dyDescent="0.25">
      <c r="A11" s="238"/>
      <c r="B11" s="238"/>
      <c r="C11" s="238"/>
      <c r="D11" s="238"/>
      <c r="E11" s="238"/>
      <c r="F11" s="238"/>
      <c r="G11" s="238"/>
      <c r="H11" s="238"/>
    </row>
    <row r="12" spans="1:8" ht="13.5" x14ac:dyDescent="0.25">
      <c r="A12" s="238"/>
      <c r="B12" s="238"/>
      <c r="C12" s="238"/>
      <c r="D12" s="238"/>
      <c r="E12" s="238"/>
      <c r="F12" s="238"/>
      <c r="G12" s="238"/>
      <c r="H12" s="238"/>
    </row>
    <row r="13" spans="1:8" ht="13.5" x14ac:dyDescent="0.25">
      <c r="A13" s="238"/>
      <c r="B13" s="238"/>
      <c r="C13" s="238"/>
      <c r="D13" s="238"/>
      <c r="E13" s="238"/>
      <c r="F13" s="238"/>
      <c r="G13" s="238"/>
      <c r="H13" s="238"/>
    </row>
    <row r="14" spans="1:8" ht="13.5" x14ac:dyDescent="0.25">
      <c r="A14" s="238"/>
      <c r="B14" s="238"/>
      <c r="C14" s="238"/>
      <c r="D14" s="238"/>
      <c r="E14" s="238"/>
      <c r="F14" s="238"/>
      <c r="G14" s="238"/>
      <c r="H14" s="238"/>
    </row>
    <row r="15" spans="1:8" ht="19.5" customHeight="1" thickBot="1" x14ac:dyDescent="0.35"/>
    <row r="16" spans="1:8" ht="19.5" customHeight="1" thickBot="1" x14ac:dyDescent="0.35">
      <c r="A16" s="239" t="s">
        <v>26</v>
      </c>
      <c r="B16" s="240"/>
      <c r="C16" s="240"/>
      <c r="D16" s="240"/>
      <c r="E16" s="240"/>
      <c r="F16" s="240"/>
      <c r="G16" s="240"/>
      <c r="H16" s="241"/>
    </row>
    <row r="17" spans="1:13" ht="20.25" customHeight="1" x14ac:dyDescent="0.25">
      <c r="A17" s="242" t="s">
        <v>47</v>
      </c>
      <c r="B17" s="242"/>
      <c r="C17" s="242"/>
      <c r="D17" s="242"/>
      <c r="E17" s="242"/>
      <c r="F17" s="242"/>
      <c r="G17" s="242"/>
      <c r="H17" s="242"/>
    </row>
    <row r="18" spans="1:13" ht="26.25" customHeight="1" x14ac:dyDescent="0.4">
      <c r="A18" s="51" t="s">
        <v>28</v>
      </c>
      <c r="B18" s="337" t="s">
        <v>29</v>
      </c>
      <c r="C18" s="337"/>
      <c r="D18" s="337"/>
      <c r="E18" s="337"/>
    </row>
    <row r="19" spans="1:13" ht="26.25" customHeight="1" x14ac:dyDescent="0.3">
      <c r="A19" s="51" t="s">
        <v>30</v>
      </c>
      <c r="B19" s="52" t="s">
        <v>123</v>
      </c>
      <c r="C19" s="53">
        <v>2</v>
      </c>
    </row>
    <row r="20" spans="1:13" ht="26.25" customHeight="1" x14ac:dyDescent="0.3">
      <c r="A20" s="51" t="s">
        <v>32</v>
      </c>
      <c r="B20" s="52" t="s">
        <v>124</v>
      </c>
    </row>
    <row r="21" spans="1:13" ht="26.25" customHeight="1" x14ac:dyDescent="0.4">
      <c r="A21" s="51" t="s">
        <v>34</v>
      </c>
      <c r="B21" s="338" t="s">
        <v>35</v>
      </c>
      <c r="C21" s="338"/>
      <c r="D21" s="338"/>
      <c r="E21" s="338"/>
      <c r="F21" s="338"/>
      <c r="G21" s="338"/>
      <c r="H21" s="338"/>
    </row>
    <row r="22" spans="1:13" ht="26.25" customHeight="1" x14ac:dyDescent="0.3">
      <c r="A22" s="51" t="s">
        <v>36</v>
      </c>
      <c r="B22" s="54">
        <v>42704</v>
      </c>
    </row>
    <row r="23" spans="1:13" ht="26.25" customHeight="1" x14ac:dyDescent="0.3">
      <c r="A23" s="51" t="s">
        <v>38</v>
      </c>
      <c r="B23" s="54">
        <v>42705</v>
      </c>
    </row>
    <row r="24" spans="1:13" ht="18.75" x14ac:dyDescent="0.3">
      <c r="A24" s="51"/>
      <c r="B24" s="55"/>
    </row>
    <row r="25" spans="1:13" ht="18.75" x14ac:dyDescent="0.3">
      <c r="A25" s="56" t="s">
        <v>1</v>
      </c>
      <c r="B25" s="55"/>
    </row>
    <row r="26" spans="1:13" ht="26.25" customHeight="1" x14ac:dyDescent="0.3">
      <c r="A26" s="57" t="s">
        <v>4</v>
      </c>
      <c r="B26" s="236" t="s">
        <v>124</v>
      </c>
      <c r="C26" s="236"/>
    </row>
    <row r="27" spans="1:13" ht="26.25" customHeight="1" x14ac:dyDescent="0.3">
      <c r="A27" s="58" t="s">
        <v>48</v>
      </c>
      <c r="B27" s="236" t="s">
        <v>125</v>
      </c>
      <c r="C27" s="236"/>
    </row>
    <row r="28" spans="1:13" ht="27" customHeight="1" thickBot="1" x14ac:dyDescent="0.35">
      <c r="A28" s="58" t="s">
        <v>5</v>
      </c>
      <c r="B28" s="59">
        <v>93.21</v>
      </c>
    </row>
    <row r="29" spans="1:13" s="61" customFormat="1" ht="15.75" customHeight="1" thickBot="1" x14ac:dyDescent="0.35">
      <c r="A29" s="58" t="s">
        <v>49</v>
      </c>
      <c r="B29" s="59">
        <v>0</v>
      </c>
      <c r="C29" s="216" t="s">
        <v>50</v>
      </c>
      <c r="D29" s="217"/>
      <c r="E29" s="217"/>
      <c r="F29" s="217"/>
      <c r="G29" s="217"/>
      <c r="H29" s="218"/>
      <c r="I29" s="60"/>
      <c r="J29" s="60"/>
      <c r="K29" s="60"/>
    </row>
    <row r="30" spans="1:13" s="61" customFormat="1" ht="19.5" customHeight="1" thickBot="1" x14ac:dyDescent="0.35">
      <c r="A30" s="58" t="s">
        <v>51</v>
      </c>
      <c r="B30" s="149">
        <f>B28-B29</f>
        <v>93.21</v>
      </c>
      <c r="C30" s="62"/>
      <c r="D30" s="62"/>
      <c r="E30" s="62"/>
      <c r="F30" s="62"/>
      <c r="G30" s="62"/>
      <c r="H30" s="63"/>
      <c r="I30" s="60"/>
      <c r="J30" s="60"/>
      <c r="K30" s="60"/>
    </row>
    <row r="31" spans="1:13" s="61" customFormat="1" ht="27" customHeight="1" thickBot="1" x14ac:dyDescent="0.35">
      <c r="A31" s="58" t="s">
        <v>52</v>
      </c>
      <c r="B31" s="64">
        <v>383.37099999999998</v>
      </c>
      <c r="C31" s="219" t="s">
        <v>53</v>
      </c>
      <c r="D31" s="220"/>
      <c r="E31" s="220"/>
      <c r="F31" s="220"/>
      <c r="G31" s="220"/>
      <c r="H31" s="221"/>
      <c r="I31" s="60"/>
      <c r="J31" s="60"/>
      <c r="K31" s="60"/>
    </row>
    <row r="32" spans="1:13" s="61" customFormat="1" ht="27" customHeight="1" thickBot="1" x14ac:dyDescent="0.35">
      <c r="A32" s="58" t="s">
        <v>54</v>
      </c>
      <c r="B32" s="64">
        <v>405.35199999999998</v>
      </c>
      <c r="C32" s="219" t="s">
        <v>55</v>
      </c>
      <c r="D32" s="220"/>
      <c r="E32" s="220"/>
      <c r="F32" s="220"/>
      <c r="G32" s="220"/>
      <c r="H32" s="221"/>
      <c r="I32" s="60"/>
      <c r="J32" s="60"/>
      <c r="K32" s="65"/>
      <c r="L32" s="65"/>
      <c r="M32" s="66"/>
    </row>
    <row r="33" spans="1:13" s="61" customFormat="1" ht="17.25" customHeight="1" x14ac:dyDescent="0.3">
      <c r="A33" s="58"/>
      <c r="B33" s="67"/>
      <c r="C33" s="68"/>
      <c r="D33" s="68"/>
      <c r="E33" s="68"/>
      <c r="F33" s="68"/>
      <c r="G33" s="68"/>
      <c r="H33" s="68"/>
      <c r="I33" s="60"/>
      <c r="J33" s="60"/>
      <c r="K33" s="65"/>
      <c r="L33" s="65"/>
      <c r="M33" s="66"/>
    </row>
    <row r="34" spans="1:13" s="61" customFormat="1" ht="18.75" x14ac:dyDescent="0.3">
      <c r="A34" s="58" t="s">
        <v>56</v>
      </c>
      <c r="B34" s="69">
        <f>B31/B32</f>
        <v>0.94577305650397681</v>
      </c>
      <c r="C34" s="53" t="s">
        <v>57</v>
      </c>
      <c r="D34" s="53"/>
      <c r="E34" s="53"/>
      <c r="F34" s="53"/>
      <c r="G34" s="53"/>
      <c r="H34" s="70"/>
      <c r="I34" s="60"/>
      <c r="J34" s="60"/>
      <c r="K34" s="65"/>
      <c r="L34" s="65"/>
      <c r="M34" s="66"/>
    </row>
    <row r="35" spans="1:13" s="61" customFormat="1" ht="19.5" customHeight="1" thickBot="1" x14ac:dyDescent="0.35">
      <c r="A35" s="58"/>
      <c r="B35" s="149"/>
      <c r="C35" s="70"/>
      <c r="D35" s="70"/>
      <c r="E35" s="70"/>
      <c r="F35" s="70"/>
      <c r="G35" s="53"/>
      <c r="H35" s="70"/>
      <c r="I35" s="60"/>
      <c r="J35" s="60"/>
      <c r="K35" s="65"/>
      <c r="L35" s="65"/>
      <c r="M35" s="66"/>
    </row>
    <row r="36" spans="1:13" s="61" customFormat="1" ht="15.75" customHeight="1" thickBot="1" x14ac:dyDescent="0.35">
      <c r="A36" s="71" t="s">
        <v>58</v>
      </c>
      <c r="B36" s="72">
        <v>50</v>
      </c>
      <c r="C36" s="53"/>
      <c r="D36" s="222" t="s">
        <v>59</v>
      </c>
      <c r="E36" s="223"/>
      <c r="F36" s="222" t="s">
        <v>60</v>
      </c>
      <c r="G36" s="223"/>
      <c r="H36" s="70"/>
      <c r="I36" s="60"/>
      <c r="J36" s="60"/>
      <c r="K36" s="65"/>
      <c r="L36" s="65"/>
      <c r="M36" s="66"/>
    </row>
    <row r="37" spans="1:13" s="61" customFormat="1" ht="15.75" customHeight="1" x14ac:dyDescent="0.3">
      <c r="A37" s="73" t="s">
        <v>61</v>
      </c>
      <c r="B37" s="74">
        <v>1</v>
      </c>
      <c r="C37" s="75" t="s">
        <v>62</v>
      </c>
      <c r="D37" s="76" t="s">
        <v>63</v>
      </c>
      <c r="E37" s="77" t="s">
        <v>64</v>
      </c>
      <c r="F37" s="76" t="s">
        <v>63</v>
      </c>
      <c r="G37" s="78" t="s">
        <v>64</v>
      </c>
      <c r="H37" s="70"/>
      <c r="I37" s="60"/>
      <c r="J37" s="60"/>
      <c r="K37" s="65"/>
      <c r="L37" s="65"/>
      <c r="M37" s="66"/>
    </row>
    <row r="38" spans="1:13" s="61" customFormat="1" ht="26.25" customHeight="1" x14ac:dyDescent="0.3">
      <c r="A38" s="73" t="s">
        <v>65</v>
      </c>
      <c r="B38" s="74">
        <v>1</v>
      </c>
      <c r="C38" s="79">
        <v>1</v>
      </c>
      <c r="D38" s="80">
        <v>72566546</v>
      </c>
      <c r="E38" s="81">
        <f>IF(ISBLANK(D38),"-",$D$48/$D$45*D38)</f>
        <v>77075394.088162586</v>
      </c>
      <c r="F38" s="80">
        <v>67362075</v>
      </c>
      <c r="G38" s="82">
        <f>IF(ISBLANK(F38),"-",$D$48/$F$45*F38)</f>
        <v>79431166.229654327</v>
      </c>
      <c r="H38" s="70"/>
      <c r="I38" s="60"/>
      <c r="J38" s="60"/>
      <c r="K38" s="65"/>
      <c r="L38" s="65"/>
      <c r="M38" s="66"/>
    </row>
    <row r="39" spans="1:13" s="61" customFormat="1" ht="26.25" customHeight="1" x14ac:dyDescent="0.3">
      <c r="A39" s="73" t="s">
        <v>66</v>
      </c>
      <c r="B39" s="74">
        <v>1</v>
      </c>
      <c r="C39" s="83">
        <v>2</v>
      </c>
      <c r="D39" s="84">
        <v>72609303</v>
      </c>
      <c r="E39" s="85">
        <f>IF(ISBLANK(D39),"-",$D$48/$D$45*D39)</f>
        <v>77120807.750610128</v>
      </c>
      <c r="F39" s="84">
        <v>67394568</v>
      </c>
      <c r="G39" s="86">
        <f>IF(ISBLANK(F39),"-",$D$48/$F$45*F39)</f>
        <v>79469480.917619333</v>
      </c>
      <c r="H39" s="70"/>
      <c r="I39" s="60"/>
      <c r="J39" s="60"/>
      <c r="K39" s="65"/>
      <c r="L39" s="65"/>
      <c r="M39" s="66"/>
    </row>
    <row r="40" spans="1:13" ht="26.25" customHeight="1" x14ac:dyDescent="0.3">
      <c r="A40" s="73" t="s">
        <v>67</v>
      </c>
      <c r="B40" s="74">
        <v>1</v>
      </c>
      <c r="C40" s="83">
        <v>3</v>
      </c>
      <c r="D40" s="84">
        <v>73112452</v>
      </c>
      <c r="E40" s="85">
        <f>IF(ISBLANK(D40),"-",$D$48/$D$45*D40)</f>
        <v>77655219.3989207</v>
      </c>
      <c r="F40" s="84">
        <v>67741088</v>
      </c>
      <c r="G40" s="86">
        <f>IF(ISBLANK(F40),"-",$D$48/$F$45*F40)</f>
        <v>79878086.022522941</v>
      </c>
      <c r="K40" s="65"/>
      <c r="L40" s="65"/>
      <c r="M40" s="87"/>
    </row>
    <row r="41" spans="1:13" ht="26.25" customHeight="1" x14ac:dyDescent="0.3">
      <c r="A41" s="73" t="s">
        <v>68</v>
      </c>
      <c r="B41" s="74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K41" s="65"/>
      <c r="L41" s="65"/>
      <c r="M41" s="87"/>
    </row>
    <row r="42" spans="1:13" ht="27" customHeight="1" thickBot="1" x14ac:dyDescent="0.3">
      <c r="A42" s="73" t="s">
        <v>69</v>
      </c>
      <c r="B42" s="74">
        <v>1</v>
      </c>
      <c r="C42" s="92" t="s">
        <v>70</v>
      </c>
      <c r="D42" s="93">
        <f>AVERAGE(D38:D41)</f>
        <v>72762767</v>
      </c>
      <c r="E42" s="94">
        <f>AVERAGE(E38:E41)</f>
        <v>77283807.079231143</v>
      </c>
      <c r="F42" s="95">
        <f>AVERAGE(F38:F41)</f>
        <v>67499243.666666672</v>
      </c>
      <c r="G42" s="96">
        <f>AVERAGE(G38:G41)</f>
        <v>79592911.056598857</v>
      </c>
      <c r="H42" s="97"/>
    </row>
    <row r="43" spans="1:13" ht="26.25" customHeight="1" x14ac:dyDescent="0.3">
      <c r="A43" s="73" t="s">
        <v>71</v>
      </c>
      <c r="B43" s="59">
        <v>1</v>
      </c>
      <c r="C43" s="98" t="s">
        <v>72</v>
      </c>
      <c r="D43" s="99">
        <v>10.68</v>
      </c>
      <c r="E43" s="53"/>
      <c r="F43" s="100">
        <v>9.6199999999999992</v>
      </c>
      <c r="H43" s="97"/>
    </row>
    <row r="44" spans="1:13" ht="26.25" customHeight="1" x14ac:dyDescent="0.3">
      <c r="A44" s="73" t="s">
        <v>73</v>
      </c>
      <c r="B44" s="59">
        <v>1</v>
      </c>
      <c r="C44" s="101" t="s">
        <v>74</v>
      </c>
      <c r="D44" s="102">
        <f>D43*$B$34</f>
        <v>10.100856243462472</v>
      </c>
      <c r="E44" s="103"/>
      <c r="F44" s="104">
        <f>F43*$B$34</f>
        <v>9.0983368035682552</v>
      </c>
      <c r="H44" s="97"/>
    </row>
    <row r="45" spans="1:13" ht="19.5" customHeight="1" thickBot="1" x14ac:dyDescent="0.35">
      <c r="A45" s="73" t="s">
        <v>75</v>
      </c>
      <c r="B45" s="149">
        <f>(B44/B43)*(B42/B41)*(B40/B39)*(B38/B37)*B36</f>
        <v>50</v>
      </c>
      <c r="C45" s="101" t="s">
        <v>76</v>
      </c>
      <c r="D45" s="105">
        <f>D44*$B$30/100</f>
        <v>9.4150081045313705</v>
      </c>
      <c r="E45" s="106"/>
      <c r="F45" s="107">
        <f>F44*$B$30/100</f>
        <v>8.4805597346059702</v>
      </c>
      <c r="H45" s="97"/>
    </row>
    <row r="46" spans="1:13" ht="19.5" customHeight="1" thickBot="1" x14ac:dyDescent="0.35">
      <c r="A46" s="210" t="s">
        <v>77</v>
      </c>
      <c r="B46" s="211"/>
      <c r="C46" s="101" t="s">
        <v>78</v>
      </c>
      <c r="D46" s="102">
        <f>D45/$B$45</f>
        <v>0.18830016209062742</v>
      </c>
      <c r="E46" s="106"/>
      <c r="F46" s="108">
        <f>F45/$B$45</f>
        <v>0.16961119469211941</v>
      </c>
      <c r="H46" s="97"/>
    </row>
    <row r="47" spans="1:13" ht="27" customHeight="1" thickBot="1" x14ac:dyDescent="0.35">
      <c r="A47" s="212"/>
      <c r="B47" s="213"/>
      <c r="C47" s="101" t="s">
        <v>79</v>
      </c>
      <c r="D47" s="109">
        <v>0.2</v>
      </c>
      <c r="F47" s="110"/>
      <c r="H47" s="97"/>
    </row>
    <row r="48" spans="1:13" ht="18.75" x14ac:dyDescent="0.3">
      <c r="C48" s="101" t="s">
        <v>80</v>
      </c>
      <c r="D48" s="102">
        <f>D47*$B$45</f>
        <v>10</v>
      </c>
      <c r="F48" s="110"/>
      <c r="H48" s="97"/>
    </row>
    <row r="49" spans="1:11" ht="19.5" customHeight="1" thickBot="1" x14ac:dyDescent="0.35">
      <c r="C49" s="111" t="s">
        <v>81</v>
      </c>
      <c r="D49" s="112">
        <f>D48/B34</f>
        <v>10.573361052348769</v>
      </c>
      <c r="F49" s="113"/>
      <c r="H49" s="97"/>
    </row>
    <row r="50" spans="1:11" ht="18.75" x14ac:dyDescent="0.3">
      <c r="C50" s="114" t="s">
        <v>82</v>
      </c>
      <c r="D50" s="115">
        <f>AVERAGE(E38:E41,G38:G41)</f>
        <v>78438359.067915007</v>
      </c>
      <c r="F50" s="113"/>
      <c r="H50" s="97"/>
    </row>
    <row r="51" spans="1:11" ht="18.75" x14ac:dyDescent="0.3">
      <c r="C51" s="116" t="s">
        <v>83</v>
      </c>
      <c r="D51" s="117">
        <f>STDEV(E38:E41,G38:G41)/D50</f>
        <v>1.6454052775524908E-2</v>
      </c>
      <c r="F51" s="113"/>
    </row>
    <row r="52" spans="1:11" ht="19.5" customHeight="1" thickBot="1" x14ac:dyDescent="0.35">
      <c r="C52" s="118" t="s">
        <v>15</v>
      </c>
      <c r="D52" s="119">
        <f>COUNT(E38:E41,G38:G41)</f>
        <v>6</v>
      </c>
      <c r="F52" s="113"/>
    </row>
    <row r="54" spans="1:11" ht="18.75" x14ac:dyDescent="0.3">
      <c r="A54" s="120" t="s">
        <v>1</v>
      </c>
      <c r="B54" s="121" t="s">
        <v>84</v>
      </c>
    </row>
    <row r="55" spans="1:11" ht="18.75" x14ac:dyDescent="0.3">
      <c r="A55" s="53" t="s">
        <v>85</v>
      </c>
      <c r="B55" s="122" t="str">
        <f>B21</f>
        <v>Each tablet contains Pantoprazole sodium 40mg</v>
      </c>
    </row>
    <row r="56" spans="1:11" ht="26.25" customHeight="1" x14ac:dyDescent="0.3">
      <c r="A56" s="122" t="s">
        <v>126</v>
      </c>
      <c r="B56" s="59">
        <v>40</v>
      </c>
      <c r="C56" s="53" t="str">
        <f>B20</f>
        <v>Pantoprazole Sodium</v>
      </c>
      <c r="H56" s="103"/>
    </row>
    <row r="57" spans="1:11" ht="18.75" x14ac:dyDescent="0.3">
      <c r="A57" s="122" t="s">
        <v>127</v>
      </c>
      <c r="B57" s="123">
        <f>Uniformity!C46</f>
        <v>227.62950000000006</v>
      </c>
      <c r="H57" s="103"/>
    </row>
    <row r="58" spans="1:11" ht="19.5" customHeight="1" thickBot="1" x14ac:dyDescent="0.35">
      <c r="H58" s="103"/>
    </row>
    <row r="59" spans="1:11" s="61" customFormat="1" ht="27" customHeight="1" thickBot="1" x14ac:dyDescent="0.35">
      <c r="A59" s="71" t="s">
        <v>88</v>
      </c>
      <c r="B59" s="72">
        <v>100</v>
      </c>
      <c r="C59" s="53"/>
      <c r="D59" s="124" t="s">
        <v>89</v>
      </c>
      <c r="E59" s="125" t="s">
        <v>62</v>
      </c>
      <c r="F59" s="125" t="s">
        <v>63</v>
      </c>
      <c r="G59" s="125" t="s">
        <v>90</v>
      </c>
      <c r="H59" s="75" t="s">
        <v>91</v>
      </c>
      <c r="K59" s="60"/>
    </row>
    <row r="60" spans="1:11" s="61" customFormat="1" ht="26.25" customHeight="1" x14ac:dyDescent="0.3">
      <c r="A60" s="73" t="s">
        <v>92</v>
      </c>
      <c r="B60" s="74">
        <v>10</v>
      </c>
      <c r="C60" s="226" t="s">
        <v>93</v>
      </c>
      <c r="D60" s="229">
        <v>215.52</v>
      </c>
      <c r="E60" s="126">
        <v>1</v>
      </c>
      <c r="F60" s="127">
        <v>62214139</v>
      </c>
      <c r="G60" s="128">
        <f>IF(ISBLANK(F60),"-",(F60/$D$50*$D$47*$B$68)*($B$57/$D$60))</f>
        <v>33.509006591058906</v>
      </c>
      <c r="H60" s="129">
        <f t="shared" ref="H60:H71" si="0">IF(ISBLANK(F60),"-",G60/$B$56)</f>
        <v>0.83772516477647263</v>
      </c>
      <c r="K60" s="60"/>
    </row>
    <row r="61" spans="1:11" s="61" customFormat="1" ht="26.25" customHeight="1" x14ac:dyDescent="0.3">
      <c r="A61" s="73" t="s">
        <v>94</v>
      </c>
      <c r="B61" s="74">
        <v>20</v>
      </c>
      <c r="C61" s="227"/>
      <c r="D61" s="230"/>
      <c r="E61" s="130">
        <v>2</v>
      </c>
      <c r="F61" s="84">
        <v>63278931</v>
      </c>
      <c r="G61" s="131">
        <f>IF(ISBLANK(F61),"-",(F61/$D$50*$D$47*$B$68)*($B$57/$D$60))</f>
        <v>34.082511628974913</v>
      </c>
      <c r="H61" s="132">
        <f t="shared" si="0"/>
        <v>0.85206279072437285</v>
      </c>
      <c r="K61" s="60"/>
    </row>
    <row r="62" spans="1:11" s="61" customFormat="1" ht="26.25" customHeight="1" x14ac:dyDescent="0.3">
      <c r="A62" s="73" t="s">
        <v>95</v>
      </c>
      <c r="B62" s="74">
        <v>1</v>
      </c>
      <c r="C62" s="227"/>
      <c r="D62" s="230"/>
      <c r="E62" s="130">
        <v>3</v>
      </c>
      <c r="F62" s="84">
        <v>62967376</v>
      </c>
      <c r="G62" s="131">
        <f>IF(ISBLANK(F62),"-",(F62/$D$50*$D$47*$B$68)*($B$57/$D$60))</f>
        <v>33.914705745677587</v>
      </c>
      <c r="H62" s="132">
        <f t="shared" si="0"/>
        <v>0.84786764364193967</v>
      </c>
      <c r="K62" s="60"/>
    </row>
    <row r="63" spans="1:11" ht="27" customHeight="1" thickBot="1" x14ac:dyDescent="0.3">
      <c r="A63" s="73" t="s">
        <v>96</v>
      </c>
      <c r="B63" s="74">
        <v>1</v>
      </c>
      <c r="C63" s="228"/>
      <c r="D63" s="231"/>
      <c r="E63" s="133">
        <v>4</v>
      </c>
      <c r="F63" s="134"/>
      <c r="G63" s="131" t="str">
        <f>IF(ISBLANK(F63),"-",(F63/$D$50*$D$47*$B$68)*($B$57/$D$60))</f>
        <v>-</v>
      </c>
      <c r="H63" s="132" t="str">
        <f t="shared" si="0"/>
        <v>-</v>
      </c>
    </row>
    <row r="64" spans="1:11" ht="26.25" customHeight="1" x14ac:dyDescent="0.25">
      <c r="A64" s="73" t="s">
        <v>97</v>
      </c>
      <c r="B64" s="74">
        <v>1</v>
      </c>
      <c r="C64" s="226" t="s">
        <v>98</v>
      </c>
      <c r="D64" s="229">
        <v>221.22</v>
      </c>
      <c r="E64" s="126">
        <v>1</v>
      </c>
      <c r="F64" s="127">
        <v>65148759</v>
      </c>
      <c r="G64" s="135">
        <f>IF(ISBLANK(F64),"-",(F64/$D$50*$D$47*$B$68)*($B$57/$D$64))</f>
        <v>34.185488917263683</v>
      </c>
      <c r="H64" s="136">
        <f t="shared" si="0"/>
        <v>0.85463722293159206</v>
      </c>
    </row>
    <row r="65" spans="1:8" ht="26.25" customHeight="1" x14ac:dyDescent="0.25">
      <c r="A65" s="73" t="s">
        <v>99</v>
      </c>
      <c r="B65" s="74">
        <v>1</v>
      </c>
      <c r="C65" s="227"/>
      <c r="D65" s="230"/>
      <c r="E65" s="130">
        <v>2</v>
      </c>
      <c r="F65" s="84">
        <v>65236478</v>
      </c>
      <c r="G65" s="137">
        <f>IF(ISBLANK(F65),"-",(F65/$D$50*$D$47*$B$68)*($B$57/$D$64))</f>
        <v>34.2315176820224</v>
      </c>
      <c r="H65" s="138">
        <f t="shared" si="0"/>
        <v>0.85578794205055997</v>
      </c>
    </row>
    <row r="66" spans="1:8" ht="26.25" customHeight="1" x14ac:dyDescent="0.25">
      <c r="A66" s="73" t="s">
        <v>100</v>
      </c>
      <c r="B66" s="74">
        <v>1</v>
      </c>
      <c r="C66" s="227"/>
      <c r="D66" s="230"/>
      <c r="E66" s="130">
        <v>3</v>
      </c>
      <c r="F66" s="84">
        <v>65121776</v>
      </c>
      <c r="G66" s="137">
        <f>IF(ISBLANK(F66),"-",(F66/$D$50*$D$47*$B$68)*($B$57/$D$64))</f>
        <v>34.171330135705695</v>
      </c>
      <c r="H66" s="138">
        <f t="shared" si="0"/>
        <v>0.85428325339264233</v>
      </c>
    </row>
    <row r="67" spans="1:8" ht="27" customHeight="1" thickBot="1" x14ac:dyDescent="0.3">
      <c r="A67" s="73" t="s">
        <v>101</v>
      </c>
      <c r="B67" s="74">
        <v>1</v>
      </c>
      <c r="C67" s="228"/>
      <c r="D67" s="231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25">
      <c r="A68" s="73" t="s">
        <v>102</v>
      </c>
      <c r="B68" s="141">
        <f>(B67/B66)*(B65/B64)*(B63/B62)*(B61/B60)*B59</f>
        <v>200</v>
      </c>
      <c r="C68" s="226" t="s">
        <v>103</v>
      </c>
      <c r="D68" s="229">
        <v>227.35</v>
      </c>
      <c r="E68" s="126">
        <v>1</v>
      </c>
      <c r="F68" s="127">
        <v>68466572</v>
      </c>
      <c r="G68" s="135">
        <f>IF(ISBLANK(F68),"-",(F68/$D$50*$D$47*$B$68)*($B$57/$D$68))</f>
        <v>34.957765249809597</v>
      </c>
      <c r="H68" s="132">
        <f t="shared" si="0"/>
        <v>0.87394413124523995</v>
      </c>
    </row>
    <row r="69" spans="1:8" ht="27" customHeight="1" thickBot="1" x14ac:dyDescent="0.3">
      <c r="A69" s="142" t="s">
        <v>104</v>
      </c>
      <c r="B69" s="143">
        <f>(D47*B68)/B56*B57</f>
        <v>227.62950000000006</v>
      </c>
      <c r="C69" s="227"/>
      <c r="D69" s="230"/>
      <c r="E69" s="130">
        <v>2</v>
      </c>
      <c r="F69" s="84">
        <v>68364577</v>
      </c>
      <c r="G69" s="137">
        <f>IF(ISBLANK(F69),"-",(F69/$D$50*$D$47*$B$68)*($B$57/$D$68))</f>
        <v>34.905688489392055</v>
      </c>
      <c r="H69" s="132">
        <f t="shared" si="0"/>
        <v>0.87264221223480143</v>
      </c>
    </row>
    <row r="70" spans="1:8" ht="26.25" customHeight="1" x14ac:dyDescent="0.25">
      <c r="A70" s="232" t="s">
        <v>77</v>
      </c>
      <c r="B70" s="233"/>
      <c r="C70" s="227"/>
      <c r="D70" s="230"/>
      <c r="E70" s="130">
        <v>3</v>
      </c>
      <c r="F70" s="84">
        <v>68342725</v>
      </c>
      <c r="G70" s="137">
        <f>IF(ISBLANK(F70),"-",(F70/$D$50*$D$47*$B$68)*($B$57/$D$68))</f>
        <v>34.894531262384426</v>
      </c>
      <c r="H70" s="132">
        <f t="shared" si="0"/>
        <v>0.87236328155961063</v>
      </c>
    </row>
    <row r="71" spans="1:8" ht="27" customHeight="1" thickBot="1" x14ac:dyDescent="0.3">
      <c r="A71" s="234"/>
      <c r="B71" s="235"/>
      <c r="C71" s="228"/>
      <c r="D71" s="231"/>
      <c r="E71" s="133">
        <v>4</v>
      </c>
      <c r="F71" s="134"/>
      <c r="G71" s="139" t="str">
        <f>IF(ISBLANK(F71),"-",(F71/$D$50*$D$47*$B$68)*($B$57/$D$68))</f>
        <v>-</v>
      </c>
      <c r="H71" s="144" t="str">
        <f t="shared" si="0"/>
        <v>-</v>
      </c>
    </row>
    <row r="72" spans="1:8" ht="26.25" customHeight="1" x14ac:dyDescent="0.25">
      <c r="A72" s="103"/>
      <c r="B72" s="103"/>
      <c r="C72" s="103"/>
      <c r="D72" s="103"/>
      <c r="E72" s="103"/>
      <c r="F72" s="103"/>
      <c r="G72" s="145" t="s">
        <v>70</v>
      </c>
      <c r="H72" s="146">
        <f>AVERAGE(H60:H71)</f>
        <v>0.85792373806191469</v>
      </c>
    </row>
    <row r="73" spans="1:8" ht="26.25" customHeight="1" x14ac:dyDescent="0.3">
      <c r="C73" s="103"/>
      <c r="D73" s="103"/>
      <c r="E73" s="103"/>
      <c r="F73" s="103"/>
      <c r="G73" s="116" t="s">
        <v>83</v>
      </c>
      <c r="H73" s="147">
        <f>STDEV(H60:H71)/H72</f>
        <v>1.4592543863020642E-2</v>
      </c>
    </row>
    <row r="74" spans="1:8" ht="27" customHeight="1" thickBot="1" x14ac:dyDescent="0.3">
      <c r="A74" s="103"/>
      <c r="B74" s="103"/>
      <c r="C74" s="103"/>
      <c r="D74" s="103"/>
      <c r="E74" s="106"/>
      <c r="F74" s="103"/>
      <c r="G74" s="118" t="s">
        <v>15</v>
      </c>
      <c r="H74" s="148">
        <f>COUNT(H60:H71)</f>
        <v>9</v>
      </c>
    </row>
    <row r="75" spans="1:8" s="339" customFormat="1" ht="18.75" x14ac:dyDescent="0.3">
      <c r="A75" s="103"/>
      <c r="B75" s="103"/>
      <c r="C75" s="103"/>
      <c r="D75" s="103"/>
      <c r="E75" s="106"/>
      <c r="F75" s="103"/>
      <c r="G75" s="58"/>
      <c r="H75" s="149"/>
    </row>
    <row r="76" spans="1:8" s="339" customFormat="1" ht="26.25" customHeight="1" x14ac:dyDescent="0.3">
      <c r="A76" s="57" t="s">
        <v>105</v>
      </c>
      <c r="B76" s="58" t="s">
        <v>106</v>
      </c>
      <c r="C76" s="214" t="str">
        <f>B20</f>
        <v>Pantoprazole Sodium</v>
      </c>
      <c r="D76" s="214"/>
      <c r="E76" s="53" t="s">
        <v>107</v>
      </c>
      <c r="F76" s="53"/>
      <c r="G76" s="150">
        <f>H72</f>
        <v>0.85792373806191469</v>
      </c>
      <c r="H76" s="149"/>
    </row>
    <row r="77" spans="1:8" ht="18.75" x14ac:dyDescent="0.25">
      <c r="A77" s="103"/>
      <c r="B77" s="103"/>
      <c r="C77" s="103"/>
      <c r="D77" s="103"/>
      <c r="E77" s="106"/>
      <c r="F77" s="103"/>
      <c r="G77" s="58"/>
      <c r="H77" s="149"/>
    </row>
    <row r="78" spans="1:8" ht="18.75" x14ac:dyDescent="0.3">
      <c r="A78" s="56"/>
      <c r="B78" s="56" t="s">
        <v>108</v>
      </c>
    </row>
    <row r="79" spans="1:8" ht="18.75" x14ac:dyDescent="0.3">
      <c r="A79" s="56"/>
      <c r="B79" s="56"/>
    </row>
    <row r="80" spans="1:8" ht="26.25" customHeight="1" x14ac:dyDescent="0.3">
      <c r="A80" s="57" t="s">
        <v>4</v>
      </c>
      <c r="B80" s="59" t="s">
        <v>128</v>
      </c>
    </row>
    <row r="81" spans="1:11" ht="26.25" customHeight="1" x14ac:dyDescent="0.3">
      <c r="A81" s="58" t="s">
        <v>48</v>
      </c>
      <c r="B81" s="59" t="s">
        <v>129</v>
      </c>
    </row>
    <row r="82" spans="1:11" ht="27" customHeight="1" thickBot="1" x14ac:dyDescent="0.35">
      <c r="A82" s="58" t="s">
        <v>5</v>
      </c>
      <c r="B82" s="59">
        <v>93.8</v>
      </c>
    </row>
    <row r="83" spans="1:11" s="61" customFormat="1" ht="27" customHeight="1" thickBot="1" x14ac:dyDescent="0.35">
      <c r="A83" s="58" t="s">
        <v>49</v>
      </c>
      <c r="B83" s="59">
        <f>B29</f>
        <v>0</v>
      </c>
      <c r="C83" s="216" t="s">
        <v>50</v>
      </c>
      <c r="D83" s="217"/>
      <c r="E83" s="217"/>
      <c r="F83" s="217"/>
      <c r="G83" s="217"/>
      <c r="H83" s="218"/>
      <c r="I83" s="60"/>
      <c r="J83" s="60"/>
      <c r="K83" s="60"/>
    </row>
    <row r="84" spans="1:11" s="61" customFormat="1" ht="19.5" customHeight="1" thickBot="1" x14ac:dyDescent="0.35">
      <c r="A84" s="58" t="s">
        <v>51</v>
      </c>
      <c r="B84" s="149">
        <f>B82-B83</f>
        <v>93.8</v>
      </c>
      <c r="C84" s="62"/>
      <c r="D84" s="62"/>
      <c r="E84" s="62"/>
      <c r="F84" s="62"/>
      <c r="G84" s="62"/>
      <c r="H84" s="63"/>
      <c r="I84" s="60"/>
      <c r="J84" s="60"/>
      <c r="K84" s="60"/>
    </row>
    <row r="85" spans="1:11" s="61" customFormat="1" ht="27" customHeight="1" thickBot="1" x14ac:dyDescent="0.35">
      <c r="A85" s="58" t="s">
        <v>52</v>
      </c>
      <c r="B85" s="64">
        <v>383.37</v>
      </c>
      <c r="C85" s="219" t="s">
        <v>53</v>
      </c>
      <c r="D85" s="220"/>
      <c r="E85" s="220"/>
      <c r="F85" s="220"/>
      <c r="G85" s="220"/>
      <c r="H85" s="221"/>
      <c r="I85" s="60"/>
      <c r="J85" s="60"/>
      <c r="K85" s="60"/>
    </row>
    <row r="86" spans="1:11" s="61" customFormat="1" ht="27" customHeight="1" thickBot="1" x14ac:dyDescent="0.35">
      <c r="A86" s="58" t="s">
        <v>54</v>
      </c>
      <c r="B86" s="64">
        <v>432.4</v>
      </c>
      <c r="C86" s="219" t="s">
        <v>55</v>
      </c>
      <c r="D86" s="220"/>
      <c r="E86" s="220"/>
      <c r="F86" s="220"/>
      <c r="G86" s="220"/>
      <c r="H86" s="221"/>
      <c r="I86" s="60"/>
      <c r="J86" s="60"/>
      <c r="K86" s="60"/>
    </row>
    <row r="87" spans="1:11" s="61" customFormat="1" ht="18.75" x14ac:dyDescent="0.3">
      <c r="A87" s="58"/>
      <c r="B87" s="67"/>
      <c r="C87" s="68"/>
      <c r="D87" s="68"/>
      <c r="E87" s="68"/>
      <c r="F87" s="68"/>
      <c r="G87" s="68"/>
      <c r="H87" s="68"/>
      <c r="I87" s="60"/>
      <c r="J87" s="60"/>
      <c r="K87" s="60"/>
    </row>
    <row r="88" spans="1:11" s="61" customFormat="1" ht="18.75" x14ac:dyDescent="0.3">
      <c r="A88" s="58" t="s">
        <v>56</v>
      </c>
      <c r="B88" s="69">
        <f>B85/B86</f>
        <v>0.88660962072155414</v>
      </c>
      <c r="C88" s="53" t="s">
        <v>57</v>
      </c>
      <c r="D88" s="53"/>
      <c r="E88" s="53"/>
      <c r="F88" s="53"/>
      <c r="G88" s="53"/>
      <c r="H88" s="70"/>
      <c r="I88" s="60"/>
      <c r="J88" s="60"/>
      <c r="K88" s="60"/>
    </row>
    <row r="89" spans="1:11" ht="19.5" customHeight="1" thickBot="1" x14ac:dyDescent="0.35">
      <c r="A89" s="56"/>
      <c r="B89" s="56"/>
    </row>
    <row r="90" spans="1:11" ht="27" customHeight="1" thickBot="1" x14ac:dyDescent="0.35">
      <c r="A90" s="71" t="s">
        <v>58</v>
      </c>
      <c r="B90" s="72">
        <v>50</v>
      </c>
      <c r="D90" s="151" t="s">
        <v>59</v>
      </c>
      <c r="E90" s="152"/>
      <c r="F90" s="222" t="s">
        <v>60</v>
      </c>
      <c r="G90" s="223"/>
    </row>
    <row r="91" spans="1:11" ht="26.25" customHeight="1" x14ac:dyDescent="0.3">
      <c r="A91" s="73" t="s">
        <v>61</v>
      </c>
      <c r="B91" s="74">
        <v>10</v>
      </c>
      <c r="C91" s="202" t="s">
        <v>62</v>
      </c>
      <c r="D91" s="76" t="s">
        <v>63</v>
      </c>
      <c r="E91" s="77" t="s">
        <v>64</v>
      </c>
      <c r="F91" s="76" t="s">
        <v>63</v>
      </c>
      <c r="G91" s="78" t="s">
        <v>64</v>
      </c>
    </row>
    <row r="92" spans="1:11" ht="26.25" customHeight="1" x14ac:dyDescent="0.3">
      <c r="A92" s="73" t="s">
        <v>65</v>
      </c>
      <c r="B92" s="74">
        <v>100</v>
      </c>
      <c r="C92" s="153">
        <v>1</v>
      </c>
      <c r="D92" s="80">
        <v>5733967</v>
      </c>
      <c r="E92" s="81">
        <f>IF(ISBLANK(D92),"-",$D$102/$D$99*D92)</f>
        <v>8306954.2541969232</v>
      </c>
      <c r="F92" s="80">
        <v>6811681</v>
      </c>
      <c r="G92" s="82">
        <f>IF(ISBLANK(F92),"-",$D$102/$F$99*F92)</f>
        <v>8357818.7280025007</v>
      </c>
    </row>
    <row r="93" spans="1:11" ht="26.25" customHeight="1" x14ac:dyDescent="0.3">
      <c r="A93" s="73" t="s">
        <v>66</v>
      </c>
      <c r="B93" s="74">
        <v>1</v>
      </c>
      <c r="C93" s="103">
        <v>2</v>
      </c>
      <c r="D93" s="84">
        <v>5686938</v>
      </c>
      <c r="E93" s="85">
        <f>IF(ISBLANK(D93),"-",$D$102/$D$99*D93)</f>
        <v>8238822.060268946</v>
      </c>
      <c r="F93" s="84">
        <v>6852043</v>
      </c>
      <c r="G93" s="86">
        <f>IF(ISBLANK(F93),"-",$D$102/$F$99*F93)</f>
        <v>8407342.2273413036</v>
      </c>
    </row>
    <row r="94" spans="1:11" ht="26.25" customHeight="1" x14ac:dyDescent="0.3">
      <c r="A94" s="73" t="s">
        <v>67</v>
      </c>
      <c r="B94" s="74">
        <v>1</v>
      </c>
      <c r="C94" s="103">
        <v>3</v>
      </c>
      <c r="D94" s="84">
        <v>5734159</v>
      </c>
      <c r="E94" s="85">
        <f>IF(ISBLANK(D94),"-",$D$102/$D$99*D94)</f>
        <v>8307232.4098292822</v>
      </c>
      <c r="F94" s="84">
        <v>6854053</v>
      </c>
      <c r="G94" s="86">
        <f>IF(ISBLANK(F94),"-",$D$102/$F$99*F94)</f>
        <v>8409808.4637436382</v>
      </c>
    </row>
    <row r="95" spans="1:11" ht="26.25" customHeight="1" x14ac:dyDescent="0.3">
      <c r="A95" s="73" t="s">
        <v>68</v>
      </c>
      <c r="B95" s="74">
        <v>1</v>
      </c>
      <c r="C95" s="204">
        <v>4</v>
      </c>
      <c r="D95" s="89"/>
      <c r="E95" s="90" t="str">
        <f>IF(ISBLANK(D95),"-",$D$102/$D$99*D95)</f>
        <v>-</v>
      </c>
      <c r="F95" s="154"/>
      <c r="G95" s="91" t="str">
        <f>IF(ISBLANK(F95),"-",$D$102/$F$99*F95)</f>
        <v>-</v>
      </c>
    </row>
    <row r="96" spans="1:11" ht="27" customHeight="1" thickBot="1" x14ac:dyDescent="0.35">
      <c r="A96" s="73" t="s">
        <v>69</v>
      </c>
      <c r="B96" s="74">
        <v>1</v>
      </c>
      <c r="C96" s="58" t="s">
        <v>70</v>
      </c>
      <c r="D96" s="155">
        <f>AVERAGE(D92:D95)</f>
        <v>5718354.666666667</v>
      </c>
      <c r="E96" s="94">
        <f>AVERAGE(E92:E95)</f>
        <v>8284336.2414317168</v>
      </c>
      <c r="F96" s="156">
        <f>AVERAGE(F92:F95)</f>
        <v>6839259</v>
      </c>
      <c r="G96" s="157">
        <f>AVERAGE(G92:G95)</f>
        <v>8391656.4730291478</v>
      </c>
    </row>
    <row r="97" spans="1:9" ht="26.25" customHeight="1" x14ac:dyDescent="0.3">
      <c r="A97" s="73" t="s">
        <v>71</v>
      </c>
      <c r="B97" s="59">
        <v>1</v>
      </c>
      <c r="C97" s="98" t="s">
        <v>72</v>
      </c>
      <c r="D97" s="158">
        <v>8.3000000000000007</v>
      </c>
      <c r="E97" s="53"/>
      <c r="F97" s="100">
        <v>9.8000000000000007</v>
      </c>
    </row>
    <row r="98" spans="1:9" ht="26.25" customHeight="1" x14ac:dyDescent="0.3">
      <c r="A98" s="73" t="s">
        <v>73</v>
      </c>
      <c r="B98" s="59">
        <v>1</v>
      </c>
      <c r="C98" s="101" t="s">
        <v>74</v>
      </c>
      <c r="D98" s="102">
        <f>D97*$B$88</f>
        <v>7.3588598519888997</v>
      </c>
      <c r="E98" s="103"/>
      <c r="F98" s="104">
        <f>F97*$B$88</f>
        <v>8.6887742830712309</v>
      </c>
    </row>
    <row r="99" spans="1:9" ht="19.5" customHeight="1" thickBot="1" x14ac:dyDescent="0.35">
      <c r="A99" s="73" t="s">
        <v>75</v>
      </c>
      <c r="B99" s="149">
        <f>(B98/B97)*(B96/B95)*(B94/B93)*(B92/B91)*B90</f>
        <v>500</v>
      </c>
      <c r="C99" s="101" t="s">
        <v>76</v>
      </c>
      <c r="D99" s="105">
        <f>D98*$B$84/100</f>
        <v>6.9026105411655871</v>
      </c>
      <c r="E99" s="106"/>
      <c r="F99" s="107">
        <f>F98*$B$84/100</f>
        <v>8.1500702775208147</v>
      </c>
    </row>
    <row r="100" spans="1:9" ht="19.5" customHeight="1" thickBot="1" x14ac:dyDescent="0.3">
      <c r="A100" s="210" t="s">
        <v>77</v>
      </c>
      <c r="B100" s="224"/>
      <c r="C100" s="101" t="s">
        <v>78</v>
      </c>
      <c r="D100" s="159">
        <f>D99/$B$99</f>
        <v>1.3805221082331174E-2</v>
      </c>
      <c r="E100" s="106"/>
      <c r="F100" s="160">
        <f>F99/$B$99</f>
        <v>1.6300140555041628E-2</v>
      </c>
      <c r="G100" s="161"/>
      <c r="H100" s="97"/>
    </row>
    <row r="101" spans="1:9" ht="19.5" customHeight="1" thickBot="1" x14ac:dyDescent="0.35">
      <c r="A101" s="212"/>
      <c r="B101" s="225"/>
      <c r="C101" s="101" t="s">
        <v>79</v>
      </c>
      <c r="D101" s="162">
        <f>$B$56/$B$136</f>
        <v>0.02</v>
      </c>
      <c r="F101" s="110"/>
      <c r="G101" s="163"/>
      <c r="H101" s="97"/>
    </row>
    <row r="102" spans="1:9" ht="18.75" x14ac:dyDescent="0.3">
      <c r="C102" s="101" t="s">
        <v>80</v>
      </c>
      <c r="D102" s="102">
        <f>D101*$B$99</f>
        <v>10</v>
      </c>
      <c r="F102" s="110"/>
      <c r="G102" s="161"/>
      <c r="H102" s="97"/>
    </row>
    <row r="103" spans="1:9" ht="19.5" customHeight="1" thickBot="1" x14ac:dyDescent="0.35">
      <c r="C103" s="111" t="s">
        <v>81</v>
      </c>
      <c r="D103" s="112">
        <f>D102/B34</f>
        <v>10.573361052348769</v>
      </c>
      <c r="F103" s="113"/>
      <c r="G103" s="161"/>
      <c r="H103" s="97"/>
      <c r="I103" s="164"/>
    </row>
    <row r="104" spans="1:9" ht="18.75" x14ac:dyDescent="0.3">
      <c r="C104" s="114" t="s">
        <v>109</v>
      </c>
      <c r="D104" s="115">
        <f>AVERAGE(E92:E95,G92:G95)</f>
        <v>8337996.3572304323</v>
      </c>
      <c r="F104" s="113"/>
      <c r="G104" s="163"/>
      <c r="H104" s="97"/>
      <c r="I104" s="165"/>
    </row>
    <row r="105" spans="1:9" ht="18.75" x14ac:dyDescent="0.3">
      <c r="C105" s="116" t="s">
        <v>83</v>
      </c>
      <c r="D105" s="166">
        <f>STDEV(E92:E95,G92:G95)/D104</f>
        <v>7.974288798287538E-3</v>
      </c>
      <c r="F105" s="113"/>
      <c r="G105" s="161"/>
      <c r="H105" s="97"/>
      <c r="I105" s="165"/>
    </row>
    <row r="106" spans="1:9" ht="19.5" customHeight="1" thickBot="1" x14ac:dyDescent="0.35">
      <c r="C106" s="118" t="s">
        <v>15</v>
      </c>
      <c r="D106" s="167">
        <f>COUNT(E92:E95,G92:G95)</f>
        <v>6</v>
      </c>
      <c r="F106" s="113"/>
      <c r="G106" s="161"/>
      <c r="H106" s="97"/>
      <c r="I106" s="165"/>
    </row>
    <row r="107" spans="1:9" s="339" customFormat="1" ht="18.75" x14ac:dyDescent="0.3">
      <c r="A107" s="53"/>
      <c r="B107" s="53"/>
      <c r="C107" s="58"/>
      <c r="D107" s="149"/>
      <c r="E107" s="53"/>
      <c r="F107" s="113"/>
      <c r="G107" s="161"/>
      <c r="H107" s="97"/>
      <c r="I107" s="165"/>
    </row>
    <row r="108" spans="1:9" s="339" customFormat="1" ht="18.75" x14ac:dyDescent="0.3">
      <c r="A108" s="56" t="s">
        <v>110</v>
      </c>
      <c r="B108" s="53"/>
      <c r="C108" s="58"/>
      <c r="D108" s="149"/>
      <c r="E108" s="53"/>
      <c r="F108" s="113"/>
      <c r="G108" s="161"/>
      <c r="H108" s="97"/>
      <c r="I108" s="165"/>
    </row>
    <row r="109" spans="1:9" ht="19.5" customHeight="1" thickBot="1" x14ac:dyDescent="0.35">
      <c r="A109" s="120"/>
      <c r="B109" s="120"/>
      <c r="C109" s="120"/>
      <c r="D109" s="120"/>
      <c r="E109" s="120"/>
    </row>
    <row r="110" spans="1:9" ht="26.25" customHeight="1" x14ac:dyDescent="0.3">
      <c r="A110" s="71" t="s">
        <v>111</v>
      </c>
      <c r="B110" s="72">
        <v>1000</v>
      </c>
      <c r="C110" s="151" t="s">
        <v>112</v>
      </c>
      <c r="D110" s="168" t="s">
        <v>63</v>
      </c>
      <c r="E110" s="169" t="s">
        <v>113</v>
      </c>
      <c r="F110" s="170" t="s">
        <v>114</v>
      </c>
    </row>
    <row r="111" spans="1:9" ht="26.25" customHeight="1" x14ac:dyDescent="0.3">
      <c r="A111" s="73" t="s">
        <v>92</v>
      </c>
      <c r="B111" s="74">
        <v>10</v>
      </c>
      <c r="C111" s="171">
        <v>1</v>
      </c>
      <c r="D111" s="172">
        <v>10987</v>
      </c>
      <c r="E111" s="173">
        <f t="shared" ref="E111:E116" si="1">IF(ISBLANK(D111),"-",D111/$D$104*$D$101*$B$119)</f>
        <v>5.2708106500777931E-2</v>
      </c>
      <c r="F111" s="174">
        <f t="shared" ref="F111:F116" si="2">IF(ISBLANK(D111), "-", E111/$B$56)</f>
        <v>1.3177026625194482E-3</v>
      </c>
    </row>
    <row r="112" spans="1:9" ht="26.25" customHeight="1" x14ac:dyDescent="0.3">
      <c r="A112" s="73" t="s">
        <v>94</v>
      </c>
      <c r="B112" s="74">
        <v>20</v>
      </c>
      <c r="C112" s="171">
        <v>2</v>
      </c>
      <c r="D112" s="172">
        <v>10198</v>
      </c>
      <c r="E112" s="175">
        <f t="shared" si="1"/>
        <v>4.8923024492120985E-2</v>
      </c>
      <c r="F112" s="176">
        <f t="shared" si="2"/>
        <v>1.2230756123030246E-3</v>
      </c>
    </row>
    <row r="113" spans="1:9" ht="26.25" customHeight="1" x14ac:dyDescent="0.3">
      <c r="A113" s="73" t="s">
        <v>95</v>
      </c>
      <c r="B113" s="74">
        <v>1</v>
      </c>
      <c r="C113" s="171">
        <v>3</v>
      </c>
      <c r="D113" s="172">
        <v>8169</v>
      </c>
      <c r="E113" s="175">
        <f t="shared" si="1"/>
        <v>3.9189271139060247E-2</v>
      </c>
      <c r="F113" s="176">
        <f t="shared" si="2"/>
        <v>9.7973177847650609E-4</v>
      </c>
    </row>
    <row r="114" spans="1:9" ht="26.25" customHeight="1" x14ac:dyDescent="0.3">
      <c r="A114" s="73" t="s">
        <v>96</v>
      </c>
      <c r="B114" s="74">
        <v>1</v>
      </c>
      <c r="C114" s="171">
        <v>4</v>
      </c>
      <c r="D114" s="172">
        <v>8696</v>
      </c>
      <c r="E114" s="175">
        <f t="shared" si="1"/>
        <v>4.1717456460431866E-2</v>
      </c>
      <c r="F114" s="176">
        <f t="shared" si="2"/>
        <v>1.0429364115107967E-3</v>
      </c>
    </row>
    <row r="115" spans="1:9" ht="26.25" customHeight="1" x14ac:dyDescent="0.3">
      <c r="A115" s="73" t="s">
        <v>97</v>
      </c>
      <c r="B115" s="74">
        <v>1</v>
      </c>
      <c r="C115" s="171">
        <v>5</v>
      </c>
      <c r="D115" s="172">
        <v>7824</v>
      </c>
      <c r="E115" s="175">
        <f t="shared" si="1"/>
        <v>3.7534197256947892E-2</v>
      </c>
      <c r="F115" s="176">
        <f t="shared" si="2"/>
        <v>9.3835493142369725E-4</v>
      </c>
    </row>
    <row r="116" spans="1:9" ht="26.25" customHeight="1" x14ac:dyDescent="0.3">
      <c r="A116" s="73" t="s">
        <v>99</v>
      </c>
      <c r="B116" s="74">
        <v>1</v>
      </c>
      <c r="C116" s="177">
        <v>6</v>
      </c>
      <c r="D116" s="178">
        <v>10192</v>
      </c>
      <c r="E116" s="179">
        <f t="shared" si="1"/>
        <v>4.8894240598519031E-2</v>
      </c>
      <c r="F116" s="180">
        <f t="shared" si="2"/>
        <v>1.2223560149629757E-3</v>
      </c>
    </row>
    <row r="117" spans="1:9" ht="26.25" customHeight="1" x14ac:dyDescent="0.3">
      <c r="A117" s="73" t="s">
        <v>100</v>
      </c>
      <c r="B117" s="74">
        <v>1</v>
      </c>
      <c r="C117" s="171"/>
      <c r="D117" s="103"/>
      <c r="E117" s="53"/>
      <c r="F117" s="181"/>
    </row>
    <row r="118" spans="1:9" ht="26.25" customHeight="1" x14ac:dyDescent="0.3">
      <c r="A118" s="73" t="s">
        <v>101</v>
      </c>
      <c r="B118" s="74">
        <v>1</v>
      </c>
      <c r="C118" s="171"/>
      <c r="D118" s="182"/>
      <c r="E118" s="183" t="s">
        <v>70</v>
      </c>
      <c r="F118" s="184">
        <f>AVERAGE(F111:F116)</f>
        <v>1.1206929018660746E-3</v>
      </c>
    </row>
    <row r="119" spans="1:9" ht="27" customHeight="1" thickBot="1" x14ac:dyDescent="0.35">
      <c r="A119" s="73" t="s">
        <v>102</v>
      </c>
      <c r="B119" s="141">
        <f>(B118/B117)*(B116/B115)*(B114/B113)*(B112/B111)*B110</f>
        <v>2000</v>
      </c>
      <c r="C119" s="185"/>
      <c r="D119" s="186"/>
      <c r="E119" s="58" t="s">
        <v>83</v>
      </c>
      <c r="F119" s="187">
        <f>STDEV(F111:F116)/F118</f>
        <v>0.13753875220538875</v>
      </c>
    </row>
    <row r="120" spans="1:9" ht="27" customHeight="1" thickBot="1" x14ac:dyDescent="0.35">
      <c r="A120" s="210" t="s">
        <v>77</v>
      </c>
      <c r="B120" s="211"/>
      <c r="C120" s="188"/>
      <c r="D120" s="189"/>
      <c r="E120" s="190" t="s">
        <v>15</v>
      </c>
      <c r="F120" s="191">
        <f>COUNT(F111:F116)</f>
        <v>6</v>
      </c>
      <c r="I120" s="165"/>
    </row>
    <row r="121" spans="1:9" ht="19.5" customHeight="1" thickBot="1" x14ac:dyDescent="0.3">
      <c r="A121" s="212"/>
      <c r="B121" s="213"/>
      <c r="C121" s="53"/>
      <c r="D121" s="53"/>
      <c r="E121" s="53"/>
      <c r="F121" s="103"/>
      <c r="G121" s="53"/>
      <c r="H121" s="53"/>
    </row>
    <row r="122" spans="1:9" ht="18.75" x14ac:dyDescent="0.25">
      <c r="A122" s="68"/>
      <c r="B122" s="68"/>
      <c r="C122" s="53"/>
      <c r="D122" s="53"/>
      <c r="E122" s="53"/>
      <c r="F122" s="103"/>
      <c r="G122" s="53"/>
      <c r="H122" s="53"/>
    </row>
    <row r="123" spans="1:9" ht="26.25" customHeight="1" x14ac:dyDescent="0.25">
      <c r="A123" s="57" t="s">
        <v>115</v>
      </c>
      <c r="B123" s="58" t="s">
        <v>116</v>
      </c>
      <c r="C123" s="214" t="str">
        <f>B20</f>
        <v>Pantoprazole Sodium</v>
      </c>
      <c r="D123" s="214"/>
      <c r="E123" s="53" t="s">
        <v>117</v>
      </c>
      <c r="F123" s="53"/>
      <c r="G123" s="150">
        <f>F118</f>
        <v>1.1206929018660746E-3</v>
      </c>
      <c r="H123" s="53"/>
    </row>
    <row r="124" spans="1:9" ht="18.75" x14ac:dyDescent="0.25">
      <c r="A124" s="68"/>
      <c r="B124" s="68"/>
      <c r="C124" s="53"/>
      <c r="D124" s="53"/>
      <c r="E124" s="53"/>
      <c r="F124" s="103"/>
      <c r="G124" s="53"/>
      <c r="H124" s="53"/>
    </row>
    <row r="125" spans="1:9" ht="18.75" x14ac:dyDescent="0.3">
      <c r="A125" s="56" t="s">
        <v>118</v>
      </c>
      <c r="B125" s="56"/>
    </row>
    <row r="126" spans="1:9" ht="19.5" customHeight="1" thickBot="1" x14ac:dyDescent="0.35">
      <c r="A126" s="120"/>
      <c r="B126" s="120"/>
      <c r="C126" s="120"/>
      <c r="D126" s="120"/>
      <c r="E126" s="120"/>
    </row>
    <row r="127" spans="1:9" ht="26.25" customHeight="1" x14ac:dyDescent="0.3">
      <c r="A127" s="71" t="s">
        <v>111</v>
      </c>
      <c r="B127" s="72">
        <v>1000</v>
      </c>
      <c r="C127" s="151" t="s">
        <v>112</v>
      </c>
      <c r="D127" s="168" t="s">
        <v>63</v>
      </c>
      <c r="E127" s="169" t="s">
        <v>113</v>
      </c>
      <c r="F127" s="170" t="s">
        <v>114</v>
      </c>
    </row>
    <row r="128" spans="1:9" ht="26.25" customHeight="1" x14ac:dyDescent="0.3">
      <c r="A128" s="73" t="s">
        <v>92</v>
      </c>
      <c r="B128" s="74">
        <v>10</v>
      </c>
      <c r="C128" s="171">
        <v>1</v>
      </c>
      <c r="D128" s="172">
        <v>16487</v>
      </c>
      <c r="E128" s="192">
        <f t="shared" ref="E128:E133" si="3">IF(ISBLANK(D128),"-",D128/$D$104*$D$101*$B$136)</f>
        <v>7.9093342302569009E-2</v>
      </c>
      <c r="F128" s="193">
        <f t="shared" ref="F128:F133" si="4">IF(ISBLANK(D128), "-", E128/$B$56)</f>
        <v>1.9773335575642252E-3</v>
      </c>
    </row>
    <row r="129" spans="1:9" ht="26.25" customHeight="1" x14ac:dyDescent="0.3">
      <c r="A129" s="73" t="s">
        <v>94</v>
      </c>
      <c r="B129" s="74">
        <v>20</v>
      </c>
      <c r="C129" s="171">
        <v>2</v>
      </c>
      <c r="D129" s="172">
        <v>17312</v>
      </c>
      <c r="E129" s="194">
        <f t="shared" si="3"/>
        <v>8.3051127672837663E-2</v>
      </c>
      <c r="F129" s="138">
        <f t="shared" si="4"/>
        <v>2.0762781918209415E-3</v>
      </c>
    </row>
    <row r="130" spans="1:9" ht="26.25" customHeight="1" x14ac:dyDescent="0.3">
      <c r="A130" s="73" t="s">
        <v>95</v>
      </c>
      <c r="B130" s="74">
        <v>1</v>
      </c>
      <c r="C130" s="171">
        <v>3</v>
      </c>
      <c r="D130" s="172">
        <v>13722</v>
      </c>
      <c r="E130" s="194">
        <f t="shared" si="3"/>
        <v>6.5828764667668571E-2</v>
      </c>
      <c r="F130" s="138">
        <f t="shared" si="4"/>
        <v>1.6457191166917144E-3</v>
      </c>
    </row>
    <row r="131" spans="1:9" ht="26.25" customHeight="1" x14ac:dyDescent="0.3">
      <c r="A131" s="73" t="s">
        <v>96</v>
      </c>
      <c r="B131" s="74">
        <v>1</v>
      </c>
      <c r="C131" s="171">
        <v>4</v>
      </c>
      <c r="D131" s="172">
        <v>18721</v>
      </c>
      <c r="E131" s="194">
        <f t="shared" si="3"/>
        <v>8.9810545353696494E-2</v>
      </c>
      <c r="F131" s="138">
        <f t="shared" si="4"/>
        <v>2.2452636338424125E-3</v>
      </c>
    </row>
    <row r="132" spans="1:9" ht="26.25" customHeight="1" x14ac:dyDescent="0.3">
      <c r="A132" s="73" t="s">
        <v>97</v>
      </c>
      <c r="B132" s="74">
        <v>1</v>
      </c>
      <c r="C132" s="171">
        <v>5</v>
      </c>
      <c r="D132" s="172">
        <v>12805</v>
      </c>
      <c r="E132" s="194">
        <f t="shared" si="3"/>
        <v>6.1429626262169953E-2</v>
      </c>
      <c r="F132" s="138">
        <f t="shared" si="4"/>
        <v>1.5357406565542488E-3</v>
      </c>
    </row>
    <row r="133" spans="1:9" ht="26.25" customHeight="1" x14ac:dyDescent="0.3">
      <c r="A133" s="73" t="s">
        <v>99</v>
      </c>
      <c r="B133" s="74">
        <v>1</v>
      </c>
      <c r="C133" s="177">
        <v>6</v>
      </c>
      <c r="D133" s="178">
        <v>17848</v>
      </c>
      <c r="E133" s="195">
        <f t="shared" si="3"/>
        <v>8.5622488834612209E-2</v>
      </c>
      <c r="F133" s="196">
        <f t="shared" si="4"/>
        <v>2.1405622208653051E-3</v>
      </c>
    </row>
    <row r="134" spans="1:9" ht="26.25" customHeight="1" x14ac:dyDescent="0.3">
      <c r="A134" s="73" t="s">
        <v>100</v>
      </c>
      <c r="B134" s="74">
        <v>1</v>
      </c>
      <c r="C134" s="171"/>
      <c r="D134" s="103"/>
      <c r="E134" s="53"/>
      <c r="F134" s="181"/>
    </row>
    <row r="135" spans="1:9" ht="26.25" customHeight="1" x14ac:dyDescent="0.3">
      <c r="A135" s="73" t="s">
        <v>101</v>
      </c>
      <c r="B135" s="74">
        <v>1</v>
      </c>
      <c r="C135" s="171"/>
      <c r="D135" s="182"/>
      <c r="E135" s="183" t="s">
        <v>70</v>
      </c>
      <c r="F135" s="184">
        <f>AVERAGE(F128:F133)</f>
        <v>1.9368162295564746E-3</v>
      </c>
    </row>
    <row r="136" spans="1:9" ht="27" customHeight="1" thickBot="1" x14ac:dyDescent="0.35">
      <c r="A136" s="73" t="s">
        <v>102</v>
      </c>
      <c r="B136" s="74">
        <f>(B135/B134)*(B133/B132)*(B131/B130)*(B129/B128)*B127</f>
        <v>2000</v>
      </c>
      <c r="C136" s="185"/>
      <c r="D136" s="53"/>
      <c r="E136" s="197" t="s">
        <v>83</v>
      </c>
      <c r="F136" s="187">
        <f>STDEV(F128:F133)/F135</f>
        <v>0.14664378621825724</v>
      </c>
    </row>
    <row r="137" spans="1:9" ht="27" customHeight="1" thickBot="1" x14ac:dyDescent="0.35">
      <c r="A137" s="210" t="s">
        <v>77</v>
      </c>
      <c r="B137" s="211"/>
      <c r="C137" s="188"/>
      <c r="D137" s="198"/>
      <c r="E137" s="199" t="s">
        <v>15</v>
      </c>
      <c r="F137" s="191">
        <f>COUNT(F128:F133)</f>
        <v>6</v>
      </c>
      <c r="I137" s="165"/>
    </row>
    <row r="138" spans="1:9" ht="19.5" customHeight="1" thickBot="1" x14ac:dyDescent="0.3">
      <c r="A138" s="212"/>
      <c r="B138" s="213"/>
      <c r="C138" s="53"/>
      <c r="D138" s="53"/>
      <c r="E138" s="53"/>
      <c r="F138" s="103"/>
      <c r="G138" s="53"/>
      <c r="H138" s="53"/>
    </row>
    <row r="139" spans="1:9" ht="18.75" x14ac:dyDescent="0.25">
      <c r="A139" s="68"/>
      <c r="B139" s="68"/>
      <c r="C139" s="53"/>
      <c r="D139" s="53"/>
      <c r="E139" s="53"/>
      <c r="F139" s="103"/>
      <c r="G139" s="53"/>
      <c r="H139" s="53"/>
    </row>
    <row r="140" spans="1:9" ht="26.25" customHeight="1" x14ac:dyDescent="0.25">
      <c r="A140" s="57" t="s">
        <v>115</v>
      </c>
      <c r="B140" s="58" t="s">
        <v>116</v>
      </c>
      <c r="C140" s="214" t="str">
        <f>B20</f>
        <v>Pantoprazole Sodium</v>
      </c>
      <c r="D140" s="214"/>
      <c r="E140" s="53" t="s">
        <v>117</v>
      </c>
      <c r="F140" s="53"/>
      <c r="G140" s="150">
        <f>F135</f>
        <v>1.9368162295564746E-3</v>
      </c>
      <c r="H140" s="53"/>
    </row>
    <row r="141" spans="1:9" ht="19.5" customHeight="1" thickBot="1" x14ac:dyDescent="0.3">
      <c r="A141" s="200"/>
      <c r="B141" s="200"/>
      <c r="C141" s="201"/>
      <c r="D141" s="201"/>
      <c r="E141" s="201"/>
      <c r="F141" s="201"/>
      <c r="G141" s="201"/>
      <c r="H141" s="201"/>
    </row>
    <row r="142" spans="1:9" ht="18.75" x14ac:dyDescent="0.3">
      <c r="B142" s="215" t="s">
        <v>21</v>
      </c>
      <c r="C142" s="215"/>
      <c r="E142" s="202" t="s">
        <v>22</v>
      </c>
      <c r="F142" s="203"/>
      <c r="G142" s="215" t="s">
        <v>23</v>
      </c>
      <c r="H142" s="215"/>
    </row>
    <row r="143" spans="1:9" ht="60" customHeight="1" x14ac:dyDescent="0.3">
      <c r="A143" s="57" t="s">
        <v>24</v>
      </c>
      <c r="B143" s="208"/>
      <c r="C143" s="208"/>
      <c r="E143" s="205"/>
      <c r="F143" s="53"/>
      <c r="G143" s="205"/>
      <c r="H143" s="205"/>
    </row>
    <row r="144" spans="1:9" ht="60" customHeight="1" x14ac:dyDescent="0.3">
      <c r="A144" s="57" t="s">
        <v>25</v>
      </c>
      <c r="B144" s="209"/>
      <c r="C144" s="209"/>
      <c r="E144" s="206"/>
      <c r="F144" s="53"/>
      <c r="G144" s="207"/>
      <c r="H144" s="207"/>
    </row>
    <row r="145" spans="1:8" ht="18.75" x14ac:dyDescent="0.25">
      <c r="A145" s="103"/>
      <c r="B145" s="103"/>
      <c r="C145" s="103"/>
      <c r="D145" s="103"/>
      <c r="E145" s="103"/>
      <c r="F145" s="106"/>
      <c r="G145" s="103"/>
      <c r="H145" s="103"/>
    </row>
    <row r="146" spans="1:8" ht="18.75" x14ac:dyDescent="0.25">
      <c r="A146" s="103"/>
      <c r="B146" s="103"/>
      <c r="C146" s="103"/>
      <c r="D146" s="103"/>
      <c r="E146" s="103"/>
      <c r="F146" s="106"/>
      <c r="G146" s="103"/>
      <c r="H146" s="103"/>
    </row>
    <row r="147" spans="1:8" ht="18.75" x14ac:dyDescent="0.25">
      <c r="A147" s="103"/>
      <c r="B147" s="103"/>
      <c r="C147" s="103"/>
      <c r="D147" s="103"/>
      <c r="E147" s="103"/>
      <c r="F147" s="106"/>
      <c r="G147" s="103"/>
      <c r="H147" s="103"/>
    </row>
    <row r="148" spans="1:8" ht="18.75" x14ac:dyDescent="0.25">
      <c r="A148" s="103"/>
      <c r="B148" s="103"/>
      <c r="C148" s="103"/>
      <c r="D148" s="103"/>
      <c r="E148" s="103"/>
      <c r="F148" s="106"/>
      <c r="G148" s="103"/>
      <c r="H148" s="103"/>
    </row>
    <row r="149" spans="1:8" ht="18.75" x14ac:dyDescent="0.25">
      <c r="A149" s="103"/>
      <c r="B149" s="103"/>
      <c r="C149" s="103"/>
      <c r="D149" s="103"/>
      <c r="E149" s="103"/>
      <c r="F149" s="106"/>
      <c r="G149" s="103"/>
      <c r="H149" s="103"/>
    </row>
    <row r="150" spans="1:8" ht="18.75" x14ac:dyDescent="0.25">
      <c r="A150" s="103"/>
      <c r="B150" s="103"/>
      <c r="C150" s="103"/>
      <c r="D150" s="103"/>
      <c r="E150" s="103"/>
      <c r="F150" s="106"/>
      <c r="G150" s="103"/>
      <c r="H150" s="103"/>
    </row>
    <row r="151" spans="1:8" ht="18.75" x14ac:dyDescent="0.25">
      <c r="A151" s="103"/>
      <c r="B151" s="103"/>
      <c r="C151" s="103"/>
      <c r="D151" s="103"/>
      <c r="E151" s="103"/>
      <c r="F151" s="106"/>
      <c r="G151" s="103"/>
      <c r="H151" s="103"/>
    </row>
    <row r="152" spans="1:8" ht="18.75" x14ac:dyDescent="0.25">
      <c r="A152" s="103"/>
      <c r="B152" s="103"/>
      <c r="C152" s="103"/>
      <c r="D152" s="103"/>
      <c r="E152" s="103"/>
      <c r="F152" s="106"/>
      <c r="G152" s="103"/>
      <c r="H152" s="103"/>
    </row>
    <row r="153" spans="1:8" ht="18.75" x14ac:dyDescent="0.25">
      <c r="A153" s="103"/>
      <c r="B153" s="103"/>
      <c r="C153" s="103"/>
      <c r="D153" s="103"/>
      <c r="E153" s="103"/>
      <c r="F153" s="106"/>
      <c r="G153" s="103"/>
      <c r="H153" s="103"/>
    </row>
    <row r="250" spans="1:1" x14ac:dyDescent="0.3">
      <c r="A250" s="49">
        <v>5</v>
      </c>
    </row>
  </sheetData>
  <sheetProtection password="F258" sheet="1" objects="1" scenarios="1" formatCells="0" formatColumns="0"/>
  <mergeCells count="36">
    <mergeCell ref="C140:D140"/>
    <mergeCell ref="B142:C142"/>
    <mergeCell ref="G142:H142"/>
    <mergeCell ref="B143:C143"/>
    <mergeCell ref="B144:C144"/>
    <mergeCell ref="C86:H86"/>
    <mergeCell ref="F90:G90"/>
    <mergeCell ref="A100:B101"/>
    <mergeCell ref="A120:B121"/>
    <mergeCell ref="C123:D123"/>
    <mergeCell ref="A137:B138"/>
    <mergeCell ref="C68:C71"/>
    <mergeCell ref="D68:D71"/>
    <mergeCell ref="A70:B71"/>
    <mergeCell ref="C76:D76"/>
    <mergeCell ref="C83:H83"/>
    <mergeCell ref="C85:H85"/>
    <mergeCell ref="D36:E36"/>
    <mergeCell ref="F36:G36"/>
    <mergeCell ref="A46:B47"/>
    <mergeCell ref="C60:C63"/>
    <mergeCell ref="D60:D63"/>
    <mergeCell ref="C64:C67"/>
    <mergeCell ref="D64:D67"/>
    <mergeCell ref="B21:H21"/>
    <mergeCell ref="B26:C26"/>
    <mergeCell ref="B27:C27"/>
    <mergeCell ref="C29:H29"/>
    <mergeCell ref="C31:H31"/>
    <mergeCell ref="C32:H32"/>
    <mergeCell ref="A1:H7"/>
    <mergeCell ref="A8:H14"/>
    <mergeCell ref="A16:H16"/>
    <mergeCell ref="A17:H17"/>
    <mergeCell ref="B18:C18"/>
    <mergeCell ref="D18:E18"/>
  </mergeCells>
  <conditionalFormatting sqref="D51">
    <cfRule type="cellIs" dxfId="28" priority="1" operator="greaterThan">
      <formula>0.02</formula>
    </cfRule>
  </conditionalFormatting>
  <conditionalFormatting sqref="H73">
    <cfRule type="cellIs" dxfId="27" priority="2" operator="greaterThan">
      <formula>0.02</formula>
    </cfRule>
  </conditionalFormatting>
  <conditionalFormatting sqref="D105">
    <cfRule type="cellIs" dxfId="26" priority="3" operator="greaterThan">
      <formula>0.02</formula>
    </cfRule>
  </conditionalFormatting>
  <pageMargins left="0.7" right="0.7" top="0.75" bottom="0.75" header="0.3" footer="0.3"/>
  <pageSetup scale="21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9" sqref="B49"/>
    </sheetView>
  </sheetViews>
  <sheetFormatPr defaultRowHeight="13.5" x14ac:dyDescent="0.25"/>
  <cols>
    <col min="1" max="1" width="27.5703125" style="341" customWidth="1"/>
    <col min="2" max="2" width="20.42578125" style="341" customWidth="1"/>
    <col min="3" max="3" width="31.85546875" style="341" customWidth="1"/>
    <col min="4" max="4" width="25.85546875" style="341" customWidth="1"/>
    <col min="5" max="5" width="25.7109375" style="341" customWidth="1"/>
    <col min="6" max="6" width="23.140625" style="341" customWidth="1"/>
    <col min="7" max="7" width="28.42578125" style="341" customWidth="1"/>
    <col min="8" max="8" width="21.5703125" style="341" customWidth="1"/>
    <col min="9" max="9" width="9.140625" style="341" customWidth="1"/>
    <col min="10" max="16384" width="9.140625" style="378"/>
  </cols>
  <sheetData>
    <row r="14" spans="1:6" ht="15" customHeight="1" x14ac:dyDescent="0.3">
      <c r="A14" s="340"/>
      <c r="C14" s="342"/>
      <c r="F14" s="342"/>
    </row>
    <row r="15" spans="1:6" ht="18.75" customHeight="1" x14ac:dyDescent="0.3">
      <c r="A15" s="343" t="s">
        <v>0</v>
      </c>
      <c r="B15" s="343"/>
      <c r="C15" s="343"/>
      <c r="D15" s="343"/>
      <c r="E15" s="343"/>
    </row>
    <row r="16" spans="1:6" ht="16.5" customHeight="1" x14ac:dyDescent="0.3">
      <c r="A16" s="344" t="s">
        <v>1</v>
      </c>
      <c r="B16" s="345" t="s">
        <v>2</v>
      </c>
    </row>
    <row r="17" spans="1:5" ht="16.5" customHeight="1" x14ac:dyDescent="0.3">
      <c r="A17" s="346" t="s">
        <v>3</v>
      </c>
      <c r="B17" s="346" t="s">
        <v>29</v>
      </c>
      <c r="D17" s="347"/>
      <c r="E17" s="348"/>
    </row>
    <row r="18" spans="1:5" ht="16.5" customHeight="1" x14ac:dyDescent="0.3">
      <c r="A18" s="349" t="s">
        <v>4</v>
      </c>
      <c r="B18" s="341" t="s">
        <v>33</v>
      </c>
      <c r="C18" s="348"/>
      <c r="D18" s="348"/>
      <c r="E18" s="348"/>
    </row>
    <row r="19" spans="1:5" ht="16.5" customHeight="1" x14ac:dyDescent="0.3">
      <c r="A19" s="349" t="s">
        <v>5</v>
      </c>
      <c r="B19" s="350">
        <v>93.8</v>
      </c>
      <c r="C19" s="348"/>
      <c r="D19" s="348"/>
      <c r="E19" s="348"/>
    </row>
    <row r="20" spans="1:5" ht="16.5" customHeight="1" x14ac:dyDescent="0.3">
      <c r="A20" s="346" t="s">
        <v>6</v>
      </c>
      <c r="B20" s="350">
        <f>'Pantoprazole 2'!D43</f>
        <v>9.93</v>
      </c>
      <c r="C20" s="348"/>
      <c r="D20" s="348"/>
      <c r="E20" s="348"/>
    </row>
    <row r="21" spans="1:5" ht="16.5" customHeight="1" x14ac:dyDescent="0.3">
      <c r="A21" s="346" t="s">
        <v>7</v>
      </c>
      <c r="B21" s="351">
        <f>B20/'Pantoprazole 2'!B45</f>
        <v>0.1986</v>
      </c>
      <c r="C21" s="348"/>
      <c r="D21" s="348"/>
      <c r="E21" s="348"/>
    </row>
    <row r="22" spans="1:5" ht="15.75" customHeight="1" x14ac:dyDescent="0.25">
      <c r="A22" s="348"/>
      <c r="B22" s="348" t="s">
        <v>37</v>
      </c>
      <c r="C22" s="348"/>
      <c r="D22" s="348"/>
      <c r="E22" s="348"/>
    </row>
    <row r="23" spans="1:5" ht="16.5" customHeight="1" x14ac:dyDescent="0.3">
      <c r="A23" s="352" t="s">
        <v>8</v>
      </c>
      <c r="B23" s="353" t="s">
        <v>9</v>
      </c>
      <c r="C23" s="352" t="s">
        <v>10</v>
      </c>
      <c r="D23" s="352" t="s">
        <v>11</v>
      </c>
      <c r="E23" s="352" t="s">
        <v>12</v>
      </c>
    </row>
    <row r="24" spans="1:5" ht="16.5" customHeight="1" x14ac:dyDescent="0.3">
      <c r="A24" s="354">
        <v>1</v>
      </c>
      <c r="B24" s="355">
        <v>70364657</v>
      </c>
      <c r="C24" s="355">
        <v>12366.4</v>
      </c>
      <c r="D24" s="356">
        <v>1.1000000000000001</v>
      </c>
      <c r="E24" s="357">
        <v>7.7</v>
      </c>
    </row>
    <row r="25" spans="1:5" ht="16.5" customHeight="1" x14ac:dyDescent="0.3">
      <c r="A25" s="354">
        <v>2</v>
      </c>
      <c r="B25" s="355">
        <v>70396426</v>
      </c>
      <c r="C25" s="355">
        <v>12304.1</v>
      </c>
      <c r="D25" s="356">
        <v>1.1000000000000001</v>
      </c>
      <c r="E25" s="356">
        <v>7.7</v>
      </c>
    </row>
    <row r="26" spans="1:5" ht="16.5" customHeight="1" x14ac:dyDescent="0.3">
      <c r="A26" s="354">
        <v>3</v>
      </c>
      <c r="B26" s="355">
        <v>70472196</v>
      </c>
      <c r="C26" s="355">
        <v>12235.8</v>
      </c>
      <c r="D26" s="356">
        <v>1.1000000000000001</v>
      </c>
      <c r="E26" s="356">
        <v>7.7</v>
      </c>
    </row>
    <row r="27" spans="1:5" ht="16.5" customHeight="1" x14ac:dyDescent="0.3">
      <c r="A27" s="354">
        <v>4</v>
      </c>
      <c r="B27" s="355">
        <v>70570107</v>
      </c>
      <c r="C27" s="355">
        <v>12215</v>
      </c>
      <c r="D27" s="356">
        <v>1.1000000000000001</v>
      </c>
      <c r="E27" s="356">
        <v>7.7</v>
      </c>
    </row>
    <row r="28" spans="1:5" ht="16.5" customHeight="1" x14ac:dyDescent="0.3">
      <c r="A28" s="354">
        <v>5</v>
      </c>
      <c r="B28" s="355">
        <v>70577882</v>
      </c>
      <c r="C28" s="355">
        <v>12158</v>
      </c>
      <c r="D28" s="356">
        <v>1.1000000000000001</v>
      </c>
      <c r="E28" s="356">
        <v>7.7</v>
      </c>
    </row>
    <row r="29" spans="1:5" ht="16.5" customHeight="1" x14ac:dyDescent="0.3">
      <c r="A29" s="354">
        <v>6</v>
      </c>
      <c r="B29" s="358">
        <v>70555750</v>
      </c>
      <c r="C29" s="358">
        <v>12066.9</v>
      </c>
      <c r="D29" s="359">
        <v>1.1000000000000001</v>
      </c>
      <c r="E29" s="359">
        <v>7.7</v>
      </c>
    </row>
    <row r="30" spans="1:5" ht="16.5" customHeight="1" x14ac:dyDescent="0.3">
      <c r="A30" s="360" t="s">
        <v>13</v>
      </c>
      <c r="B30" s="361">
        <f>AVERAGE(B24:B29)</f>
        <v>70489503</v>
      </c>
      <c r="C30" s="362">
        <f>AVERAGE(C24:C29)</f>
        <v>12224.366666666667</v>
      </c>
      <c r="D30" s="363">
        <f>AVERAGE(D24:D29)</f>
        <v>1.0999999999999999</v>
      </c>
      <c r="E30" s="363">
        <f>AVERAGE(E24:E29)</f>
        <v>7.7</v>
      </c>
    </row>
    <row r="31" spans="1:5" ht="16.5" customHeight="1" x14ac:dyDescent="0.3">
      <c r="A31" s="364" t="s">
        <v>14</v>
      </c>
      <c r="B31" s="365">
        <f>(STDEV(B24:B29)/B30)</f>
        <v>1.3193591278300091E-3</v>
      </c>
      <c r="C31" s="366"/>
      <c r="D31" s="366"/>
      <c r="E31" s="367"/>
    </row>
    <row r="32" spans="1:5" s="341" customFormat="1" ht="16.5" customHeight="1" x14ac:dyDescent="0.3">
      <c r="A32" s="368" t="s">
        <v>15</v>
      </c>
      <c r="B32" s="369">
        <f>COUNT(B24:B29)</f>
        <v>6</v>
      </c>
      <c r="C32" s="370"/>
      <c r="D32" s="371"/>
      <c r="E32" s="372"/>
    </row>
    <row r="33" spans="1:5" s="341" customFormat="1" ht="15.75" customHeight="1" x14ac:dyDescent="0.25">
      <c r="A33" s="348"/>
      <c r="B33" s="348"/>
      <c r="C33" s="348"/>
      <c r="D33" s="348"/>
      <c r="E33" s="348"/>
    </row>
    <row r="34" spans="1:5" s="341" customFormat="1" ht="16.5" customHeight="1" x14ac:dyDescent="0.3">
      <c r="A34" s="349" t="s">
        <v>16</v>
      </c>
      <c r="B34" s="373" t="s">
        <v>17</v>
      </c>
      <c r="C34" s="374"/>
      <c r="D34" s="374"/>
      <c r="E34" s="374"/>
    </row>
    <row r="35" spans="1:5" ht="16.5" customHeight="1" x14ac:dyDescent="0.3">
      <c r="A35" s="349"/>
      <c r="B35" s="373" t="s">
        <v>18</v>
      </c>
      <c r="C35" s="374"/>
      <c r="D35" s="374"/>
      <c r="E35" s="374"/>
    </row>
    <row r="36" spans="1:5" ht="16.5" customHeight="1" x14ac:dyDescent="0.3">
      <c r="A36" s="349"/>
      <c r="B36" s="373" t="s">
        <v>19</v>
      </c>
      <c r="C36" s="374"/>
      <c r="D36" s="374"/>
      <c r="E36" s="374"/>
    </row>
    <row r="37" spans="1:5" ht="15.75" customHeight="1" x14ac:dyDescent="0.25">
      <c r="A37" s="348"/>
      <c r="B37" s="348"/>
      <c r="C37" s="348"/>
      <c r="D37" s="348"/>
      <c r="E37" s="348"/>
    </row>
    <row r="38" spans="1:5" ht="16.5" customHeight="1" x14ac:dyDescent="0.3">
      <c r="A38" s="344" t="s">
        <v>1</v>
      </c>
      <c r="B38" s="345" t="s">
        <v>20</v>
      </c>
    </row>
    <row r="39" spans="1:5" ht="16.5" customHeight="1" x14ac:dyDescent="0.3">
      <c r="A39" s="349" t="s">
        <v>4</v>
      </c>
      <c r="B39" s="346" t="s">
        <v>33</v>
      </c>
      <c r="C39" s="348"/>
      <c r="D39" s="348"/>
      <c r="E39" s="348"/>
    </row>
    <row r="40" spans="1:5" ht="16.5" customHeight="1" x14ac:dyDescent="0.3">
      <c r="A40" s="349" t="s">
        <v>5</v>
      </c>
      <c r="B40" s="350">
        <v>93.8</v>
      </c>
      <c r="C40" s="348"/>
      <c r="D40" s="348"/>
      <c r="E40" s="348"/>
    </row>
    <row r="41" spans="1:5" ht="16.5" customHeight="1" x14ac:dyDescent="0.3">
      <c r="A41" s="346" t="s">
        <v>6</v>
      </c>
      <c r="B41" s="350">
        <f>'Pantoprazole 2'!D98</f>
        <v>19.14</v>
      </c>
      <c r="C41" s="348"/>
      <c r="D41" s="348"/>
      <c r="E41" s="348"/>
    </row>
    <row r="42" spans="1:5" ht="16.5" customHeight="1" x14ac:dyDescent="0.3">
      <c r="A42" s="346" t="s">
        <v>7</v>
      </c>
      <c r="B42" s="351">
        <f>B41/'Pantoprazole 2'!B100</f>
        <v>1.9140000000000001E-2</v>
      </c>
      <c r="C42" s="348"/>
      <c r="D42" s="348"/>
      <c r="E42" s="348"/>
    </row>
    <row r="43" spans="1:5" ht="15.75" customHeight="1" x14ac:dyDescent="0.25">
      <c r="A43" s="348"/>
      <c r="B43" s="348"/>
      <c r="C43" s="348"/>
      <c r="D43" s="348"/>
      <c r="E43" s="348"/>
    </row>
    <row r="44" spans="1:5" ht="16.5" customHeight="1" x14ac:dyDescent="0.3">
      <c r="A44" s="352" t="s">
        <v>8</v>
      </c>
      <c r="B44" s="353" t="s">
        <v>9</v>
      </c>
      <c r="C44" s="352" t="s">
        <v>10</v>
      </c>
      <c r="D44" s="352" t="s">
        <v>11</v>
      </c>
      <c r="E44" s="352" t="s">
        <v>12</v>
      </c>
    </row>
    <row r="45" spans="1:5" ht="16.5" customHeight="1" x14ac:dyDescent="0.3">
      <c r="A45" s="354">
        <v>1</v>
      </c>
      <c r="B45" s="355">
        <v>3382460</v>
      </c>
      <c r="C45" s="355">
        <v>10294.700000000001</v>
      </c>
      <c r="D45" s="356">
        <v>1.2</v>
      </c>
      <c r="E45" s="357">
        <v>5.8</v>
      </c>
    </row>
    <row r="46" spans="1:5" ht="16.5" customHeight="1" x14ac:dyDescent="0.3">
      <c r="A46" s="354">
        <v>2</v>
      </c>
      <c r="B46" s="355">
        <v>3335660</v>
      </c>
      <c r="C46" s="355">
        <v>10288.799999999999</v>
      </c>
      <c r="D46" s="356">
        <v>1.2</v>
      </c>
      <c r="E46" s="356">
        <v>5.8</v>
      </c>
    </row>
    <row r="47" spans="1:5" ht="16.5" customHeight="1" x14ac:dyDescent="0.3">
      <c r="A47" s="354">
        <v>3</v>
      </c>
      <c r="B47" s="355">
        <v>3363923</v>
      </c>
      <c r="C47" s="355">
        <v>10301.700000000001</v>
      </c>
      <c r="D47" s="356">
        <v>1.2</v>
      </c>
      <c r="E47" s="356">
        <v>5.8</v>
      </c>
    </row>
    <row r="48" spans="1:5" ht="16.5" customHeight="1" x14ac:dyDescent="0.3">
      <c r="A48" s="354">
        <v>4</v>
      </c>
      <c r="B48" s="355">
        <v>3294505</v>
      </c>
      <c r="C48" s="355">
        <v>10251.5</v>
      </c>
      <c r="D48" s="356">
        <v>1.2</v>
      </c>
      <c r="E48" s="356">
        <v>5.8</v>
      </c>
    </row>
    <row r="49" spans="1:7" ht="16.5" customHeight="1" x14ac:dyDescent="0.3">
      <c r="A49" s="354">
        <v>5</v>
      </c>
      <c r="B49" s="355">
        <v>3307137</v>
      </c>
      <c r="C49" s="355">
        <v>10278.200000000001</v>
      </c>
      <c r="D49" s="356">
        <v>1.2</v>
      </c>
      <c r="E49" s="356">
        <v>5.8</v>
      </c>
    </row>
    <row r="50" spans="1:7" ht="16.5" customHeight="1" x14ac:dyDescent="0.3">
      <c r="A50" s="354">
        <v>6</v>
      </c>
      <c r="B50" s="358">
        <v>3304615</v>
      </c>
      <c r="C50" s="358">
        <v>10284.799999999999</v>
      </c>
      <c r="D50" s="359">
        <v>1.2</v>
      </c>
      <c r="E50" s="359">
        <v>5.8</v>
      </c>
    </row>
    <row r="51" spans="1:7" ht="16.5" customHeight="1" x14ac:dyDescent="0.3">
      <c r="A51" s="360" t="s">
        <v>13</v>
      </c>
      <c r="B51" s="361">
        <f>AVERAGE(B45:B50)</f>
        <v>3331383.3333333335</v>
      </c>
      <c r="C51" s="362">
        <f>AVERAGE(C45:C50)</f>
        <v>10283.283333333333</v>
      </c>
      <c r="D51" s="363">
        <f>AVERAGE(D45:D50)</f>
        <v>1.2</v>
      </c>
      <c r="E51" s="363">
        <f>AVERAGE(E45:E50)</f>
        <v>5.8</v>
      </c>
    </row>
    <row r="52" spans="1:7" ht="16.5" customHeight="1" x14ac:dyDescent="0.3">
      <c r="A52" s="364" t="s">
        <v>14</v>
      </c>
      <c r="B52" s="365">
        <f>(STDEV(B45:B50)/B51)</f>
        <v>1.0697700464581995E-2</v>
      </c>
      <c r="C52" s="366"/>
      <c r="D52" s="366"/>
      <c r="E52" s="367"/>
    </row>
    <row r="53" spans="1:7" s="341" customFormat="1" ht="16.5" customHeight="1" x14ac:dyDescent="0.3">
      <c r="A53" s="368" t="s">
        <v>15</v>
      </c>
      <c r="B53" s="369">
        <f>COUNT(B45:B50)</f>
        <v>6</v>
      </c>
      <c r="C53" s="370"/>
      <c r="D53" s="371"/>
      <c r="E53" s="372"/>
    </row>
    <row r="54" spans="1:7" s="341" customFormat="1" ht="15.75" customHeight="1" x14ac:dyDescent="0.25">
      <c r="A54" s="348"/>
      <c r="B54" s="348"/>
      <c r="C54" s="348"/>
      <c r="D54" s="348"/>
      <c r="E54" s="348"/>
    </row>
    <row r="55" spans="1:7" s="341" customFormat="1" ht="16.5" customHeight="1" x14ac:dyDescent="0.3">
      <c r="A55" s="349" t="s">
        <v>16</v>
      </c>
      <c r="B55" s="373" t="s">
        <v>17</v>
      </c>
      <c r="C55" s="374"/>
      <c r="D55" s="374"/>
      <c r="E55" s="374"/>
    </row>
    <row r="56" spans="1:7" ht="16.5" customHeight="1" x14ac:dyDescent="0.3">
      <c r="A56" s="349"/>
      <c r="B56" s="373" t="s">
        <v>18</v>
      </c>
      <c r="C56" s="374"/>
      <c r="D56" s="374"/>
      <c r="E56" s="374"/>
    </row>
    <row r="57" spans="1:7" ht="16.5" customHeight="1" x14ac:dyDescent="0.3">
      <c r="A57" s="349"/>
      <c r="B57" s="373" t="s">
        <v>19</v>
      </c>
      <c r="C57" s="374"/>
      <c r="D57" s="374"/>
      <c r="E57" s="374"/>
    </row>
    <row r="58" spans="1:7" ht="14.25" customHeight="1" thickBot="1" x14ac:dyDescent="0.3">
      <c r="A58" s="375"/>
      <c r="B58" s="376"/>
      <c r="D58" s="377"/>
      <c r="F58" s="378"/>
      <c r="G58" s="378"/>
    </row>
    <row r="59" spans="1:7" ht="15" customHeight="1" x14ac:dyDescent="0.3">
      <c r="B59" s="379" t="s">
        <v>21</v>
      </c>
      <c r="C59" s="379"/>
      <c r="E59" s="380" t="s">
        <v>22</v>
      </c>
      <c r="F59" s="381"/>
      <c r="G59" s="380" t="s">
        <v>23</v>
      </c>
    </row>
    <row r="60" spans="1:7" ht="15" customHeight="1" x14ac:dyDescent="0.3">
      <c r="A60" s="382" t="s">
        <v>24</v>
      </c>
      <c r="B60" s="383"/>
      <c r="C60" s="383"/>
      <c r="E60" s="383"/>
      <c r="G60" s="383"/>
    </row>
    <row r="61" spans="1:7" ht="15" customHeight="1" x14ac:dyDescent="0.3">
      <c r="A61" s="382" t="s">
        <v>25</v>
      </c>
      <c r="B61" s="384"/>
      <c r="C61" s="384"/>
      <c r="E61" s="384"/>
      <c r="G61" s="3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18" sqref="D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6" t="s">
        <v>26</v>
      </c>
      <c r="B11" s="247"/>
      <c r="C11" s="247"/>
      <c r="D11" s="247"/>
      <c r="E11" s="247"/>
      <c r="F11" s="248"/>
      <c r="G11" s="41"/>
    </row>
    <row r="12" spans="1:7" ht="16.5" customHeight="1" x14ac:dyDescent="0.3">
      <c r="A12" s="245" t="s">
        <v>27</v>
      </c>
      <c r="B12" s="245"/>
      <c r="C12" s="245"/>
      <c r="D12" s="245"/>
      <c r="E12" s="245"/>
      <c r="F12" s="245"/>
      <c r="G12" s="40"/>
    </row>
    <row r="14" spans="1:7" ht="16.5" customHeight="1" x14ac:dyDescent="0.3">
      <c r="A14" s="250" t="s">
        <v>28</v>
      </c>
      <c r="B14" s="250"/>
      <c r="C14" s="10" t="s">
        <v>29</v>
      </c>
    </row>
    <row r="15" spans="1:7" ht="16.5" customHeight="1" x14ac:dyDescent="0.3">
      <c r="A15" s="250" t="s">
        <v>30</v>
      </c>
      <c r="B15" s="250"/>
      <c r="C15" s="10" t="s">
        <v>31</v>
      </c>
    </row>
    <row r="16" spans="1:7" ht="16.5" customHeight="1" x14ac:dyDescent="0.3">
      <c r="A16" s="250" t="s">
        <v>32</v>
      </c>
      <c r="B16" s="250"/>
      <c r="C16" s="10" t="s">
        <v>33</v>
      </c>
    </row>
    <row r="17" spans="1:5" ht="16.5" customHeight="1" x14ac:dyDescent="0.3">
      <c r="A17" s="250" t="s">
        <v>34</v>
      </c>
      <c r="B17" s="250"/>
      <c r="C17" s="10" t="s">
        <v>35</v>
      </c>
    </row>
    <row r="18" spans="1:5" ht="16.5" customHeight="1" x14ac:dyDescent="0.3">
      <c r="A18" s="250" t="s">
        <v>36</v>
      </c>
      <c r="B18" s="250"/>
      <c r="C18" s="47" t="s">
        <v>37</v>
      </c>
    </row>
    <row r="19" spans="1:5" ht="16.5" customHeight="1" x14ac:dyDescent="0.3">
      <c r="A19" s="250" t="s">
        <v>38</v>
      </c>
      <c r="B19" s="25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45" t="s">
        <v>1</v>
      </c>
      <c r="B21" s="245"/>
      <c r="C21" s="9" t="s">
        <v>39</v>
      </c>
      <c r="D21" s="16"/>
    </row>
    <row r="22" spans="1:5" ht="15.75" customHeight="1" x14ac:dyDescent="0.3">
      <c r="A22" s="249"/>
      <c r="B22" s="249"/>
      <c r="C22" s="7"/>
      <c r="D22" s="249"/>
      <c r="E22" s="249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231.63</v>
      </c>
      <c r="D24" s="37">
        <f t="shared" ref="D24:D43" si="0">(C24-$C$46)/$C$46</f>
        <v>3.0570522203782893E-2</v>
      </c>
      <c r="E24" s="3"/>
    </row>
    <row r="25" spans="1:5" ht="15.75" customHeight="1" x14ac:dyDescent="0.3">
      <c r="C25" s="45">
        <v>229.25</v>
      </c>
      <c r="D25" s="38">
        <f t="shared" si="0"/>
        <v>1.9981402302021469E-2</v>
      </c>
      <c r="E25" s="3"/>
    </row>
    <row r="26" spans="1:5" ht="15.75" customHeight="1" x14ac:dyDescent="0.3">
      <c r="C26" s="45">
        <v>226.02</v>
      </c>
      <c r="D26" s="38">
        <f t="shared" si="0"/>
        <v>5.6104538639166965E-3</v>
      </c>
      <c r="E26" s="3"/>
    </row>
    <row r="27" spans="1:5" ht="15.75" customHeight="1" x14ac:dyDescent="0.3">
      <c r="C27" s="45">
        <v>229.52</v>
      </c>
      <c r="D27" s="38">
        <f t="shared" si="0"/>
        <v>2.1182689013565879E-2</v>
      </c>
      <c r="E27" s="3"/>
    </row>
    <row r="28" spans="1:5" ht="15.75" customHeight="1" x14ac:dyDescent="0.3">
      <c r="C28" s="45">
        <v>217.93</v>
      </c>
      <c r="D28" s="38">
        <f t="shared" si="0"/>
        <v>-3.0383655381986716E-2</v>
      </c>
      <c r="E28" s="3"/>
    </row>
    <row r="29" spans="1:5" ht="15.75" customHeight="1" x14ac:dyDescent="0.3">
      <c r="C29" s="45">
        <v>222.17</v>
      </c>
      <c r="D29" s="38">
        <f t="shared" si="0"/>
        <v>-1.1519004800697506E-2</v>
      </c>
      <c r="E29" s="3"/>
    </row>
    <row r="30" spans="1:5" ht="15.75" customHeight="1" x14ac:dyDescent="0.3">
      <c r="C30" s="45">
        <v>217.97</v>
      </c>
      <c r="D30" s="38">
        <f t="shared" si="0"/>
        <v>-3.0205686980276474E-2</v>
      </c>
      <c r="E30" s="3"/>
    </row>
    <row r="31" spans="1:5" ht="15.75" customHeight="1" x14ac:dyDescent="0.3">
      <c r="C31" s="45">
        <v>225.35</v>
      </c>
      <c r="D31" s="38">
        <f t="shared" si="0"/>
        <v>2.6294831352694963E-3</v>
      </c>
      <c r="E31" s="3"/>
    </row>
    <row r="32" spans="1:5" ht="15.75" customHeight="1" x14ac:dyDescent="0.3">
      <c r="C32" s="45">
        <v>213.22</v>
      </c>
      <c r="D32" s="38">
        <f t="shared" si="0"/>
        <v>-5.1339434683371793E-2</v>
      </c>
      <c r="E32" s="3"/>
    </row>
    <row r="33" spans="1:7" ht="15.75" customHeight="1" x14ac:dyDescent="0.3">
      <c r="C33" s="45">
        <v>237.51</v>
      </c>
      <c r="D33" s="38">
        <f t="shared" si="0"/>
        <v>5.6731877255193498E-2</v>
      </c>
      <c r="E33" s="3"/>
    </row>
    <row r="34" spans="1:7" ht="15.75" customHeight="1" x14ac:dyDescent="0.3">
      <c r="C34" s="45">
        <v>223.16</v>
      </c>
      <c r="D34" s="38">
        <f t="shared" si="0"/>
        <v>-7.1142868583681249E-3</v>
      </c>
      <c r="E34" s="3"/>
    </row>
    <row r="35" spans="1:7" ht="15.75" customHeight="1" x14ac:dyDescent="0.3">
      <c r="C35" s="45">
        <v>230.89</v>
      </c>
      <c r="D35" s="38">
        <f t="shared" si="0"/>
        <v>2.7278106772142739E-2</v>
      </c>
      <c r="E35" s="3"/>
    </row>
    <row r="36" spans="1:7" ht="15.75" customHeight="1" x14ac:dyDescent="0.3">
      <c r="C36" s="45">
        <v>218.75</v>
      </c>
      <c r="D36" s="38">
        <f t="shared" si="0"/>
        <v>-2.6735303146926081E-2</v>
      </c>
      <c r="E36" s="3"/>
    </row>
    <row r="37" spans="1:7" ht="15.75" customHeight="1" x14ac:dyDescent="0.3">
      <c r="C37" s="45">
        <v>228.73</v>
      </c>
      <c r="D37" s="38">
        <f t="shared" si="0"/>
        <v>1.766781307978783E-2</v>
      </c>
      <c r="E37" s="3"/>
    </row>
    <row r="38" spans="1:7" ht="15.75" customHeight="1" x14ac:dyDescent="0.3">
      <c r="C38" s="45">
        <v>221.12</v>
      </c>
      <c r="D38" s="38">
        <f t="shared" si="0"/>
        <v>-1.6190675345592185E-2</v>
      </c>
      <c r="E38" s="3"/>
    </row>
    <row r="39" spans="1:7" ht="15.75" customHeight="1" x14ac:dyDescent="0.3">
      <c r="C39" s="45">
        <v>225.17</v>
      </c>
      <c r="D39" s="38">
        <f t="shared" si="0"/>
        <v>1.8286253275732222E-3</v>
      </c>
      <c r="E39" s="3"/>
    </row>
    <row r="40" spans="1:7" ht="15.75" customHeight="1" x14ac:dyDescent="0.3">
      <c r="C40" s="45">
        <v>224.62</v>
      </c>
      <c r="D40" s="38">
        <f t="shared" si="0"/>
        <v>-6.18440195943002E-4</v>
      </c>
      <c r="E40" s="3"/>
    </row>
    <row r="41" spans="1:7" ht="15.75" customHeight="1" x14ac:dyDescent="0.3">
      <c r="C41" s="45">
        <v>221.1</v>
      </c>
      <c r="D41" s="38">
        <f t="shared" si="0"/>
        <v>-1.6279659546447368E-2</v>
      </c>
      <c r="E41" s="3"/>
    </row>
    <row r="42" spans="1:7" ht="15.75" customHeight="1" x14ac:dyDescent="0.3">
      <c r="C42" s="45">
        <v>219.14</v>
      </c>
      <c r="D42" s="38">
        <f t="shared" si="0"/>
        <v>-2.5000111230250945E-2</v>
      </c>
      <c r="E42" s="3"/>
    </row>
    <row r="43" spans="1:7" ht="16.5" customHeight="1" x14ac:dyDescent="0.3">
      <c r="C43" s="46">
        <v>231.93</v>
      </c>
      <c r="D43" s="39">
        <f t="shared" si="0"/>
        <v>3.1905285216610013E-2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4495.1799999999994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224.75899999999996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43">
        <f>C46</f>
        <v>224.75899999999996</v>
      </c>
      <c r="C49" s="43">
        <f>-IF(C46&lt;=80,10%,IF(C46&lt;250,7.5%,5%))</f>
        <v>-7.4999999999999997E-2</v>
      </c>
      <c r="D49" s="31">
        <f>IF(C46&lt;=80,C46*0.9,IF(C46&lt;250,C46*0.925,C46*0.95))</f>
        <v>207.90207499999997</v>
      </c>
    </row>
    <row r="50" spans="1:6" ht="17.25" customHeight="1" x14ac:dyDescent="0.3">
      <c r="B50" s="244"/>
      <c r="C50" s="44">
        <f>IF(C46&lt;=80, 10%, IF(C46&lt;250, 7.5%, 5%))</f>
        <v>7.4999999999999997E-2</v>
      </c>
      <c r="D50" s="31">
        <f>IF(C46&lt;=80, C46*1.1, IF(C46&lt;250, C46*1.075, C46*1.05))</f>
        <v>241.61592499999995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5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4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3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2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1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9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8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7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6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5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4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3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2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1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9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8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7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6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view="pageBreakPreview" topLeftCell="B56" zoomScale="55" zoomScaleNormal="55" zoomScaleSheetLayoutView="55" workbookViewId="0">
      <selection activeCell="G139" sqref="G139"/>
    </sheetView>
  </sheetViews>
  <sheetFormatPr defaultColWidth="9.140625" defaultRowHeight="15" x14ac:dyDescent="0.3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3.5703125" style="49" customWidth="1"/>
    <col min="6" max="6" width="36" style="49" customWidth="1"/>
    <col min="7" max="7" width="33.140625" style="49" customWidth="1"/>
    <col min="8" max="8" width="29.7109375" style="49" customWidth="1"/>
    <col min="9" max="9" width="29.85546875" style="48" customWidth="1"/>
    <col min="10" max="10" width="34.85546875" style="48" customWidth="1"/>
    <col min="11" max="11" width="9.140625" style="48"/>
    <col min="12" max="16384" width="9.140625" style="50"/>
  </cols>
  <sheetData>
    <row r="1" spans="1:8" ht="13.5" x14ac:dyDescent="0.25">
      <c r="A1" s="237" t="s">
        <v>45</v>
      </c>
      <c r="B1" s="237"/>
      <c r="C1" s="237"/>
      <c r="D1" s="237"/>
      <c r="E1" s="237"/>
      <c r="F1" s="237"/>
      <c r="G1" s="237"/>
      <c r="H1" s="237"/>
    </row>
    <row r="2" spans="1:8" ht="13.5" x14ac:dyDescent="0.25">
      <c r="A2" s="237"/>
      <c r="B2" s="237"/>
      <c r="C2" s="237"/>
      <c r="D2" s="237"/>
      <c r="E2" s="237"/>
      <c r="F2" s="237"/>
      <c r="G2" s="237"/>
      <c r="H2" s="237"/>
    </row>
    <row r="3" spans="1:8" ht="13.5" x14ac:dyDescent="0.25">
      <c r="A3" s="237"/>
      <c r="B3" s="237"/>
      <c r="C3" s="237"/>
      <c r="D3" s="237"/>
      <c r="E3" s="237"/>
      <c r="F3" s="237"/>
      <c r="G3" s="237"/>
      <c r="H3" s="237"/>
    </row>
    <row r="4" spans="1:8" ht="13.5" x14ac:dyDescent="0.25">
      <c r="A4" s="237"/>
      <c r="B4" s="237"/>
      <c r="C4" s="237"/>
      <c r="D4" s="237"/>
      <c r="E4" s="237"/>
      <c r="F4" s="237"/>
      <c r="G4" s="237"/>
      <c r="H4" s="237"/>
    </row>
    <row r="5" spans="1:8" ht="13.5" x14ac:dyDescent="0.25">
      <c r="A5" s="237"/>
      <c r="B5" s="237"/>
      <c r="C5" s="237"/>
      <c r="D5" s="237"/>
      <c r="E5" s="237"/>
      <c r="F5" s="237"/>
      <c r="G5" s="237"/>
      <c r="H5" s="237"/>
    </row>
    <row r="6" spans="1:8" ht="13.5" x14ac:dyDescent="0.25">
      <c r="A6" s="237"/>
      <c r="B6" s="237"/>
      <c r="C6" s="237"/>
      <c r="D6" s="237"/>
      <c r="E6" s="237"/>
      <c r="F6" s="237"/>
      <c r="G6" s="237"/>
      <c r="H6" s="237"/>
    </row>
    <row r="7" spans="1:8" ht="13.5" x14ac:dyDescent="0.25">
      <c r="A7" s="237"/>
      <c r="B7" s="237"/>
      <c r="C7" s="237"/>
      <c r="D7" s="237"/>
      <c r="E7" s="237"/>
      <c r="F7" s="237"/>
      <c r="G7" s="237"/>
      <c r="H7" s="237"/>
    </row>
    <row r="8" spans="1:8" ht="13.5" x14ac:dyDescent="0.25">
      <c r="A8" s="238" t="s">
        <v>46</v>
      </c>
      <c r="B8" s="238"/>
      <c r="C8" s="238"/>
      <c r="D8" s="238"/>
      <c r="E8" s="238"/>
      <c r="F8" s="238"/>
      <c r="G8" s="238"/>
      <c r="H8" s="238"/>
    </row>
    <row r="9" spans="1:8" ht="13.5" x14ac:dyDescent="0.25">
      <c r="A9" s="238"/>
      <c r="B9" s="238"/>
      <c r="C9" s="238"/>
      <c r="D9" s="238"/>
      <c r="E9" s="238"/>
      <c r="F9" s="238"/>
      <c r="G9" s="238"/>
      <c r="H9" s="238"/>
    </row>
    <row r="10" spans="1:8" ht="13.5" x14ac:dyDescent="0.25">
      <c r="A10" s="238"/>
      <c r="B10" s="238"/>
      <c r="C10" s="238"/>
      <c r="D10" s="238"/>
      <c r="E10" s="238"/>
      <c r="F10" s="238"/>
      <c r="G10" s="238"/>
      <c r="H10" s="238"/>
    </row>
    <row r="11" spans="1:8" ht="13.5" x14ac:dyDescent="0.25">
      <c r="A11" s="238"/>
      <c r="B11" s="238"/>
      <c r="C11" s="238"/>
      <c r="D11" s="238"/>
      <c r="E11" s="238"/>
      <c r="F11" s="238"/>
      <c r="G11" s="238"/>
      <c r="H11" s="238"/>
    </row>
    <row r="12" spans="1:8" ht="13.5" x14ac:dyDescent="0.25">
      <c r="A12" s="238"/>
      <c r="B12" s="238"/>
      <c r="C12" s="238"/>
      <c r="D12" s="238"/>
      <c r="E12" s="238"/>
      <c r="F12" s="238"/>
      <c r="G12" s="238"/>
      <c r="H12" s="238"/>
    </row>
    <row r="13" spans="1:8" ht="13.5" x14ac:dyDescent="0.25">
      <c r="A13" s="238"/>
      <c r="B13" s="238"/>
      <c r="C13" s="238"/>
      <c r="D13" s="238"/>
      <c r="E13" s="238"/>
      <c r="F13" s="238"/>
      <c r="G13" s="238"/>
      <c r="H13" s="238"/>
    </row>
    <row r="14" spans="1:8" ht="13.5" x14ac:dyDescent="0.25">
      <c r="A14" s="238"/>
      <c r="B14" s="238"/>
      <c r="C14" s="238"/>
      <c r="D14" s="238"/>
      <c r="E14" s="238"/>
      <c r="F14" s="238"/>
      <c r="G14" s="238"/>
      <c r="H14" s="238"/>
    </row>
    <row r="15" spans="1:8" ht="19.5" customHeight="1" thickBot="1" x14ac:dyDescent="0.35"/>
    <row r="16" spans="1:8" ht="19.5" customHeight="1" thickBot="1" x14ac:dyDescent="0.35">
      <c r="A16" s="239" t="s">
        <v>26</v>
      </c>
      <c r="B16" s="240"/>
      <c r="C16" s="240"/>
      <c r="D16" s="240"/>
      <c r="E16" s="240"/>
      <c r="F16" s="240"/>
      <c r="G16" s="240"/>
      <c r="H16" s="241"/>
    </row>
    <row r="17" spans="1:13" ht="20.25" customHeight="1" x14ac:dyDescent="0.25">
      <c r="A17" s="242" t="s">
        <v>47</v>
      </c>
      <c r="B17" s="242"/>
      <c r="C17" s="242"/>
      <c r="D17" s="242"/>
      <c r="E17" s="242"/>
      <c r="F17" s="242"/>
      <c r="G17" s="242"/>
      <c r="H17" s="242"/>
    </row>
    <row r="18" spans="1:13" ht="26.25" customHeight="1" x14ac:dyDescent="0.3">
      <c r="A18" s="51" t="s">
        <v>28</v>
      </c>
      <c r="B18" s="236" t="str">
        <f>'[1]Pantoprazole (2)'!B18:C18</f>
        <v>PREZ -40 DR TABLETS</v>
      </c>
      <c r="C18" s="236"/>
      <c r="D18" s="236"/>
      <c r="E18" s="236"/>
    </row>
    <row r="19" spans="1:13" ht="26.25" customHeight="1" x14ac:dyDescent="0.3">
      <c r="A19" s="51" t="s">
        <v>30</v>
      </c>
      <c r="B19" s="52" t="str">
        <f>'[1]Pantoprazole (2)'!B19</f>
        <v>NDQD201605934r1</v>
      </c>
      <c r="C19" s="53">
        <v>2</v>
      </c>
    </row>
    <row r="20" spans="1:13" ht="26.25" customHeight="1" x14ac:dyDescent="0.3">
      <c r="A20" s="51" t="s">
        <v>32</v>
      </c>
      <c r="B20" s="52" t="str">
        <f>'[1]Pantoprazole (2)'!B20:C20</f>
        <v xml:space="preserve">Pantoprazole  </v>
      </c>
    </row>
    <row r="21" spans="1:13" ht="26.25" customHeight="1" x14ac:dyDescent="0.25">
      <c r="A21" s="51" t="s">
        <v>34</v>
      </c>
      <c r="B21" s="236" t="str">
        <f>'[1]Pantoprazole (2)'!B21:H21</f>
        <v>Each tablet contains Pantoprazole sodium 40mg</v>
      </c>
      <c r="C21" s="236"/>
      <c r="D21" s="236"/>
      <c r="E21" s="236"/>
      <c r="F21" s="236"/>
      <c r="G21" s="236"/>
      <c r="H21" s="236"/>
    </row>
    <row r="22" spans="1:13" ht="26.25" customHeight="1" x14ac:dyDescent="0.3">
      <c r="A22" s="51" t="s">
        <v>36</v>
      </c>
      <c r="B22" s="54" t="str">
        <f>'[1]Pantoprazole (2)'!B22</f>
        <v>2016-05-13 10:03:36</v>
      </c>
    </row>
    <row r="23" spans="1:13" ht="26.25" customHeight="1" x14ac:dyDescent="0.3">
      <c r="A23" s="51" t="s">
        <v>38</v>
      </c>
      <c r="B23" s="54"/>
    </row>
    <row r="24" spans="1:13" ht="18.75" x14ac:dyDescent="0.3">
      <c r="A24" s="51"/>
      <c r="B24" s="55"/>
    </row>
    <row r="25" spans="1:13" ht="18.75" x14ac:dyDescent="0.3">
      <c r="A25" s="56" t="s">
        <v>1</v>
      </c>
      <c r="B25" s="55"/>
    </row>
    <row r="26" spans="1:13" ht="26.25" customHeight="1" x14ac:dyDescent="0.3">
      <c r="A26" s="57" t="s">
        <v>4</v>
      </c>
      <c r="B26" s="236" t="str">
        <f>'[1]Pantoprazole (2)'!B26:C26</f>
        <v>Pantoprazole Sodium Sesquihydrate</v>
      </c>
      <c r="C26" s="236"/>
    </row>
    <row r="27" spans="1:13" ht="26.25" customHeight="1" x14ac:dyDescent="0.3">
      <c r="A27" s="58" t="s">
        <v>48</v>
      </c>
      <c r="B27" s="236" t="str">
        <f>'[1]Pantoprazole (2)'!B27:C27</f>
        <v>P11-1</v>
      </c>
      <c r="C27" s="236"/>
    </row>
    <row r="28" spans="1:13" ht="27" customHeight="1" thickBot="1" x14ac:dyDescent="0.35">
      <c r="A28" s="58" t="s">
        <v>5</v>
      </c>
      <c r="B28" s="59">
        <f>'[1]Pantoprazole (2)'!B28</f>
        <v>93.8</v>
      </c>
    </row>
    <row r="29" spans="1:13" s="61" customFormat="1" ht="15.75" customHeight="1" thickBot="1" x14ac:dyDescent="0.35">
      <c r="A29" s="58" t="s">
        <v>49</v>
      </c>
      <c r="B29" s="59">
        <v>0</v>
      </c>
      <c r="C29" s="216" t="s">
        <v>50</v>
      </c>
      <c r="D29" s="217"/>
      <c r="E29" s="217"/>
      <c r="F29" s="217"/>
      <c r="G29" s="217"/>
      <c r="H29" s="218"/>
      <c r="I29" s="60"/>
      <c r="J29" s="60"/>
      <c r="K29" s="60"/>
    </row>
    <row r="30" spans="1:13" s="61" customFormat="1" ht="19.5" customHeight="1" thickBot="1" x14ac:dyDescent="0.35">
      <c r="A30" s="58" t="s">
        <v>51</v>
      </c>
      <c r="B30" s="149">
        <f>B28-B29</f>
        <v>93.8</v>
      </c>
      <c r="C30" s="62"/>
      <c r="D30" s="62"/>
      <c r="E30" s="62"/>
      <c r="F30" s="62"/>
      <c r="G30" s="62"/>
      <c r="H30" s="63"/>
      <c r="I30" s="60"/>
      <c r="J30" s="60"/>
      <c r="K30" s="60"/>
    </row>
    <row r="31" spans="1:13" s="61" customFormat="1" ht="27" customHeight="1" thickBot="1" x14ac:dyDescent="0.35">
      <c r="A31" s="58" t="s">
        <v>52</v>
      </c>
      <c r="B31" s="64">
        <f>'[1]Pantoprazole (2)'!B31</f>
        <v>383.37</v>
      </c>
      <c r="C31" s="219" t="s">
        <v>53</v>
      </c>
      <c r="D31" s="220"/>
      <c r="E31" s="220"/>
      <c r="F31" s="220"/>
      <c r="G31" s="220"/>
      <c r="H31" s="221"/>
      <c r="I31" s="60"/>
      <c r="J31" s="60"/>
      <c r="K31" s="60"/>
    </row>
    <row r="32" spans="1:13" s="61" customFormat="1" ht="27" customHeight="1" thickBot="1" x14ac:dyDescent="0.35">
      <c r="A32" s="58" t="s">
        <v>54</v>
      </c>
      <c r="B32" s="64">
        <f>'[1]Pantoprazole (2)'!B32</f>
        <v>432.4</v>
      </c>
      <c r="C32" s="219" t="s">
        <v>55</v>
      </c>
      <c r="D32" s="220"/>
      <c r="E32" s="220"/>
      <c r="F32" s="220"/>
      <c r="G32" s="220"/>
      <c r="H32" s="221"/>
      <c r="I32" s="60"/>
      <c r="J32" s="60"/>
      <c r="K32" s="65"/>
      <c r="L32" s="65"/>
      <c r="M32" s="66"/>
    </row>
    <row r="33" spans="1:13" s="61" customFormat="1" ht="17.25" customHeight="1" x14ac:dyDescent="0.3">
      <c r="A33" s="58"/>
      <c r="B33" s="67"/>
      <c r="C33" s="68"/>
      <c r="D33" s="68"/>
      <c r="E33" s="68"/>
      <c r="F33" s="68"/>
      <c r="G33" s="68"/>
      <c r="H33" s="68"/>
      <c r="I33" s="60"/>
      <c r="J33" s="60"/>
      <c r="K33" s="65"/>
      <c r="L33" s="65"/>
      <c r="M33" s="66"/>
    </row>
    <row r="34" spans="1:13" s="61" customFormat="1" ht="18.75" x14ac:dyDescent="0.3">
      <c r="A34" s="58" t="s">
        <v>56</v>
      </c>
      <c r="B34" s="69">
        <f>B31/B32</f>
        <v>0.88660962072155414</v>
      </c>
      <c r="C34" s="53" t="s">
        <v>57</v>
      </c>
      <c r="D34" s="53"/>
      <c r="E34" s="53"/>
      <c r="F34" s="53"/>
      <c r="G34" s="53"/>
      <c r="H34" s="70"/>
      <c r="I34" s="60"/>
      <c r="J34" s="60"/>
      <c r="K34" s="65"/>
      <c r="L34" s="65"/>
      <c r="M34" s="66"/>
    </row>
    <row r="35" spans="1:13" s="61" customFormat="1" ht="19.5" customHeight="1" thickBot="1" x14ac:dyDescent="0.35">
      <c r="A35" s="58"/>
      <c r="B35" s="149"/>
      <c r="C35" s="70"/>
      <c r="D35" s="70"/>
      <c r="E35" s="70"/>
      <c r="F35" s="70"/>
      <c r="G35" s="53"/>
      <c r="H35" s="70"/>
      <c r="I35" s="60"/>
      <c r="J35" s="60"/>
      <c r="K35" s="65"/>
      <c r="L35" s="65"/>
      <c r="M35" s="66"/>
    </row>
    <row r="36" spans="1:13" s="61" customFormat="1" ht="15.75" customHeight="1" thickBot="1" x14ac:dyDescent="0.35">
      <c r="A36" s="71" t="s">
        <v>58</v>
      </c>
      <c r="B36" s="72">
        <v>50</v>
      </c>
      <c r="C36" s="53"/>
      <c r="D36" s="222" t="s">
        <v>59</v>
      </c>
      <c r="E36" s="223"/>
      <c r="F36" s="222" t="s">
        <v>60</v>
      </c>
      <c r="G36" s="223"/>
      <c r="H36" s="70"/>
      <c r="I36" s="60"/>
      <c r="J36" s="60"/>
      <c r="K36" s="65"/>
      <c r="L36" s="65"/>
      <c r="M36" s="66"/>
    </row>
    <row r="37" spans="1:13" s="61" customFormat="1" ht="15.75" customHeight="1" x14ac:dyDescent="0.3">
      <c r="A37" s="73" t="s">
        <v>61</v>
      </c>
      <c r="B37" s="74">
        <v>1</v>
      </c>
      <c r="C37" s="75" t="s">
        <v>62</v>
      </c>
      <c r="D37" s="76" t="s">
        <v>63</v>
      </c>
      <c r="E37" s="77" t="s">
        <v>64</v>
      </c>
      <c r="F37" s="76" t="s">
        <v>63</v>
      </c>
      <c r="G37" s="78" t="s">
        <v>64</v>
      </c>
      <c r="H37" s="70"/>
      <c r="I37" s="60"/>
      <c r="J37" s="60"/>
      <c r="K37" s="65"/>
      <c r="L37" s="65"/>
      <c r="M37" s="66"/>
    </row>
    <row r="38" spans="1:13" s="61" customFormat="1" ht="26.25" customHeight="1" x14ac:dyDescent="0.3">
      <c r="A38" s="73" t="s">
        <v>65</v>
      </c>
      <c r="B38" s="74">
        <v>1</v>
      </c>
      <c r="C38" s="79">
        <v>1</v>
      </c>
      <c r="D38" s="80">
        <v>70486818</v>
      </c>
      <c r="E38" s="81">
        <f>IF(ISBLANK(D38),"-",$D$48/$D$45*D38)</f>
        <v>85353901.844026074</v>
      </c>
      <c r="F38" s="80">
        <v>63145654</v>
      </c>
      <c r="G38" s="82">
        <f>IF(ISBLANK(F38),"-",$D$48/$F$45*F38)</f>
        <v>85602129.33814083</v>
      </c>
      <c r="H38" s="70"/>
      <c r="I38" s="60"/>
      <c r="J38" s="60"/>
      <c r="K38" s="65"/>
      <c r="L38" s="65"/>
      <c r="M38" s="66"/>
    </row>
    <row r="39" spans="1:13" s="61" customFormat="1" ht="26.25" customHeight="1" x14ac:dyDescent="0.3">
      <c r="A39" s="73" t="s">
        <v>66</v>
      </c>
      <c r="B39" s="74">
        <v>1</v>
      </c>
      <c r="C39" s="83">
        <v>2</v>
      </c>
      <c r="D39" s="84">
        <v>70465432</v>
      </c>
      <c r="E39" s="85">
        <f>IF(ISBLANK(D39),"-",$D$48/$D$45*D39)</f>
        <v>85328005.107634366</v>
      </c>
      <c r="F39" s="84">
        <v>63364825</v>
      </c>
      <c r="G39" s="86">
        <f>IF(ISBLANK(F39),"-",$D$48/$F$45*F39)</f>
        <v>85899244.073688105</v>
      </c>
      <c r="H39" s="70"/>
      <c r="I39" s="60"/>
      <c r="J39" s="60"/>
      <c r="K39" s="65"/>
      <c r="L39" s="65"/>
      <c r="M39" s="66"/>
    </row>
    <row r="40" spans="1:13" ht="26.25" customHeight="1" x14ac:dyDescent="0.3">
      <c r="A40" s="73" t="s">
        <v>67</v>
      </c>
      <c r="B40" s="74">
        <v>1</v>
      </c>
      <c r="C40" s="83">
        <v>3</v>
      </c>
      <c r="D40" s="84">
        <v>70526768</v>
      </c>
      <c r="E40" s="85">
        <f>IF(ISBLANK(D40),"-",$D$48/$D$45*D40)</f>
        <v>85402278.100401685</v>
      </c>
      <c r="F40" s="84">
        <v>63328542</v>
      </c>
      <c r="G40" s="86">
        <f>IF(ISBLANK(F40),"-",$D$48/$F$45*F40)</f>
        <v>85850057.758209035</v>
      </c>
      <c r="K40" s="65"/>
      <c r="L40" s="65"/>
      <c r="M40" s="87"/>
    </row>
    <row r="41" spans="1:13" ht="26.25" customHeight="1" x14ac:dyDescent="0.3">
      <c r="A41" s="73" t="s">
        <v>68</v>
      </c>
      <c r="B41" s="74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K41" s="65"/>
      <c r="L41" s="65"/>
      <c r="M41" s="87"/>
    </row>
    <row r="42" spans="1:13" ht="27" customHeight="1" thickBot="1" x14ac:dyDescent="0.3">
      <c r="A42" s="73" t="s">
        <v>69</v>
      </c>
      <c r="B42" s="74">
        <v>1</v>
      </c>
      <c r="C42" s="92" t="s">
        <v>70</v>
      </c>
      <c r="D42" s="93">
        <f>AVERAGE(D38:D41)</f>
        <v>70493006</v>
      </c>
      <c r="E42" s="94">
        <f>AVERAGE(E38:E41)</f>
        <v>85361395.017354056</v>
      </c>
      <c r="F42" s="95">
        <f>AVERAGE(F38:F41)</f>
        <v>63279673.666666664</v>
      </c>
      <c r="G42" s="96">
        <f>AVERAGE(G38:G41)</f>
        <v>85783810.390012667</v>
      </c>
      <c r="H42" s="97"/>
    </row>
    <row r="43" spans="1:13" ht="26.25" customHeight="1" x14ac:dyDescent="0.3">
      <c r="A43" s="73" t="s">
        <v>71</v>
      </c>
      <c r="B43" s="59">
        <v>1</v>
      </c>
      <c r="C43" s="98" t="s">
        <v>72</v>
      </c>
      <c r="D43" s="99">
        <v>9.93</v>
      </c>
      <c r="E43" s="53"/>
      <c r="F43" s="100">
        <v>8.8699999999999992</v>
      </c>
      <c r="H43" s="97"/>
    </row>
    <row r="44" spans="1:13" ht="26.25" customHeight="1" x14ac:dyDescent="0.3">
      <c r="A44" s="73" t="s">
        <v>73</v>
      </c>
      <c r="B44" s="59">
        <v>1</v>
      </c>
      <c r="C44" s="101" t="s">
        <v>74</v>
      </c>
      <c r="D44" s="102">
        <f>D43*$B$34</f>
        <v>8.8040335337650326</v>
      </c>
      <c r="E44" s="103"/>
      <c r="F44" s="104">
        <f>F43*$B$34</f>
        <v>7.8642273358001846</v>
      </c>
      <c r="H44" s="97"/>
    </row>
    <row r="45" spans="1:13" ht="19.5" customHeight="1" thickBot="1" x14ac:dyDescent="0.35">
      <c r="A45" s="73" t="s">
        <v>75</v>
      </c>
      <c r="B45" s="149">
        <f>(B44/B43)*(B42/B41)*(B40/B39)*(B38/B37)*B36</f>
        <v>50</v>
      </c>
      <c r="C45" s="101" t="s">
        <v>76</v>
      </c>
      <c r="D45" s="105">
        <f>D44*$B$30/100</f>
        <v>8.2581834546716006</v>
      </c>
      <c r="E45" s="106"/>
      <c r="F45" s="107">
        <f>F44*$B$30/100</f>
        <v>7.3766452409805732</v>
      </c>
      <c r="H45" s="97"/>
    </row>
    <row r="46" spans="1:13" ht="19.5" customHeight="1" thickBot="1" x14ac:dyDescent="0.35">
      <c r="A46" s="210" t="s">
        <v>77</v>
      </c>
      <c r="B46" s="211"/>
      <c r="C46" s="101" t="s">
        <v>78</v>
      </c>
      <c r="D46" s="102">
        <f>D45/$B$45</f>
        <v>0.16516366909343203</v>
      </c>
      <c r="E46" s="106"/>
      <c r="F46" s="108">
        <f>F45/$B$45</f>
        <v>0.14753290481961145</v>
      </c>
      <c r="H46" s="97"/>
    </row>
    <row r="47" spans="1:13" ht="27" customHeight="1" thickBot="1" x14ac:dyDescent="0.35">
      <c r="A47" s="212"/>
      <c r="B47" s="213"/>
      <c r="C47" s="101" t="s">
        <v>79</v>
      </c>
      <c r="D47" s="109">
        <v>0.2</v>
      </c>
      <c r="F47" s="110"/>
      <c r="H47" s="97"/>
    </row>
    <row r="48" spans="1:13" ht="18.75" x14ac:dyDescent="0.3">
      <c r="C48" s="101" t="s">
        <v>80</v>
      </c>
      <c r="D48" s="102">
        <f>D47*$B$45</f>
        <v>10</v>
      </c>
      <c r="F48" s="110"/>
      <c r="H48" s="97"/>
    </row>
    <row r="49" spans="1:11" ht="19.5" customHeight="1" thickBot="1" x14ac:dyDescent="0.35">
      <c r="C49" s="111" t="s">
        <v>81</v>
      </c>
      <c r="D49" s="112">
        <f>D48/B34</f>
        <v>11.278921146672927</v>
      </c>
      <c r="F49" s="113"/>
      <c r="H49" s="97"/>
    </row>
    <row r="50" spans="1:11" ht="18.75" x14ac:dyDescent="0.3">
      <c r="C50" s="114" t="s">
        <v>82</v>
      </c>
      <c r="D50" s="115">
        <f>AVERAGE(E38:E41,G38:G41)</f>
        <v>85572602.703683361</v>
      </c>
      <c r="F50" s="113"/>
      <c r="H50" s="97"/>
    </row>
    <row r="51" spans="1:11" ht="18.75" x14ac:dyDescent="0.3">
      <c r="C51" s="116" t="s">
        <v>83</v>
      </c>
      <c r="D51" s="117">
        <f>STDEV(E38:E41,G38:G41)/D50</f>
        <v>2.9619587083515569E-3</v>
      </c>
      <c r="F51" s="113"/>
    </row>
    <row r="52" spans="1:11" ht="19.5" customHeight="1" thickBot="1" x14ac:dyDescent="0.35">
      <c r="C52" s="118" t="s">
        <v>15</v>
      </c>
      <c r="D52" s="119">
        <f>COUNT(E38:E41,G38:G41)</f>
        <v>6</v>
      </c>
      <c r="F52" s="113"/>
    </row>
    <row r="54" spans="1:11" ht="18.75" x14ac:dyDescent="0.3">
      <c r="A54" s="120" t="s">
        <v>1</v>
      </c>
      <c r="B54" s="121" t="s">
        <v>84</v>
      </c>
    </row>
    <row r="55" spans="1:11" ht="18.75" x14ac:dyDescent="0.3">
      <c r="A55" s="53" t="s">
        <v>85</v>
      </c>
      <c r="B55" s="122" t="str">
        <f>B21</f>
        <v>Each tablet contains Pantoprazole sodium 40mg</v>
      </c>
    </row>
    <row r="56" spans="1:11" ht="26.25" customHeight="1" x14ac:dyDescent="0.3">
      <c r="A56" s="122" t="s">
        <v>86</v>
      </c>
      <c r="B56" s="59">
        <v>40</v>
      </c>
      <c r="C56" s="53" t="str">
        <f>B20</f>
        <v xml:space="preserve">Pantoprazole  </v>
      </c>
      <c r="H56" s="103"/>
    </row>
    <row r="57" spans="1:11" ht="18.75" x14ac:dyDescent="0.3">
      <c r="A57" s="122" t="s">
        <v>87</v>
      </c>
      <c r="B57" s="123">
        <f>[1]Uniformity!C46</f>
        <v>224.75899999999996</v>
      </c>
      <c r="H57" s="103"/>
    </row>
    <row r="58" spans="1:11" ht="19.5" customHeight="1" thickBot="1" x14ac:dyDescent="0.35">
      <c r="H58" s="103"/>
    </row>
    <row r="59" spans="1:11" s="61" customFormat="1" ht="27" customHeight="1" thickBot="1" x14ac:dyDescent="0.35">
      <c r="A59" s="71" t="s">
        <v>88</v>
      </c>
      <c r="B59" s="72">
        <v>100</v>
      </c>
      <c r="C59" s="53"/>
      <c r="D59" s="124" t="s">
        <v>89</v>
      </c>
      <c r="E59" s="125" t="s">
        <v>62</v>
      </c>
      <c r="F59" s="125" t="s">
        <v>63</v>
      </c>
      <c r="G59" s="125" t="s">
        <v>90</v>
      </c>
      <c r="H59" s="75" t="s">
        <v>91</v>
      </c>
      <c r="K59" s="60"/>
    </row>
    <row r="60" spans="1:11" s="61" customFormat="1" ht="26.25" customHeight="1" x14ac:dyDescent="0.3">
      <c r="A60" s="73" t="s">
        <v>92</v>
      </c>
      <c r="B60" s="74">
        <v>10</v>
      </c>
      <c r="C60" s="226" t="s">
        <v>93</v>
      </c>
      <c r="D60" s="229">
        <v>215.36</v>
      </c>
      <c r="E60" s="126">
        <v>1</v>
      </c>
      <c r="F60" s="127">
        <v>66410524</v>
      </c>
      <c r="G60" s="128">
        <f>IF(ISBLANK(F60),"-",(F60/$D$50*$D$47*$B$68)*($B$57/$D$60))</f>
        <v>32.397701941676793</v>
      </c>
      <c r="H60" s="129">
        <f t="shared" ref="H60:H71" si="0">IF(ISBLANK(F60),"-",G60/$B$56)</f>
        <v>0.80994254854191983</v>
      </c>
      <c r="K60" s="60"/>
    </row>
    <row r="61" spans="1:11" s="61" customFormat="1" ht="26.25" customHeight="1" x14ac:dyDescent="0.3">
      <c r="A61" s="73" t="s">
        <v>94</v>
      </c>
      <c r="B61" s="74">
        <v>20</v>
      </c>
      <c r="C61" s="227"/>
      <c r="D61" s="230"/>
      <c r="E61" s="130">
        <v>2</v>
      </c>
      <c r="F61" s="84">
        <v>67122437</v>
      </c>
      <c r="G61" s="131">
        <f>IF(ISBLANK(F61),"-",(F61/$D$50*$D$47*$B$68)*($B$57/$D$60))</f>
        <v>32.745001492910639</v>
      </c>
      <c r="H61" s="132">
        <f t="shared" si="0"/>
        <v>0.81862503732276592</v>
      </c>
      <c r="K61" s="60"/>
    </row>
    <row r="62" spans="1:11" s="61" customFormat="1" ht="26.25" customHeight="1" x14ac:dyDescent="0.3">
      <c r="A62" s="73" t="s">
        <v>95</v>
      </c>
      <c r="B62" s="74">
        <v>1</v>
      </c>
      <c r="C62" s="227"/>
      <c r="D62" s="230"/>
      <c r="E62" s="130">
        <v>3</v>
      </c>
      <c r="F62" s="84">
        <v>66899978</v>
      </c>
      <c r="G62" s="131">
        <f>IF(ISBLANK(F62),"-",(F62/$D$50*$D$47*$B$68)*($B$57/$D$60))</f>
        <v>32.636477121438382</v>
      </c>
      <c r="H62" s="132">
        <f t="shared" si="0"/>
        <v>0.81591192803595958</v>
      </c>
      <c r="K62" s="60"/>
    </row>
    <row r="63" spans="1:11" ht="27" customHeight="1" thickBot="1" x14ac:dyDescent="0.3">
      <c r="A63" s="73" t="s">
        <v>96</v>
      </c>
      <c r="B63" s="74">
        <v>1</v>
      </c>
      <c r="C63" s="228"/>
      <c r="D63" s="231"/>
      <c r="E63" s="133">
        <v>4</v>
      </c>
      <c r="F63" s="134"/>
      <c r="G63" s="131" t="str">
        <f>IF(ISBLANK(F63),"-",(F63/$D$50*$D$47*$B$68)*($B$57/$D$60))</f>
        <v>-</v>
      </c>
      <c r="H63" s="132" t="str">
        <f t="shared" si="0"/>
        <v>-</v>
      </c>
    </row>
    <row r="64" spans="1:11" ht="26.25" customHeight="1" x14ac:dyDescent="0.25">
      <c r="A64" s="73" t="s">
        <v>97</v>
      </c>
      <c r="B64" s="74">
        <v>1</v>
      </c>
      <c r="C64" s="226" t="s">
        <v>98</v>
      </c>
      <c r="D64" s="229">
        <v>223.13</v>
      </c>
      <c r="E64" s="126">
        <v>1</v>
      </c>
      <c r="F64" s="127">
        <v>67711075</v>
      </c>
      <c r="G64" s="135">
        <f>IF(ISBLANK(F64),"-",(F64/$D$50*$D$47*$B$68)*($B$57/$D$64))</f>
        <v>31.881891874280818</v>
      </c>
      <c r="H64" s="136">
        <f t="shared" si="0"/>
        <v>0.79704729685702047</v>
      </c>
    </row>
    <row r="65" spans="1:13" ht="26.25" customHeight="1" x14ac:dyDescent="0.25">
      <c r="A65" s="73" t="s">
        <v>99</v>
      </c>
      <c r="B65" s="74">
        <v>1</v>
      </c>
      <c r="C65" s="227"/>
      <c r="D65" s="230"/>
      <c r="E65" s="130">
        <v>2</v>
      </c>
      <c r="F65" s="84">
        <v>68342967</v>
      </c>
      <c r="G65" s="137">
        <f>IF(ISBLANK(F65),"-",(F65/$D$50*$D$47*$B$68)*($B$57/$D$64))</f>
        <v>32.179419456293409</v>
      </c>
      <c r="H65" s="138">
        <f t="shared" si="0"/>
        <v>0.80448548640733519</v>
      </c>
    </row>
    <row r="66" spans="1:13" ht="26.25" customHeight="1" x14ac:dyDescent="0.25">
      <c r="A66" s="73" t="s">
        <v>100</v>
      </c>
      <c r="B66" s="74">
        <v>1</v>
      </c>
      <c r="C66" s="227"/>
      <c r="D66" s="230"/>
      <c r="E66" s="130">
        <v>3</v>
      </c>
      <c r="F66" s="84">
        <v>68451401</v>
      </c>
      <c r="G66" s="137">
        <f>IF(ISBLANK(F66),"-",(F66/$D$50*$D$47*$B$68)*($B$57/$D$64))</f>
        <v>32.230475816918251</v>
      </c>
      <c r="H66" s="138">
        <f t="shared" si="0"/>
        <v>0.80576189542295629</v>
      </c>
    </row>
    <row r="67" spans="1:13" ht="27" customHeight="1" thickBot="1" x14ac:dyDescent="0.3">
      <c r="A67" s="73" t="s">
        <v>101</v>
      </c>
      <c r="B67" s="74">
        <v>1</v>
      </c>
      <c r="C67" s="228"/>
      <c r="D67" s="231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13" ht="26.25" customHeight="1" x14ac:dyDescent="0.25">
      <c r="A68" s="73" t="s">
        <v>102</v>
      </c>
      <c r="B68" s="141">
        <f>(B67/B66)*(B65/B64)*(B63/B62)*(B61/B60)*B59</f>
        <v>200</v>
      </c>
      <c r="C68" s="226" t="s">
        <v>103</v>
      </c>
      <c r="D68" s="229">
        <v>226.35</v>
      </c>
      <c r="E68" s="126">
        <v>1</v>
      </c>
      <c r="F68" s="127"/>
      <c r="G68" s="135" t="str">
        <f>IF(ISBLANK(F68),"-",(F68/$D$50*$D$47*$B$68)*($B$57/$D$68))</f>
        <v>-</v>
      </c>
      <c r="H68" s="132" t="str">
        <f t="shared" si="0"/>
        <v>-</v>
      </c>
    </row>
    <row r="69" spans="1:13" ht="27" customHeight="1" thickBot="1" x14ac:dyDescent="0.3">
      <c r="A69" s="142" t="s">
        <v>104</v>
      </c>
      <c r="B69" s="143">
        <f>(D47*B68)/B56*B57</f>
        <v>224.75899999999996</v>
      </c>
      <c r="C69" s="227"/>
      <c r="D69" s="230"/>
      <c r="E69" s="130">
        <v>2</v>
      </c>
      <c r="F69" s="84"/>
      <c r="G69" s="137" t="str">
        <f>IF(ISBLANK(F69),"-",(F69/$D$50*$D$47*$B$68)*($B$57/$D$68))</f>
        <v>-</v>
      </c>
      <c r="H69" s="132" t="str">
        <f t="shared" si="0"/>
        <v>-</v>
      </c>
    </row>
    <row r="70" spans="1:13" ht="26.25" customHeight="1" x14ac:dyDescent="0.25">
      <c r="A70" s="232" t="s">
        <v>77</v>
      </c>
      <c r="B70" s="233"/>
      <c r="C70" s="227"/>
      <c r="D70" s="230"/>
      <c r="E70" s="130">
        <v>3</v>
      </c>
      <c r="F70" s="84"/>
      <c r="G70" s="137" t="str">
        <f>IF(ISBLANK(F70),"-",(F70/$D$50*$D$47*$B$68)*($B$57/$D$68))</f>
        <v>-</v>
      </c>
      <c r="H70" s="132" t="str">
        <f t="shared" si="0"/>
        <v>-</v>
      </c>
    </row>
    <row r="71" spans="1:13" ht="27" customHeight="1" thickBot="1" x14ac:dyDescent="0.3">
      <c r="A71" s="234"/>
      <c r="B71" s="235"/>
      <c r="C71" s="228"/>
      <c r="D71" s="231"/>
      <c r="E71" s="133">
        <v>4</v>
      </c>
      <c r="F71" s="134"/>
      <c r="G71" s="139" t="str">
        <f>IF(ISBLANK(F71),"-",(F71/$D$50*$D$47*$B$68)*($B$57/$D$68))</f>
        <v>-</v>
      </c>
      <c r="H71" s="144" t="str">
        <f t="shared" si="0"/>
        <v>-</v>
      </c>
    </row>
    <row r="72" spans="1:13" ht="26.25" customHeight="1" x14ac:dyDescent="0.25">
      <c r="A72" s="103"/>
      <c r="B72" s="103"/>
      <c r="C72" s="103"/>
      <c r="D72" s="103"/>
      <c r="E72" s="103"/>
      <c r="F72" s="103"/>
      <c r="G72" s="145" t="s">
        <v>70</v>
      </c>
      <c r="H72" s="146">
        <f>AVERAGE(H60:H71)</f>
        <v>0.80862903209799297</v>
      </c>
    </row>
    <row r="73" spans="1:13" ht="26.25" customHeight="1" x14ac:dyDescent="0.3">
      <c r="C73" s="103"/>
      <c r="D73" s="103"/>
      <c r="E73" s="103"/>
      <c r="F73" s="103"/>
      <c r="G73" s="116" t="s">
        <v>83</v>
      </c>
      <c r="H73" s="147">
        <f>STDEV(H60:H71)/H72</f>
        <v>9.8034082570785785E-3</v>
      </c>
    </row>
    <row r="74" spans="1:13" ht="27" customHeight="1" thickBot="1" x14ac:dyDescent="0.3">
      <c r="A74" s="103"/>
      <c r="B74" s="103"/>
      <c r="C74" s="103"/>
      <c r="D74" s="103"/>
      <c r="E74" s="106"/>
      <c r="F74" s="103"/>
      <c r="G74" s="118" t="s">
        <v>15</v>
      </c>
      <c r="H74" s="148">
        <f>COUNT(H60:H71)</f>
        <v>6</v>
      </c>
    </row>
    <row r="75" spans="1:13" s="102" customFormat="1" ht="26.25" x14ac:dyDescent="0.2">
      <c r="A75" s="103"/>
      <c r="B75" s="103"/>
      <c r="C75" s="103"/>
      <c r="D75" s="103"/>
      <c r="E75" s="106"/>
      <c r="F75" s="103"/>
      <c r="G75" s="58"/>
      <c r="H75" s="59" t="s">
        <v>130</v>
      </c>
    </row>
    <row r="76" spans="1:13" s="102" customFormat="1" ht="26.25" customHeight="1" x14ac:dyDescent="0.2">
      <c r="A76" s="57" t="s">
        <v>105</v>
      </c>
      <c r="B76" s="58" t="s">
        <v>106</v>
      </c>
      <c r="C76" s="214" t="str">
        <f>B20</f>
        <v xml:space="preserve">Pantoprazole  </v>
      </c>
      <c r="D76" s="214"/>
      <c r="E76" s="53" t="s">
        <v>107</v>
      </c>
      <c r="F76" s="53"/>
      <c r="G76" s="150">
        <f>H72</f>
        <v>0.80862903209799297</v>
      </c>
      <c r="H76" s="388">
        <f>AVERAGE('Pantoprazole '!H60:H71,H60:H71)</f>
        <v>0.83820585567634587</v>
      </c>
      <c r="I76" s="387"/>
    </row>
    <row r="77" spans="1:13" s="386" customFormat="1" ht="26.25" customHeight="1" x14ac:dyDescent="0.2">
      <c r="A77" s="57"/>
      <c r="B77" s="58"/>
      <c r="C77" s="149"/>
      <c r="D77" s="149"/>
      <c r="E77" s="53"/>
      <c r="F77" s="53"/>
      <c r="G77" s="150"/>
      <c r="H77" s="389">
        <f>STDEV('Pantoprazole '!H60:H71,H60:H71)/H76</f>
        <v>3.2384714489508949E-2</v>
      </c>
    </row>
    <row r="78" spans="1:13" s="48" customFormat="1" ht="26.25" x14ac:dyDescent="0.25">
      <c r="A78" s="103"/>
      <c r="B78" s="103"/>
      <c r="C78" s="103"/>
      <c r="D78" s="103"/>
      <c r="E78" s="106"/>
      <c r="F78" s="103"/>
      <c r="G78" s="58"/>
      <c r="H78" s="390">
        <f>COUNT('Pantoprazole '!H60:H71,H60:H71)</f>
        <v>15</v>
      </c>
      <c r="L78" s="50"/>
      <c r="M78" s="50"/>
    </row>
    <row r="79" spans="1:13" s="48" customFormat="1" ht="18.75" x14ac:dyDescent="0.3">
      <c r="A79" s="56"/>
      <c r="B79" s="56" t="s">
        <v>108</v>
      </c>
      <c r="C79" s="49"/>
      <c r="D79" s="49"/>
      <c r="E79" s="49"/>
      <c r="F79" s="49"/>
      <c r="G79" s="49"/>
      <c r="H79" s="49"/>
      <c r="L79" s="50"/>
      <c r="M79" s="50"/>
    </row>
    <row r="80" spans="1:13" s="48" customFormat="1" ht="18.75" x14ac:dyDescent="0.3">
      <c r="A80" s="56"/>
      <c r="B80" s="56"/>
      <c r="C80" s="49"/>
      <c r="D80" s="49"/>
      <c r="E80" s="49"/>
      <c r="F80" s="49"/>
      <c r="G80" s="49"/>
      <c r="H80" s="49"/>
      <c r="L80" s="50"/>
      <c r="M80" s="50"/>
    </row>
    <row r="81" spans="1:13" s="48" customFormat="1" ht="26.25" customHeight="1" x14ac:dyDescent="0.3">
      <c r="A81" s="57" t="s">
        <v>4</v>
      </c>
      <c r="B81" s="59" t="str">
        <f>B26</f>
        <v>Pantoprazole Sodium Sesquihydrate</v>
      </c>
      <c r="C81" s="49"/>
      <c r="D81" s="49"/>
      <c r="E81" s="49"/>
      <c r="F81" s="49"/>
      <c r="G81" s="49"/>
      <c r="H81" s="49"/>
      <c r="L81" s="50"/>
      <c r="M81" s="50"/>
    </row>
    <row r="82" spans="1:13" ht="26.25" customHeight="1" x14ac:dyDescent="0.3">
      <c r="A82" s="58" t="s">
        <v>48</v>
      </c>
      <c r="B82" s="59" t="str">
        <f>B27</f>
        <v>P11-1</v>
      </c>
    </row>
    <row r="83" spans="1:13" ht="27" customHeight="1" thickBot="1" x14ac:dyDescent="0.35">
      <c r="A83" s="58" t="s">
        <v>5</v>
      </c>
      <c r="B83" s="59">
        <f>B28</f>
        <v>93.8</v>
      </c>
    </row>
    <row r="84" spans="1:13" s="61" customFormat="1" ht="27" customHeight="1" thickBot="1" x14ac:dyDescent="0.35">
      <c r="A84" s="58" t="s">
        <v>49</v>
      </c>
      <c r="B84" s="59">
        <f>B29</f>
        <v>0</v>
      </c>
      <c r="C84" s="216" t="s">
        <v>50</v>
      </c>
      <c r="D84" s="217"/>
      <c r="E84" s="217"/>
      <c r="F84" s="217"/>
      <c r="G84" s="217"/>
      <c r="H84" s="218"/>
      <c r="I84" s="60"/>
      <c r="J84" s="60"/>
      <c r="K84" s="60"/>
    </row>
    <row r="85" spans="1:13" s="61" customFormat="1" ht="19.5" customHeight="1" thickBot="1" x14ac:dyDescent="0.35">
      <c r="A85" s="58" t="s">
        <v>51</v>
      </c>
      <c r="B85" s="149">
        <f>B83-B84</f>
        <v>93.8</v>
      </c>
      <c r="C85" s="62"/>
      <c r="D85" s="62"/>
      <c r="E85" s="62"/>
      <c r="F85" s="62"/>
      <c r="G85" s="62"/>
      <c r="H85" s="63"/>
      <c r="I85" s="60"/>
      <c r="J85" s="60"/>
      <c r="K85" s="60"/>
    </row>
    <row r="86" spans="1:13" s="61" customFormat="1" ht="27" customHeight="1" thickBot="1" x14ac:dyDescent="0.35">
      <c r="A86" s="58" t="s">
        <v>52</v>
      </c>
      <c r="B86" s="64">
        <v>383.37</v>
      </c>
      <c r="C86" s="219" t="s">
        <v>53</v>
      </c>
      <c r="D86" s="220"/>
      <c r="E86" s="220"/>
      <c r="F86" s="220"/>
      <c r="G86" s="220"/>
      <c r="H86" s="221"/>
      <c r="I86" s="60"/>
      <c r="J86" s="60"/>
      <c r="K86" s="60"/>
    </row>
    <row r="87" spans="1:13" s="61" customFormat="1" ht="27" customHeight="1" thickBot="1" x14ac:dyDescent="0.35">
      <c r="A87" s="58" t="s">
        <v>54</v>
      </c>
      <c r="B87" s="64">
        <v>432.4</v>
      </c>
      <c r="C87" s="219" t="s">
        <v>55</v>
      </c>
      <c r="D87" s="220"/>
      <c r="E87" s="220"/>
      <c r="F87" s="220"/>
      <c r="G87" s="220"/>
      <c r="H87" s="221"/>
      <c r="I87" s="60"/>
      <c r="J87" s="60"/>
      <c r="K87" s="60"/>
    </row>
    <row r="88" spans="1:13" s="61" customFormat="1" ht="18.75" x14ac:dyDescent="0.3">
      <c r="A88" s="58"/>
      <c r="B88" s="67"/>
      <c r="C88" s="68"/>
      <c r="D88" s="68"/>
      <c r="E88" s="68"/>
      <c r="F88" s="68"/>
      <c r="G88" s="68"/>
      <c r="H88" s="68"/>
      <c r="I88" s="60"/>
      <c r="J88" s="60"/>
      <c r="K88" s="60"/>
    </row>
    <row r="89" spans="1:13" s="61" customFormat="1" ht="18.75" x14ac:dyDescent="0.3">
      <c r="A89" s="58" t="s">
        <v>56</v>
      </c>
      <c r="B89" s="69">
        <f>B86/B87</f>
        <v>0.88660962072155414</v>
      </c>
      <c r="C89" s="53" t="s">
        <v>57</v>
      </c>
      <c r="D89" s="53"/>
      <c r="E89" s="53"/>
      <c r="F89" s="53"/>
      <c r="G89" s="53"/>
      <c r="H89" s="70"/>
      <c r="I89" s="60"/>
      <c r="J89" s="60"/>
      <c r="K89" s="60"/>
    </row>
    <row r="90" spans="1:13" ht="19.5" customHeight="1" thickBot="1" x14ac:dyDescent="0.35">
      <c r="A90" s="56"/>
      <c r="B90" s="56"/>
    </row>
    <row r="91" spans="1:13" ht="27" customHeight="1" thickBot="1" x14ac:dyDescent="0.35">
      <c r="A91" s="71" t="s">
        <v>58</v>
      </c>
      <c r="B91" s="72">
        <v>50</v>
      </c>
      <c r="D91" s="151" t="s">
        <v>59</v>
      </c>
      <c r="E91" s="152"/>
      <c r="F91" s="222" t="s">
        <v>60</v>
      </c>
      <c r="G91" s="223"/>
    </row>
    <row r="92" spans="1:13" ht="26.25" customHeight="1" x14ac:dyDescent="0.3">
      <c r="A92" s="73" t="s">
        <v>61</v>
      </c>
      <c r="B92" s="74">
        <v>1</v>
      </c>
      <c r="C92" s="202" t="s">
        <v>62</v>
      </c>
      <c r="D92" s="76" t="s">
        <v>63</v>
      </c>
      <c r="E92" s="77" t="s">
        <v>64</v>
      </c>
      <c r="F92" s="76" t="s">
        <v>63</v>
      </c>
      <c r="G92" s="78" t="s">
        <v>64</v>
      </c>
    </row>
    <row r="93" spans="1:13" ht="26.25" customHeight="1" x14ac:dyDescent="0.3">
      <c r="A93" s="73" t="s">
        <v>65</v>
      </c>
      <c r="B93" s="74">
        <v>20</v>
      </c>
      <c r="C93" s="153">
        <v>1</v>
      </c>
      <c r="D93" s="80">
        <v>3296847</v>
      </c>
      <c r="E93" s="81">
        <f>IF(ISBLANK(D93),"-",$D$103/$D$100*D93)</f>
        <v>8284791.3022538908</v>
      </c>
      <c r="F93" s="80">
        <v>3354255</v>
      </c>
      <c r="G93" s="82">
        <f>IF(ISBLANK(F93),"-",$D$103/$F$100*F93)</f>
        <v>8354847.2737665661</v>
      </c>
    </row>
    <row r="94" spans="1:13" ht="26.25" customHeight="1" x14ac:dyDescent="0.3">
      <c r="A94" s="73" t="s">
        <v>66</v>
      </c>
      <c r="B94" s="74">
        <v>1</v>
      </c>
      <c r="C94" s="103">
        <v>2</v>
      </c>
      <c r="D94" s="84">
        <v>3309776</v>
      </c>
      <c r="E94" s="85">
        <f>IF(ISBLANK(D94),"-",$D$103/$D$100*D94)</f>
        <v>8317281.1529345075</v>
      </c>
      <c r="F94" s="84">
        <v>3351700</v>
      </c>
      <c r="G94" s="86">
        <f>IF(ISBLANK(F94),"-",$D$103/$F$100*F94)</f>
        <v>8348483.2272690656</v>
      </c>
    </row>
    <row r="95" spans="1:13" ht="26.25" customHeight="1" x14ac:dyDescent="0.3">
      <c r="A95" s="73" t="s">
        <v>67</v>
      </c>
      <c r="B95" s="74">
        <v>1</v>
      </c>
      <c r="C95" s="103">
        <v>3</v>
      </c>
      <c r="D95" s="84">
        <v>3298200</v>
      </c>
      <c r="E95" s="85">
        <f>IF(ISBLANK(D95),"-",$D$103/$D$100*D95)</f>
        <v>8288191.3152456824</v>
      </c>
      <c r="F95" s="84">
        <v>3331433</v>
      </c>
      <c r="G95" s="86">
        <f>IF(ISBLANK(F95),"-",$D$103/$F$100*F95)</f>
        <v>8298001.7672436871</v>
      </c>
    </row>
    <row r="96" spans="1:13" ht="26.25" customHeight="1" x14ac:dyDescent="0.3">
      <c r="A96" s="73" t="s">
        <v>68</v>
      </c>
      <c r="B96" s="74">
        <v>1</v>
      </c>
      <c r="C96" s="204">
        <v>4</v>
      </c>
      <c r="D96" s="89"/>
      <c r="E96" s="90" t="str">
        <f>IF(ISBLANK(D96),"-",$D$103/$D$100*D96)</f>
        <v>-</v>
      </c>
      <c r="F96" s="154"/>
      <c r="G96" s="91" t="str">
        <f>IF(ISBLANK(F96),"-",$D$103/$F$100*F96)</f>
        <v>-</v>
      </c>
    </row>
    <row r="97" spans="1:13" ht="27" customHeight="1" thickBot="1" x14ac:dyDescent="0.35">
      <c r="A97" s="73" t="s">
        <v>69</v>
      </c>
      <c r="B97" s="74">
        <v>1</v>
      </c>
      <c r="C97" s="58" t="s">
        <v>70</v>
      </c>
      <c r="D97" s="155">
        <f>AVERAGE(D93:D96)</f>
        <v>3301607.6666666665</v>
      </c>
      <c r="E97" s="94">
        <f>AVERAGE(E93:E96)</f>
        <v>8296754.5901446939</v>
      </c>
      <c r="F97" s="156">
        <f>AVERAGE(F93:F96)</f>
        <v>3345796</v>
      </c>
      <c r="G97" s="157">
        <f>AVERAGE(G93:G96)</f>
        <v>8333777.4227597723</v>
      </c>
    </row>
    <row r="98" spans="1:13" s="48" customFormat="1" ht="26.25" customHeight="1" x14ac:dyDescent="0.3">
      <c r="A98" s="73" t="s">
        <v>71</v>
      </c>
      <c r="B98" s="59">
        <v>1</v>
      </c>
      <c r="C98" s="98" t="s">
        <v>72</v>
      </c>
      <c r="D98" s="158">
        <v>19.14</v>
      </c>
      <c r="E98" s="53"/>
      <c r="F98" s="100">
        <v>19.309999999999999</v>
      </c>
      <c r="G98" s="49"/>
      <c r="H98" s="49"/>
      <c r="L98" s="50"/>
      <c r="M98" s="50"/>
    </row>
    <row r="99" spans="1:13" s="48" customFormat="1" ht="26.25" customHeight="1" x14ac:dyDescent="0.3">
      <c r="A99" s="73" t="s">
        <v>73</v>
      </c>
      <c r="B99" s="59">
        <v>1</v>
      </c>
      <c r="C99" s="101" t="s">
        <v>74</v>
      </c>
      <c r="D99" s="102">
        <f>D98*$B$89</f>
        <v>16.969708140610546</v>
      </c>
      <c r="E99" s="103"/>
      <c r="F99" s="104">
        <f>F98*$B$89</f>
        <v>17.120431776133209</v>
      </c>
      <c r="G99" s="49"/>
      <c r="H99" s="49"/>
      <c r="L99" s="50"/>
      <c r="M99" s="50"/>
    </row>
    <row r="100" spans="1:13" s="48" customFormat="1" ht="19.5" customHeight="1" thickBot="1" x14ac:dyDescent="0.35">
      <c r="A100" s="73" t="s">
        <v>75</v>
      </c>
      <c r="B100" s="149">
        <f>(B99/B98)*(B97/B96)*(B95/B94)*(B93/B92)*B91</f>
        <v>1000</v>
      </c>
      <c r="C100" s="101" t="s">
        <v>76</v>
      </c>
      <c r="D100" s="105">
        <f>D99*$B$85/100</f>
        <v>15.91758623589269</v>
      </c>
      <c r="E100" s="106"/>
      <c r="F100" s="107">
        <f>F99*$B$85/100</f>
        <v>16.058965006012951</v>
      </c>
      <c r="G100" s="49"/>
      <c r="H100" s="49"/>
      <c r="L100" s="50"/>
      <c r="M100" s="50"/>
    </row>
    <row r="101" spans="1:13" s="48" customFormat="1" ht="19.5" customHeight="1" thickBot="1" x14ac:dyDescent="0.3">
      <c r="A101" s="210" t="s">
        <v>77</v>
      </c>
      <c r="B101" s="224"/>
      <c r="C101" s="101" t="s">
        <v>78</v>
      </c>
      <c r="D101" s="159">
        <f>D100/$B$100</f>
        <v>1.5917586235892692E-2</v>
      </c>
      <c r="E101" s="106"/>
      <c r="F101" s="160">
        <f>F100/$B$100</f>
        <v>1.6058965006012952E-2</v>
      </c>
      <c r="G101" s="161"/>
      <c r="H101" s="97"/>
      <c r="L101" s="50"/>
      <c r="M101" s="50"/>
    </row>
    <row r="102" spans="1:13" s="48" customFormat="1" ht="19.5" customHeight="1" thickBot="1" x14ac:dyDescent="0.35">
      <c r="A102" s="212"/>
      <c r="B102" s="225"/>
      <c r="C102" s="101" t="s">
        <v>79</v>
      </c>
      <c r="D102" s="162">
        <f>$B$56/$B$137</f>
        <v>0.04</v>
      </c>
      <c r="E102" s="49"/>
      <c r="F102" s="110"/>
      <c r="G102" s="163"/>
      <c r="H102" s="97"/>
      <c r="L102" s="50"/>
      <c r="M102" s="50"/>
    </row>
    <row r="103" spans="1:13" s="48" customFormat="1" ht="18.75" x14ac:dyDescent="0.3">
      <c r="A103" s="49"/>
      <c r="B103" s="49"/>
      <c r="C103" s="101" t="s">
        <v>80</v>
      </c>
      <c r="D103" s="102">
        <f>D102*$B$100</f>
        <v>40</v>
      </c>
      <c r="E103" s="49"/>
      <c r="F103" s="110"/>
      <c r="G103" s="161"/>
      <c r="H103" s="97"/>
      <c r="L103" s="50"/>
      <c r="M103" s="50"/>
    </row>
    <row r="104" spans="1:13" s="48" customFormat="1" ht="19.5" customHeight="1" thickBot="1" x14ac:dyDescent="0.35">
      <c r="A104" s="49"/>
      <c r="B104" s="49"/>
      <c r="C104" s="111" t="s">
        <v>81</v>
      </c>
      <c r="D104" s="112">
        <f>D103/B34</f>
        <v>45.115684586691707</v>
      </c>
      <c r="E104" s="49"/>
      <c r="F104" s="113"/>
      <c r="G104" s="161"/>
      <c r="H104" s="97"/>
      <c r="I104" s="164"/>
      <c r="L104" s="50"/>
      <c r="M104" s="50"/>
    </row>
    <row r="105" spans="1:13" s="48" customFormat="1" ht="18.75" x14ac:dyDescent="0.3">
      <c r="A105" s="49"/>
      <c r="B105" s="49"/>
      <c r="C105" s="114" t="s">
        <v>109</v>
      </c>
      <c r="D105" s="115">
        <f>AVERAGE(E93:E96,G93:G96)</f>
        <v>8315266.0064522326</v>
      </c>
      <c r="E105" s="49"/>
      <c r="F105" s="113"/>
      <c r="G105" s="163"/>
      <c r="H105" s="97"/>
      <c r="I105" s="165"/>
      <c r="L105" s="50"/>
      <c r="M105" s="50"/>
    </row>
    <row r="106" spans="1:13" s="48" customFormat="1" ht="18.75" x14ac:dyDescent="0.3">
      <c r="A106" s="49"/>
      <c r="B106" s="49"/>
      <c r="C106" s="116" t="s">
        <v>83</v>
      </c>
      <c r="D106" s="166">
        <f>STDEV(E93:E96,G93:G96)/D105</f>
        <v>3.6611135511020916E-3</v>
      </c>
      <c r="E106" s="49"/>
      <c r="F106" s="113"/>
      <c r="G106" s="161"/>
      <c r="H106" s="97"/>
      <c r="I106" s="165"/>
      <c r="L106" s="50"/>
      <c r="M106" s="50"/>
    </row>
    <row r="107" spans="1:13" s="48" customFormat="1" ht="19.5" customHeight="1" thickBot="1" x14ac:dyDescent="0.35">
      <c r="A107" s="49"/>
      <c r="B107" s="49"/>
      <c r="C107" s="118" t="s">
        <v>15</v>
      </c>
      <c r="D107" s="167">
        <f>COUNT(E93:E96,G93:G96)</f>
        <v>6</v>
      </c>
      <c r="E107" s="49"/>
      <c r="F107" s="113"/>
      <c r="G107" s="161"/>
      <c r="H107" s="97"/>
      <c r="I107" s="165"/>
      <c r="L107" s="50"/>
      <c r="M107" s="50"/>
    </row>
    <row r="108" spans="1:13" s="102" customFormat="1" ht="18.75" x14ac:dyDescent="0.3">
      <c r="A108" s="53"/>
      <c r="B108" s="53"/>
      <c r="C108" s="58"/>
      <c r="D108" s="149"/>
      <c r="E108" s="53"/>
      <c r="F108" s="113"/>
      <c r="G108" s="161"/>
      <c r="H108" s="97"/>
      <c r="I108" s="165"/>
    </row>
    <row r="109" spans="1:13" s="102" customFormat="1" ht="18.75" x14ac:dyDescent="0.3">
      <c r="A109" s="56" t="s">
        <v>110</v>
      </c>
      <c r="B109" s="53"/>
      <c r="C109" s="58"/>
      <c r="D109" s="149"/>
      <c r="E109" s="53"/>
      <c r="F109" s="113"/>
      <c r="G109" s="161"/>
      <c r="H109" s="97"/>
      <c r="I109" s="165"/>
    </row>
    <row r="110" spans="1:13" s="48" customFormat="1" ht="19.5" customHeight="1" thickBot="1" x14ac:dyDescent="0.35">
      <c r="A110" s="120"/>
      <c r="B110" s="120"/>
      <c r="C110" s="120"/>
      <c r="D110" s="120"/>
      <c r="E110" s="120"/>
      <c r="F110" s="49"/>
      <c r="G110" s="49"/>
      <c r="H110" s="49"/>
      <c r="L110" s="50"/>
      <c r="M110" s="50"/>
    </row>
    <row r="111" spans="1:13" s="48" customFormat="1" ht="26.25" customHeight="1" x14ac:dyDescent="0.3">
      <c r="A111" s="71" t="s">
        <v>111</v>
      </c>
      <c r="B111" s="72">
        <v>1000</v>
      </c>
      <c r="C111" s="151" t="s">
        <v>112</v>
      </c>
      <c r="D111" s="168" t="s">
        <v>63</v>
      </c>
      <c r="E111" s="169" t="s">
        <v>113</v>
      </c>
      <c r="F111" s="170" t="s">
        <v>114</v>
      </c>
      <c r="G111" s="49"/>
      <c r="H111" s="49"/>
      <c r="L111" s="50"/>
      <c r="M111" s="50"/>
    </row>
    <row r="112" spans="1:13" s="48" customFormat="1" ht="26.25" customHeight="1" x14ac:dyDescent="0.3">
      <c r="A112" s="73" t="s">
        <v>92</v>
      </c>
      <c r="B112" s="74">
        <v>1</v>
      </c>
      <c r="C112" s="171">
        <v>1</v>
      </c>
      <c r="D112" s="172">
        <v>9116</v>
      </c>
      <c r="E112" s="173">
        <f t="shared" ref="E112:E117" si="1">IF(ISBLANK(D112),"-",D112/$D$105*$D$102*$B$120)</f>
        <v>4.385187433776111E-2</v>
      </c>
      <c r="F112" s="174">
        <f t="shared" ref="F112:F117" si="2">IF(ISBLANK(D112), "-", E112/$B$56)</f>
        <v>1.0962968584440277E-3</v>
      </c>
      <c r="G112" s="49"/>
      <c r="H112" s="49"/>
      <c r="L112" s="50"/>
      <c r="M112" s="50"/>
    </row>
    <row r="113" spans="1:13" s="48" customFormat="1" ht="26.25" customHeight="1" x14ac:dyDescent="0.3">
      <c r="A113" s="73" t="s">
        <v>94</v>
      </c>
      <c r="B113" s="74">
        <v>1</v>
      </c>
      <c r="C113" s="171">
        <v>2</v>
      </c>
      <c r="D113" s="172">
        <v>10567</v>
      </c>
      <c r="E113" s="175">
        <f t="shared" si="1"/>
        <v>5.0831807385599136E-2</v>
      </c>
      <c r="F113" s="176">
        <f t="shared" si="2"/>
        <v>1.2707951846399783E-3</v>
      </c>
      <c r="G113" s="49"/>
      <c r="H113" s="49"/>
      <c r="L113" s="50"/>
      <c r="M113" s="50"/>
    </row>
    <row r="114" spans="1:13" s="48" customFormat="1" ht="26.25" customHeight="1" x14ac:dyDescent="0.3">
      <c r="A114" s="73" t="s">
        <v>95</v>
      </c>
      <c r="B114" s="74">
        <v>1</v>
      </c>
      <c r="C114" s="171">
        <v>3</v>
      </c>
      <c r="D114" s="172">
        <v>9016</v>
      </c>
      <c r="E114" s="175">
        <f t="shared" si="1"/>
        <v>4.3370831398557942E-2</v>
      </c>
      <c r="F114" s="176">
        <f t="shared" si="2"/>
        <v>1.0842707849639485E-3</v>
      </c>
      <c r="G114" s="49"/>
      <c r="H114" s="49"/>
      <c r="L114" s="50"/>
      <c r="M114" s="50"/>
    </row>
    <row r="115" spans="1:13" s="48" customFormat="1" ht="26.25" customHeight="1" x14ac:dyDescent="0.3">
      <c r="A115" s="73" t="s">
        <v>96</v>
      </c>
      <c r="B115" s="74">
        <v>1</v>
      </c>
      <c r="C115" s="171">
        <v>4</v>
      </c>
      <c r="D115" s="172">
        <v>8759</v>
      </c>
      <c r="E115" s="175">
        <f t="shared" si="1"/>
        <v>4.2134551044805797E-2</v>
      </c>
      <c r="F115" s="176">
        <f t="shared" si="2"/>
        <v>1.053363776120145E-3</v>
      </c>
      <c r="G115" s="49"/>
      <c r="H115" s="49"/>
      <c r="L115" s="50"/>
      <c r="M115" s="50"/>
    </row>
    <row r="116" spans="1:13" s="48" customFormat="1" ht="26.25" customHeight="1" x14ac:dyDescent="0.3">
      <c r="A116" s="73" t="s">
        <v>97</v>
      </c>
      <c r="B116" s="74">
        <v>1</v>
      </c>
      <c r="C116" s="171">
        <v>5</v>
      </c>
      <c r="D116" s="172">
        <v>11163</v>
      </c>
      <c r="E116" s="175">
        <f t="shared" si="1"/>
        <v>5.3698823303250036E-2</v>
      </c>
      <c r="F116" s="176">
        <f t="shared" si="2"/>
        <v>1.3424705825812509E-3</v>
      </c>
      <c r="G116" s="49"/>
      <c r="H116" s="49"/>
      <c r="L116" s="50"/>
      <c r="M116" s="50"/>
    </row>
    <row r="117" spans="1:13" s="48" customFormat="1" ht="26.25" customHeight="1" x14ac:dyDescent="0.3">
      <c r="A117" s="73" t="s">
        <v>99</v>
      </c>
      <c r="B117" s="74">
        <v>1</v>
      </c>
      <c r="C117" s="177">
        <v>6</v>
      </c>
      <c r="D117" s="178">
        <v>9268</v>
      </c>
      <c r="E117" s="179">
        <f t="shared" si="1"/>
        <v>4.4583059605349938E-2</v>
      </c>
      <c r="F117" s="180">
        <f t="shared" si="2"/>
        <v>1.1145764901337484E-3</v>
      </c>
      <c r="G117" s="49"/>
      <c r="H117" s="49"/>
      <c r="L117" s="50"/>
      <c r="M117" s="50"/>
    </row>
    <row r="118" spans="1:13" s="48" customFormat="1" ht="26.25" customHeight="1" x14ac:dyDescent="0.3">
      <c r="A118" s="73" t="s">
        <v>100</v>
      </c>
      <c r="B118" s="74">
        <v>1</v>
      </c>
      <c r="C118" s="171"/>
      <c r="D118" s="103"/>
      <c r="E118" s="53"/>
      <c r="F118" s="181"/>
      <c r="G118" s="59" t="s">
        <v>130</v>
      </c>
      <c r="H118" s="49"/>
      <c r="L118" s="50"/>
      <c r="M118" s="50"/>
    </row>
    <row r="119" spans="1:13" s="48" customFormat="1" ht="26.25" customHeight="1" x14ac:dyDescent="0.3">
      <c r="A119" s="73" t="s">
        <v>101</v>
      </c>
      <c r="B119" s="74">
        <v>1</v>
      </c>
      <c r="C119" s="171"/>
      <c r="D119" s="182"/>
      <c r="E119" s="183" t="s">
        <v>70</v>
      </c>
      <c r="F119" s="184">
        <f>AVERAGE(F112:F117)</f>
        <v>1.1602956128138498E-3</v>
      </c>
      <c r="G119" s="388">
        <f>AVERAGE('Pantoprazole '!F111:F116,F112:F117)</f>
        <v>1.1404942573399622E-3</v>
      </c>
      <c r="H119" s="49"/>
      <c r="L119" s="50"/>
      <c r="M119" s="50"/>
    </row>
    <row r="120" spans="1:13" s="48" customFormat="1" ht="27" customHeight="1" thickBot="1" x14ac:dyDescent="0.35">
      <c r="A120" s="73" t="s">
        <v>102</v>
      </c>
      <c r="B120" s="141">
        <f>(B119/B118)*(B117/B116)*(B115/B114)*(B113/B112)*B111</f>
        <v>1000</v>
      </c>
      <c r="C120" s="185"/>
      <c r="D120" s="186"/>
      <c r="E120" s="58" t="s">
        <v>83</v>
      </c>
      <c r="F120" s="187">
        <f>STDEV(F112:F117)/F119</f>
        <v>0.10109617277810298</v>
      </c>
      <c r="G120" s="391">
        <f>STDEV('Pantoprazole '!F111:F116,F112:F117)/G119</f>
        <v>0.11593025053407022</v>
      </c>
      <c r="H120" s="49"/>
      <c r="L120" s="50"/>
      <c r="M120" s="50"/>
    </row>
    <row r="121" spans="1:13" s="48" customFormat="1" ht="27" customHeight="1" thickBot="1" x14ac:dyDescent="0.35">
      <c r="A121" s="210" t="s">
        <v>77</v>
      </c>
      <c r="B121" s="211"/>
      <c r="C121" s="188"/>
      <c r="D121" s="189"/>
      <c r="E121" s="190" t="s">
        <v>15</v>
      </c>
      <c r="F121" s="191">
        <f>COUNT(F112:F117)</f>
        <v>6</v>
      </c>
      <c r="G121" s="390">
        <f>COUNT('Pantoprazole '!F111:F116,F112:F117)</f>
        <v>12</v>
      </c>
      <c r="H121" s="49"/>
      <c r="I121" s="165"/>
      <c r="L121" s="50"/>
      <c r="M121" s="50"/>
    </row>
    <row r="122" spans="1:13" s="48" customFormat="1" ht="19.5" customHeight="1" thickBot="1" x14ac:dyDescent="0.3">
      <c r="A122" s="212"/>
      <c r="B122" s="213"/>
      <c r="C122" s="53"/>
      <c r="D122" s="53"/>
      <c r="E122" s="53"/>
      <c r="F122" s="103"/>
      <c r="G122" s="53"/>
      <c r="H122" s="53"/>
      <c r="L122" s="50"/>
      <c r="M122" s="50"/>
    </row>
    <row r="123" spans="1:13" s="48" customFormat="1" ht="18.75" x14ac:dyDescent="0.25">
      <c r="A123" s="68"/>
      <c r="B123" s="68"/>
      <c r="C123" s="53"/>
      <c r="D123" s="53"/>
      <c r="E123" s="53"/>
      <c r="F123" s="103"/>
      <c r="G123" s="53"/>
      <c r="H123" s="53"/>
      <c r="L123" s="50"/>
      <c r="M123" s="50"/>
    </row>
    <row r="124" spans="1:13" s="48" customFormat="1" ht="26.25" customHeight="1" x14ac:dyDescent="0.25">
      <c r="A124" s="57" t="s">
        <v>115</v>
      </c>
      <c r="B124" s="58" t="s">
        <v>116</v>
      </c>
      <c r="C124" s="214" t="str">
        <f>B20</f>
        <v xml:space="preserve">Pantoprazole  </v>
      </c>
      <c r="D124" s="214"/>
      <c r="E124" s="53" t="s">
        <v>117</v>
      </c>
      <c r="F124" s="53"/>
      <c r="G124" s="150">
        <f>F119</f>
        <v>1.1602956128138498E-3</v>
      </c>
      <c r="H124" s="53"/>
      <c r="L124" s="50"/>
      <c r="M124" s="50"/>
    </row>
    <row r="125" spans="1:13" s="48" customFormat="1" ht="18.75" x14ac:dyDescent="0.25">
      <c r="A125" s="68"/>
      <c r="B125" s="68"/>
      <c r="C125" s="53"/>
      <c r="D125" s="53"/>
      <c r="E125" s="53"/>
      <c r="F125" s="103"/>
      <c r="G125" s="53"/>
      <c r="H125" s="53"/>
      <c r="L125" s="50"/>
      <c r="M125" s="50"/>
    </row>
    <row r="126" spans="1:13" s="48" customFormat="1" ht="18.75" x14ac:dyDescent="0.3">
      <c r="A126" s="56" t="s">
        <v>118</v>
      </c>
      <c r="B126" s="56"/>
      <c r="C126" s="49"/>
      <c r="D126" s="49"/>
      <c r="E126" s="49"/>
      <c r="F126" s="49"/>
      <c r="G126" s="49"/>
      <c r="H126" s="49"/>
      <c r="L126" s="50"/>
      <c r="M126" s="50"/>
    </row>
    <row r="127" spans="1:13" s="48" customFormat="1" ht="19.5" customHeight="1" thickBot="1" x14ac:dyDescent="0.35">
      <c r="A127" s="120"/>
      <c r="B127" s="120"/>
      <c r="C127" s="120"/>
      <c r="D127" s="120"/>
      <c r="E127" s="120"/>
      <c r="F127" s="49"/>
      <c r="G127" s="49"/>
      <c r="H127" s="49"/>
      <c r="L127" s="50"/>
      <c r="M127" s="50"/>
    </row>
    <row r="128" spans="1:13" s="48" customFormat="1" ht="26.25" customHeight="1" x14ac:dyDescent="0.3">
      <c r="A128" s="71" t="s">
        <v>111</v>
      </c>
      <c r="B128" s="72">
        <v>1000</v>
      </c>
      <c r="C128" s="151" t="s">
        <v>112</v>
      </c>
      <c r="D128" s="168" t="s">
        <v>63</v>
      </c>
      <c r="E128" s="169" t="s">
        <v>113</v>
      </c>
      <c r="F128" s="170" t="s">
        <v>114</v>
      </c>
      <c r="G128" s="49"/>
      <c r="H128" s="49"/>
      <c r="L128" s="50"/>
      <c r="M128" s="50"/>
    </row>
    <row r="129" spans="1:13" s="48" customFormat="1" ht="26.25" customHeight="1" x14ac:dyDescent="0.3">
      <c r="A129" s="73" t="s">
        <v>92</v>
      </c>
      <c r="B129" s="74">
        <v>1</v>
      </c>
      <c r="C129" s="171">
        <v>1</v>
      </c>
      <c r="D129" s="172">
        <v>26164</v>
      </c>
      <c r="E129" s="192">
        <f t="shared" ref="E129:E134" si="3">IF(ISBLANK(D129),"-",D129/$D$105*$D$102*$B$137)</f>
        <v>0.12586007461311779</v>
      </c>
      <c r="F129" s="193">
        <f t="shared" ref="F129:F134" si="4">IF(ISBLANK(D129), "-", E129/$B$56)</f>
        <v>3.146501865327945E-3</v>
      </c>
      <c r="G129" s="49"/>
      <c r="H129" s="49"/>
      <c r="L129" s="50"/>
      <c r="M129" s="50"/>
    </row>
    <row r="130" spans="1:13" s="48" customFormat="1" ht="26.25" customHeight="1" x14ac:dyDescent="0.3">
      <c r="A130" s="73" t="s">
        <v>94</v>
      </c>
      <c r="B130" s="74">
        <v>1</v>
      </c>
      <c r="C130" s="171">
        <v>2</v>
      </c>
      <c r="D130" s="172">
        <v>22513</v>
      </c>
      <c r="E130" s="194">
        <f t="shared" si="3"/>
        <v>0.10829719690281001</v>
      </c>
      <c r="F130" s="138">
        <f t="shared" si="4"/>
        <v>2.7074299225702501E-3</v>
      </c>
      <c r="G130" s="49"/>
      <c r="H130" s="49"/>
      <c r="L130" s="50"/>
      <c r="M130" s="50"/>
    </row>
    <row r="131" spans="1:13" s="48" customFormat="1" ht="26.25" customHeight="1" x14ac:dyDescent="0.3">
      <c r="A131" s="73" t="s">
        <v>95</v>
      </c>
      <c r="B131" s="74">
        <v>1</v>
      </c>
      <c r="C131" s="171">
        <v>3</v>
      </c>
      <c r="D131" s="172">
        <v>18290</v>
      </c>
      <c r="E131" s="194">
        <f t="shared" si="3"/>
        <v>8.7982753580260059E-2</v>
      </c>
      <c r="F131" s="138">
        <f t="shared" si="4"/>
        <v>2.1995688395065015E-3</v>
      </c>
      <c r="G131" s="49"/>
      <c r="H131" s="49"/>
      <c r="L131" s="50"/>
      <c r="M131" s="50"/>
    </row>
    <row r="132" spans="1:13" s="48" customFormat="1" ht="26.25" customHeight="1" x14ac:dyDescent="0.3">
      <c r="A132" s="73" t="s">
        <v>96</v>
      </c>
      <c r="B132" s="74">
        <v>1</v>
      </c>
      <c r="C132" s="171">
        <v>4</v>
      </c>
      <c r="D132" s="172">
        <v>18967</v>
      </c>
      <c r="E132" s="194">
        <f t="shared" si="3"/>
        <v>9.123941427866554E-2</v>
      </c>
      <c r="F132" s="138">
        <f t="shared" si="4"/>
        <v>2.2809853569666387E-3</v>
      </c>
      <c r="G132" s="49"/>
      <c r="H132" s="49"/>
      <c r="L132" s="50"/>
      <c r="M132" s="50"/>
    </row>
    <row r="133" spans="1:13" s="48" customFormat="1" ht="26.25" customHeight="1" x14ac:dyDescent="0.3">
      <c r="A133" s="73" t="s">
        <v>97</v>
      </c>
      <c r="B133" s="74">
        <v>1</v>
      </c>
      <c r="C133" s="171">
        <v>5</v>
      </c>
      <c r="D133" s="172">
        <v>17838</v>
      </c>
      <c r="E133" s="194">
        <f t="shared" si="3"/>
        <v>8.5808439495061728E-2</v>
      </c>
      <c r="F133" s="138">
        <f t="shared" si="4"/>
        <v>2.1452109873765432E-3</v>
      </c>
      <c r="G133" s="49"/>
      <c r="H133" s="49"/>
      <c r="L133" s="50"/>
      <c r="M133" s="50"/>
    </row>
    <row r="134" spans="1:13" s="48" customFormat="1" ht="26.25" customHeight="1" x14ac:dyDescent="0.3">
      <c r="A134" s="73" t="s">
        <v>99</v>
      </c>
      <c r="B134" s="74">
        <v>1</v>
      </c>
      <c r="C134" s="177">
        <v>6</v>
      </c>
      <c r="D134" s="178">
        <v>15400</v>
      </c>
      <c r="E134" s="195">
        <f t="shared" si="3"/>
        <v>7.408061263728842E-2</v>
      </c>
      <c r="F134" s="196">
        <f t="shared" si="4"/>
        <v>1.8520153159322106E-3</v>
      </c>
      <c r="G134" s="49"/>
      <c r="H134" s="49"/>
      <c r="L134" s="50"/>
      <c r="M134" s="50"/>
    </row>
    <row r="135" spans="1:13" s="48" customFormat="1" ht="26.25" customHeight="1" x14ac:dyDescent="0.3">
      <c r="A135" s="73" t="s">
        <v>100</v>
      </c>
      <c r="B135" s="74">
        <v>1</v>
      </c>
      <c r="C135" s="171"/>
      <c r="D135" s="103"/>
      <c r="E135" s="53"/>
      <c r="F135" s="181"/>
      <c r="G135" s="59" t="s">
        <v>130</v>
      </c>
      <c r="H135" s="49"/>
      <c r="L135" s="50"/>
      <c r="M135" s="50"/>
    </row>
    <row r="136" spans="1:13" s="48" customFormat="1" ht="26.25" customHeight="1" x14ac:dyDescent="0.3">
      <c r="A136" s="73" t="s">
        <v>101</v>
      </c>
      <c r="B136" s="74">
        <v>1</v>
      </c>
      <c r="C136" s="171"/>
      <c r="D136" s="182"/>
      <c r="E136" s="183" t="s">
        <v>70</v>
      </c>
      <c r="F136" s="184">
        <f>AVERAGE(F129:F134)</f>
        <v>2.3886187146133484E-3</v>
      </c>
      <c r="G136" s="388">
        <f>AVERAGE('Pantoprazole '!F111:F116,F129:F134)</f>
        <v>1.7546558082397114E-3</v>
      </c>
      <c r="H136" s="49"/>
      <c r="L136" s="50"/>
      <c r="M136" s="50"/>
    </row>
    <row r="137" spans="1:13" s="48" customFormat="1" ht="27" customHeight="1" thickBot="1" x14ac:dyDescent="0.35">
      <c r="A137" s="73" t="s">
        <v>102</v>
      </c>
      <c r="B137" s="74">
        <f>(B136/B135)*(B134/B133)*(B132/B131)*(B130/B129)*B128</f>
        <v>1000</v>
      </c>
      <c r="C137" s="185"/>
      <c r="D137" s="53"/>
      <c r="E137" s="197" t="s">
        <v>83</v>
      </c>
      <c r="F137" s="187">
        <f>STDEV(F129:F134)/F136</f>
        <v>0.19371809104281568</v>
      </c>
      <c r="G137" s="391">
        <f>STDEV('Pantoprazole '!F111:F116,F129:F134)/G136</f>
        <v>0.42133740951616178</v>
      </c>
      <c r="H137" s="49"/>
      <c r="L137" s="50"/>
      <c r="M137" s="50"/>
    </row>
    <row r="138" spans="1:13" s="48" customFormat="1" ht="27" customHeight="1" thickBot="1" x14ac:dyDescent="0.35">
      <c r="A138" s="210" t="s">
        <v>77</v>
      </c>
      <c r="B138" s="211"/>
      <c r="C138" s="188"/>
      <c r="D138" s="198"/>
      <c r="E138" s="199" t="s">
        <v>15</v>
      </c>
      <c r="F138" s="191">
        <f>COUNT(F129:F134)</f>
        <v>6</v>
      </c>
      <c r="G138" s="390">
        <f>COUNT('Pantoprazole '!F111:F116,F129:F134)</f>
        <v>12</v>
      </c>
      <c r="H138" s="49"/>
      <c r="I138" s="165"/>
      <c r="L138" s="50"/>
      <c r="M138" s="50"/>
    </row>
    <row r="139" spans="1:13" s="48" customFormat="1" ht="19.5" customHeight="1" thickBot="1" x14ac:dyDescent="0.3">
      <c r="A139" s="212"/>
      <c r="B139" s="213"/>
      <c r="C139" s="53"/>
      <c r="D139" s="53"/>
      <c r="E139" s="53"/>
      <c r="F139" s="103"/>
      <c r="G139" s="53"/>
      <c r="H139" s="53"/>
      <c r="L139" s="50"/>
      <c r="M139" s="50"/>
    </row>
    <row r="140" spans="1:13" s="48" customFormat="1" ht="18.75" x14ac:dyDescent="0.25">
      <c r="A140" s="68"/>
      <c r="B140" s="68"/>
      <c r="C140" s="53"/>
      <c r="D140" s="53"/>
      <c r="E140" s="53"/>
      <c r="F140" s="103"/>
      <c r="G140" s="53"/>
      <c r="H140" s="53"/>
      <c r="L140" s="50"/>
      <c r="M140" s="50"/>
    </row>
    <row r="141" spans="1:13" s="48" customFormat="1" ht="26.25" customHeight="1" x14ac:dyDescent="0.25">
      <c r="A141" s="57" t="s">
        <v>115</v>
      </c>
      <c r="B141" s="58" t="s">
        <v>116</v>
      </c>
      <c r="C141" s="214" t="str">
        <f>B20</f>
        <v xml:space="preserve">Pantoprazole  </v>
      </c>
      <c r="D141" s="214"/>
      <c r="E141" s="53" t="s">
        <v>117</v>
      </c>
      <c r="F141" s="53"/>
      <c r="G141" s="150">
        <f>F136</f>
        <v>2.3886187146133484E-3</v>
      </c>
      <c r="H141" s="53"/>
      <c r="L141" s="50"/>
      <c r="M141" s="50"/>
    </row>
    <row r="142" spans="1:13" s="48" customFormat="1" ht="19.5" customHeight="1" thickBot="1" x14ac:dyDescent="0.3">
      <c r="A142" s="200"/>
      <c r="B142" s="200"/>
      <c r="C142" s="201"/>
      <c r="D142" s="201"/>
      <c r="E142" s="201"/>
      <c r="F142" s="201"/>
      <c r="G142" s="201"/>
      <c r="H142" s="201"/>
      <c r="L142" s="50"/>
      <c r="M142" s="50"/>
    </row>
    <row r="143" spans="1:13" s="48" customFormat="1" ht="18.75" x14ac:dyDescent="0.3">
      <c r="A143" s="49"/>
      <c r="B143" s="215" t="s">
        <v>21</v>
      </c>
      <c r="C143" s="215"/>
      <c r="D143" s="49"/>
      <c r="E143" s="202" t="s">
        <v>22</v>
      </c>
      <c r="F143" s="203"/>
      <c r="G143" s="215" t="s">
        <v>23</v>
      </c>
      <c r="H143" s="215"/>
      <c r="L143" s="50"/>
      <c r="M143" s="50"/>
    </row>
    <row r="144" spans="1:13" s="48" customFormat="1" ht="60" customHeight="1" x14ac:dyDescent="0.3">
      <c r="A144" s="57" t="s">
        <v>24</v>
      </c>
      <c r="B144" s="208"/>
      <c r="C144" s="208"/>
      <c r="D144" s="49"/>
      <c r="E144" s="205"/>
      <c r="F144" s="53"/>
      <c r="G144" s="205"/>
      <c r="H144" s="205"/>
      <c r="L144" s="50"/>
      <c r="M144" s="50"/>
    </row>
    <row r="145" spans="1:13" s="48" customFormat="1" ht="60" customHeight="1" x14ac:dyDescent="0.3">
      <c r="A145" s="57" t="s">
        <v>25</v>
      </c>
      <c r="B145" s="209"/>
      <c r="C145" s="209"/>
      <c r="D145" s="49"/>
      <c r="E145" s="206"/>
      <c r="F145" s="53"/>
      <c r="G145" s="207"/>
      <c r="H145" s="207"/>
      <c r="L145" s="50"/>
      <c r="M145" s="50"/>
    </row>
    <row r="146" spans="1:13" s="48" customFormat="1" ht="18.75" x14ac:dyDescent="0.25">
      <c r="A146" s="103"/>
      <c r="B146" s="103"/>
      <c r="C146" s="103"/>
      <c r="D146" s="103"/>
      <c r="E146" s="103"/>
      <c r="F146" s="106"/>
      <c r="G146" s="103"/>
      <c r="H146" s="103"/>
      <c r="L146" s="50"/>
      <c r="M146" s="50"/>
    </row>
    <row r="147" spans="1:13" s="48" customFormat="1" ht="18.75" x14ac:dyDescent="0.25">
      <c r="A147" s="103"/>
      <c r="B147" s="103"/>
      <c r="C147" s="103"/>
      <c r="D147" s="103"/>
      <c r="E147" s="103"/>
      <c r="F147" s="106"/>
      <c r="G147" s="103"/>
      <c r="H147" s="103"/>
      <c r="L147" s="50"/>
      <c r="M147" s="50"/>
    </row>
    <row r="148" spans="1:13" s="48" customFormat="1" ht="18.75" x14ac:dyDescent="0.25">
      <c r="A148" s="103"/>
      <c r="B148" s="103"/>
      <c r="C148" s="103"/>
      <c r="D148" s="103"/>
      <c r="E148" s="103"/>
      <c r="F148" s="106"/>
      <c r="G148" s="103"/>
      <c r="H148" s="103"/>
      <c r="L148" s="50"/>
      <c r="M148" s="50"/>
    </row>
    <row r="149" spans="1:13" s="48" customFormat="1" ht="18.75" x14ac:dyDescent="0.25">
      <c r="A149" s="103"/>
      <c r="B149" s="103"/>
      <c r="C149" s="103"/>
      <c r="D149" s="103"/>
      <c r="E149" s="103"/>
      <c r="F149" s="106"/>
      <c r="G149" s="103"/>
      <c r="H149" s="103"/>
      <c r="L149" s="50"/>
      <c r="M149" s="50"/>
    </row>
    <row r="150" spans="1:13" s="48" customFormat="1" ht="18.75" x14ac:dyDescent="0.25">
      <c r="A150" s="103"/>
      <c r="B150" s="103"/>
      <c r="C150" s="103"/>
      <c r="D150" s="103"/>
      <c r="E150" s="103"/>
      <c r="F150" s="106"/>
      <c r="G150" s="103"/>
      <c r="H150" s="103"/>
      <c r="L150" s="50"/>
      <c r="M150" s="50"/>
    </row>
    <row r="151" spans="1:13" s="48" customFormat="1" ht="18.75" x14ac:dyDescent="0.25">
      <c r="A151" s="103"/>
      <c r="B151" s="103"/>
      <c r="C151" s="103"/>
      <c r="D151" s="103"/>
      <c r="E151" s="103"/>
      <c r="F151" s="106"/>
      <c r="G151" s="103"/>
      <c r="H151" s="103"/>
      <c r="L151" s="50"/>
      <c r="M151" s="50"/>
    </row>
    <row r="152" spans="1:13" s="48" customFormat="1" ht="18.75" x14ac:dyDescent="0.25">
      <c r="A152" s="103"/>
      <c r="B152" s="103"/>
      <c r="C152" s="103"/>
      <c r="D152" s="103"/>
      <c r="E152" s="103"/>
      <c r="F152" s="106"/>
      <c r="G152" s="103"/>
      <c r="H152" s="103"/>
      <c r="L152" s="50"/>
      <c r="M152" s="50"/>
    </row>
    <row r="153" spans="1:13" s="48" customFormat="1" ht="18.75" x14ac:dyDescent="0.25">
      <c r="A153" s="103"/>
      <c r="B153" s="103"/>
      <c r="C153" s="103"/>
      <c r="D153" s="103"/>
      <c r="E153" s="103"/>
      <c r="F153" s="106"/>
      <c r="G153" s="103"/>
      <c r="H153" s="103"/>
      <c r="L153" s="50"/>
      <c r="M153" s="50"/>
    </row>
    <row r="154" spans="1:13" s="48" customFormat="1" ht="18.75" x14ac:dyDescent="0.25">
      <c r="A154" s="103"/>
      <c r="B154" s="103"/>
      <c r="C154" s="103"/>
      <c r="D154" s="103"/>
      <c r="E154" s="103"/>
      <c r="F154" s="106"/>
      <c r="G154" s="103"/>
      <c r="H154" s="103"/>
      <c r="L154" s="50"/>
      <c r="M154" s="50"/>
    </row>
    <row r="251" spans="1:13" s="49" customFormat="1" x14ac:dyDescent="0.3">
      <c r="A251" s="49">
        <v>5</v>
      </c>
      <c r="I251" s="48"/>
      <c r="J251" s="48"/>
      <c r="K251" s="48"/>
      <c r="L251" s="50"/>
      <c r="M251" s="50"/>
    </row>
  </sheetData>
  <sheetProtection formatColumns="0" formatRows="0" insertColumns="0" insertHyperlinks="0" deleteColumns="0" deleteRows="0" autoFilter="0" pivotTables="0"/>
  <mergeCells count="35">
    <mergeCell ref="B144:C144"/>
    <mergeCell ref="B145:C145"/>
    <mergeCell ref="A121:B122"/>
    <mergeCell ref="C124:D124"/>
    <mergeCell ref="A138:B139"/>
    <mergeCell ref="C141:D141"/>
    <mergeCell ref="B143:C143"/>
    <mergeCell ref="G143:H143"/>
    <mergeCell ref="C76:D76"/>
    <mergeCell ref="C84:H84"/>
    <mergeCell ref="C86:H86"/>
    <mergeCell ref="C87:H87"/>
    <mergeCell ref="F91:G91"/>
    <mergeCell ref="A101:B102"/>
    <mergeCell ref="A46:B47"/>
    <mergeCell ref="C60:C63"/>
    <mergeCell ref="D60:D63"/>
    <mergeCell ref="C64:C67"/>
    <mergeCell ref="D64:D67"/>
    <mergeCell ref="C68:C71"/>
    <mergeCell ref="D68:D71"/>
    <mergeCell ref="A70:B71"/>
    <mergeCell ref="B26:C26"/>
    <mergeCell ref="B27:C27"/>
    <mergeCell ref="C29:H29"/>
    <mergeCell ref="C31:H31"/>
    <mergeCell ref="C32:H32"/>
    <mergeCell ref="D36:E36"/>
    <mergeCell ref="F36:G36"/>
    <mergeCell ref="A1:H7"/>
    <mergeCell ref="A8:H14"/>
    <mergeCell ref="A16:H16"/>
    <mergeCell ref="A17:H17"/>
    <mergeCell ref="B18:E18"/>
    <mergeCell ref="B21:H21"/>
  </mergeCells>
  <conditionalFormatting sqref="D51">
    <cfRule type="cellIs" dxfId="4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6">
    <cfRule type="cellIs" dxfId="2" priority="4" operator="greaterThan">
      <formula>0.02</formula>
    </cfRule>
  </conditionalFormatting>
  <pageMargins left="0.7" right="0.7" top="0.75" bottom="0.75" header="0.3" footer="0.3"/>
  <pageSetup scale="28" orientation="portrait" r:id="rId1"/>
  <headerFooter>
    <oddHeader>&amp;LVer 2</oddHeader>
    <oddFooter>&amp;LNQCL/ADDO/014&amp;CPage &amp;P of &amp;N&amp;R&amp;D &amp;T</oddFooter>
  </headerFooter>
  <rowBreaks count="1" manualBreakCount="1">
    <brk id="7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SST</vt:lpstr>
      <vt:lpstr>Uniformity</vt:lpstr>
      <vt:lpstr>Pantoprazole </vt:lpstr>
      <vt:lpstr>SST 2</vt:lpstr>
      <vt:lpstr>Uniformity 2</vt:lpstr>
      <vt:lpstr>Pantoprazole 2</vt:lpstr>
      <vt:lpstr>'Pantoprazole '!Print_Area</vt:lpstr>
      <vt:lpstr>'Pantoprazole 2'!Print_Area</vt:lpstr>
      <vt:lpstr>SST!Print_Area</vt:lpstr>
      <vt:lpstr>Uniformity!Print_Area</vt:lpstr>
      <vt:lpstr>'Uniformity 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2017-05-16T10:54:21Z</cp:lastPrinted>
  <dcterms:created xsi:type="dcterms:W3CDTF">2005-07-05T10:19:27Z</dcterms:created>
  <dcterms:modified xsi:type="dcterms:W3CDTF">2017-05-16T11:07:36Z</dcterms:modified>
</cp:coreProperties>
</file>