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2"/>
  </bookViews>
  <sheets>
    <sheet name="SST" sheetId="1" r:id="rId1"/>
    <sheet name="Uniformity" sheetId="2" r:id="rId2"/>
    <sheet name="Tinidazole" sheetId="3" r:id="rId3"/>
  </sheets>
  <definedNames>
    <definedName name="_xlnm.Print_Area" localSheetId="0">SST!$A$15:$G$63</definedName>
    <definedName name="_xlnm.Print_Area" localSheetId="2">Tinidazole!$A$1:$I$124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D100" i="3" l="1"/>
  <c r="B21" i="1" l="1"/>
  <c r="C120" i="3"/>
  <c r="B116" i="3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D50" i="2"/>
  <c r="B49" i="2"/>
  <c r="C46" i="2"/>
  <c r="C50" i="2" s="1"/>
  <c r="C45" i="2"/>
  <c r="D42" i="2"/>
  <c r="D41" i="2"/>
  <c r="D38" i="2"/>
  <c r="D37" i="2"/>
  <c r="D34" i="2"/>
  <c r="D33" i="2"/>
  <c r="D31" i="2"/>
  <c r="D30" i="2"/>
  <c r="D29" i="2"/>
  <c r="D27" i="2"/>
  <c r="D26" i="2"/>
  <c r="D25" i="2"/>
  <c r="C19" i="2"/>
  <c r="B54" i="1"/>
  <c r="E52" i="1"/>
  <c r="D52" i="1"/>
  <c r="C52" i="1"/>
  <c r="B52" i="1"/>
  <c r="B53" i="1" s="1"/>
  <c r="B32" i="1"/>
  <c r="E30" i="1"/>
  <c r="D30" i="1"/>
  <c r="C30" i="1"/>
  <c r="B30" i="1"/>
  <c r="B31" i="1" s="1"/>
  <c r="I92" i="3" l="1"/>
  <c r="D101" i="3"/>
  <c r="D102" i="3" s="1"/>
  <c r="F97" i="3"/>
  <c r="I39" i="3"/>
  <c r="D49" i="3"/>
  <c r="F44" i="3"/>
  <c r="F45" i="3" s="1"/>
  <c r="D44" i="3"/>
  <c r="D45" i="3" s="1"/>
  <c r="D98" i="3"/>
  <c r="F98" i="3"/>
  <c r="D35" i="2"/>
  <c r="D39" i="2"/>
  <c r="D43" i="2"/>
  <c r="C49" i="2"/>
  <c r="D24" i="2"/>
  <c r="D28" i="2"/>
  <c r="D32" i="2"/>
  <c r="D36" i="2"/>
  <c r="D40" i="2"/>
  <c r="D49" i="2"/>
  <c r="B57" i="3"/>
  <c r="B69" i="3" s="1"/>
  <c r="G94" i="3" l="1"/>
  <c r="E94" i="3"/>
  <c r="E92" i="3"/>
  <c r="E93" i="3"/>
  <c r="E91" i="3"/>
  <c r="D99" i="3"/>
  <c r="G92" i="3"/>
  <c r="F99" i="3"/>
  <c r="E39" i="3"/>
  <c r="E41" i="3"/>
  <c r="G38" i="3"/>
  <c r="G39" i="3"/>
  <c r="G41" i="3"/>
  <c r="G40" i="3"/>
  <c r="F46" i="3"/>
  <c r="D46" i="3"/>
  <c r="E38" i="3"/>
  <c r="E40" i="3"/>
  <c r="G91" i="3"/>
  <c r="G93" i="3"/>
  <c r="E95" i="3" l="1"/>
  <c r="E42" i="3"/>
  <c r="D50" i="3"/>
  <c r="G64" i="3" s="1"/>
  <c r="H64" i="3" s="1"/>
  <c r="G42" i="3"/>
  <c r="D52" i="3"/>
  <c r="G95" i="3"/>
  <c r="D103" i="3"/>
  <c r="E111" i="3" s="1"/>
  <c r="F111" i="3" s="1"/>
  <c r="D105" i="3"/>
  <c r="D104" i="3" l="1"/>
  <c r="E109" i="3"/>
  <c r="F109" i="3" s="1"/>
  <c r="E110" i="3"/>
  <c r="F110" i="3" s="1"/>
  <c r="E113" i="3"/>
  <c r="F113" i="3" s="1"/>
  <c r="E112" i="3"/>
  <c r="F112" i="3" s="1"/>
  <c r="E108" i="3"/>
  <c r="G65" i="3"/>
  <c r="H65" i="3" s="1"/>
  <c r="G62" i="3"/>
  <c r="H62" i="3" s="1"/>
  <c r="G68" i="3"/>
  <c r="H68" i="3" s="1"/>
  <c r="G63" i="3"/>
  <c r="H63" i="3" s="1"/>
  <c r="G70" i="3"/>
  <c r="H70" i="3" s="1"/>
  <c r="G66" i="3"/>
  <c r="H66" i="3" s="1"/>
  <c r="G61" i="3"/>
  <c r="H61" i="3" s="1"/>
  <c r="D51" i="3"/>
  <c r="G71" i="3"/>
  <c r="H71" i="3" s="1"/>
  <c r="G67" i="3"/>
  <c r="H67" i="3" s="1"/>
  <c r="G60" i="3"/>
  <c r="H60" i="3" s="1"/>
  <c r="G69" i="3"/>
  <c r="H69" i="3" s="1"/>
  <c r="E117" i="3" l="1"/>
  <c r="E115" i="3"/>
  <c r="E116" i="3" s="1"/>
  <c r="F108" i="3"/>
  <c r="F117" i="3" s="1"/>
  <c r="G72" i="3"/>
  <c r="G73" i="3" s="1"/>
  <c r="G74" i="3"/>
  <c r="H74" i="3"/>
  <c r="H72" i="3"/>
  <c r="F115" i="3" l="1"/>
  <c r="G120" i="3" s="1"/>
  <c r="H73" i="3"/>
  <c r="G76" i="3"/>
  <c r="F116" i="3" l="1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<sst xmlns="http://schemas.openxmlformats.org/spreadsheetml/2006/main" count="233" uniqueCount="128">
  <si>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</si>
  <si>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</si>
  <si>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Assay</t>
  </si>
  <si>
    <t>Sample(s)</t>
  </si>
  <si>
    <t>Reference Substance:</t>
  </si>
  <si>
    <t>TRITINI TABLETS</t>
  </si>
  <si>
    <t>% age Purity:</t>
  </si>
  <si>
    <t>NDQD201605935</t>
  </si>
  <si>
    <t>Weight (mg):</t>
  </si>
  <si>
    <t>Tinidazole</t>
  </si>
  <si>
    <t>Standard Conc (mg/mL):</t>
  </si>
  <si>
    <t xml:space="preserve">Each tablet </t>
  </si>
  <si>
    <t>2016-05-13 10:14:29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</si>
  <si>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</si>
  <si>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</si>
  <si>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</si>
  <si>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</si>
  <si>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</si>
  <si>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</si>
  <si>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</si>
  <si>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</si>
  <si>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</si>
  <si>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</si>
  <si>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</si>
  <si>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</si>
  <si>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</si>
  <si>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</si>
  <si>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</si>
  <si>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</si>
  <si>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</si>
  <si>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</si>
  <si>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</si>
  <si>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</si>
  <si>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</si>
  <si>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</si>
  <si>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</si>
  <si>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</si>
  <si>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</si>
  <si>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</si>
  <si>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</si>
  <si>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</si>
  <si>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</si>
  <si>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</si>
  <si>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</si>
  <si>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</si>
  <si>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</si>
  <si>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</si>
  <si>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</si>
  <si>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</si>
  <si>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</si>
  <si>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</si>
  <si>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</si>
  <si>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</si>
  <si>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</si>
  <si>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</si>
  <si>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</si>
  <si>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</si>
  <si>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</si>
  <si>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</si>
  <si>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</si>
  <si>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</si>
  <si>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</si>
  <si>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</si>
  <si>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</si>
  <si>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</si>
  <si>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</si>
  <si>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</si>
  <si>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</si>
  <si>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</si>
  <si>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</si>
  <si>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</si>
  <si>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</si>
  <si>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</si>
  <si>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</si>
  <si>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</si>
  <si>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</si>
  <si>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</si>
  <si>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</si>
  <si>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</si>
  <si>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</si>
  <si>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</si>
  <si>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</si>
  <si>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</si>
  <si>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</si>
  <si>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</si>
  <si>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</si>
  <si>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</si>
  <si>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</si>
  <si>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</si>
  <si>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</si>
  <si>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</si>
  <si>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</si>
  <si>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</si>
  <si>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</si>
  <si>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</si>
  <si>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</si>
  <si>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</si>
  <si>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</si>
  <si>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</si>
  <si>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</si>
  <si>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</si>
  <si>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</si>
  <si>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</si>
  <si>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</si>
  <si>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</si>
  <si>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</si>
  <si>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</si>
  <si>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</si>
  <si>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</si>
  <si>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</si>
  <si>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</si>
  <si>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</si>
  <si>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</si>
  <si>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</si>
  <si>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</si>
  <si>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</si>
  <si>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</si>
  <si>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</si>
  <si>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</si>
  <si>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</si>
  <si>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</si>
  <si>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</si>
  <si>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T2-2</t>
  </si>
  <si>
    <t>RUTTO/JOYFRIDA</t>
  </si>
  <si>
    <t>22/07/2016</t>
  </si>
  <si>
    <t>Each film coated tablet contains: Tinidazole BP 500 mg</t>
  </si>
  <si>
    <t>Average Tablet  Weight (mg):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</si>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</sst>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3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3" fontId="13" fillId="3" borderId="0" xfId="0" applyNumberFormat="1" applyFont="1" applyFill="1" applyAlignment="1" applyProtection="1">
      <alignment horizontal="center"/>
      <protection locked="0"/>
    </xf>
    <xf numFmtId="173" fontId="12" fillId="2" borderId="0" xfId="0" applyNumberFormat="1" applyFont="1" applyFill="1" applyAlignment="1">
      <alignment horizontal="center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28" workbookViewId="0">
      <selection activeCell="B76" sqref="B76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72" t="s">
        <v>0</v>
      </c>
      <c r="B15" s="272"/>
      <c r="C15" s="272"/>
      <c r="D15" s="272"/>
      <c r="E15" s="27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25.13</v>
      </c>
      <c r="C20" s="10"/>
      <c r="D20" s="10"/>
      <c r="E20" s="10"/>
    </row>
    <row r="21" spans="1:6" ht="16.5" customHeight="1" x14ac:dyDescent="0.3">
      <c r="A21" s="7" t="s">
        <v>10</v>
      </c>
      <c r="B21" s="13">
        <f>25.13/50*5/50</f>
        <v>5.0259999999999999E-2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7037129</v>
      </c>
      <c r="C24" s="18">
        <v>8152.78</v>
      </c>
      <c r="D24" s="19">
        <v>1.42</v>
      </c>
      <c r="E24" s="20">
        <v>7.14</v>
      </c>
    </row>
    <row r="25" spans="1:6" ht="16.5" customHeight="1" x14ac:dyDescent="0.3">
      <c r="A25" s="17">
        <v>2</v>
      </c>
      <c r="B25" s="18">
        <v>7018301</v>
      </c>
      <c r="C25" s="18">
        <v>8155.56</v>
      </c>
      <c r="D25" s="19">
        <v>1.41</v>
      </c>
      <c r="E25" s="19">
        <v>7.14</v>
      </c>
    </row>
    <row r="26" spans="1:6" ht="16.5" customHeight="1" x14ac:dyDescent="0.3">
      <c r="A26" s="17">
        <v>3</v>
      </c>
      <c r="B26" s="18">
        <v>7015105</v>
      </c>
      <c r="C26" s="18">
        <v>8099.75</v>
      </c>
      <c r="D26" s="19">
        <v>1.41</v>
      </c>
      <c r="E26" s="19">
        <v>7.14</v>
      </c>
    </row>
    <row r="27" spans="1:6" ht="16.5" customHeight="1" x14ac:dyDescent="0.3">
      <c r="A27" s="17">
        <v>4</v>
      </c>
      <c r="B27" s="18">
        <v>7027093</v>
      </c>
      <c r="C27" s="19">
        <v>8077.8</v>
      </c>
      <c r="D27" s="19">
        <v>1.42</v>
      </c>
      <c r="E27" s="19">
        <v>7.14</v>
      </c>
    </row>
    <row r="28" spans="1:6" ht="16.5" customHeight="1" x14ac:dyDescent="0.3">
      <c r="A28" s="17">
        <v>5</v>
      </c>
      <c r="B28" s="18">
        <v>7031256</v>
      </c>
      <c r="C28" s="18">
        <v>8009.79</v>
      </c>
      <c r="D28" s="19">
        <v>1.45</v>
      </c>
      <c r="E28" s="19">
        <v>7.13</v>
      </c>
    </row>
    <row r="29" spans="1:6" ht="16.5" customHeight="1" x14ac:dyDescent="0.3">
      <c r="A29" s="17">
        <v>6</v>
      </c>
      <c r="B29" s="21">
        <v>7040025</v>
      </c>
      <c r="C29" s="21">
        <v>7999.94</v>
      </c>
      <c r="D29" s="22">
        <v>1.44</v>
      </c>
      <c r="E29" s="22">
        <v>7.13</v>
      </c>
    </row>
    <row r="30" spans="1:6" ht="16.5" customHeight="1" x14ac:dyDescent="0.3">
      <c r="A30" s="23" t="s">
        <v>18</v>
      </c>
      <c r="B30" s="24">
        <f>AVERAGE(B24:B29)</f>
        <v>7028151.5</v>
      </c>
      <c r="C30" s="25">
        <f>AVERAGE(C24:C29)</f>
        <v>8082.6033333333335</v>
      </c>
      <c r="D30" s="26">
        <f>AVERAGE(D24:D29)</f>
        <v>1.425</v>
      </c>
      <c r="E30" s="26">
        <f>AVERAGE(E24:E29)</f>
        <v>7.1366666666666667</v>
      </c>
    </row>
    <row r="31" spans="1:6" ht="16.5" customHeight="1" x14ac:dyDescent="0.3">
      <c r="A31" s="27" t="s">
        <v>19</v>
      </c>
      <c r="B31" s="28">
        <f>(STDEV(B24:B29)/B30)</f>
        <v>1.4222477619491108E-3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9" s="2" customFormat="1" ht="15.75" customHeight="1" x14ac:dyDescent="0.3">
      <c r="A33" s="10"/>
      <c r="B33" s="10"/>
      <c r="C33" s="10"/>
      <c r="D33" s="10"/>
      <c r="E33" s="36"/>
    </row>
    <row r="34" spans="1:9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9" ht="16.5" customHeight="1" x14ac:dyDescent="0.3">
      <c r="A35" s="11"/>
      <c r="B35" s="37" t="s">
        <v>23</v>
      </c>
      <c r="C35" s="38"/>
      <c r="D35" s="38"/>
      <c r="E35" s="39"/>
      <c r="F35" s="2"/>
    </row>
    <row r="36" spans="1:9" ht="16.5" customHeight="1" x14ac:dyDescent="0.3">
      <c r="A36" s="11"/>
      <c r="B36" s="40" t="s">
        <v>24</v>
      </c>
      <c r="C36" s="38"/>
      <c r="D36" s="38"/>
      <c r="E36" s="38"/>
    </row>
    <row r="37" spans="1:9" s="44" customFormat="1" ht="16.5" customHeight="1" x14ac:dyDescent="0.3">
      <c r="A37" s="75"/>
      <c r="B37" s="40"/>
      <c r="C37" s="39"/>
      <c r="D37" s="39"/>
      <c r="E37" s="39"/>
      <c r="F37" s="223"/>
      <c r="G37" s="223"/>
      <c r="H37" s="223"/>
      <c r="I37" s="223"/>
    </row>
    <row r="38" spans="1:9" ht="15.75" customHeight="1" x14ac:dyDescent="0.3">
      <c r="A38" s="10"/>
      <c r="B38" s="10"/>
      <c r="C38" s="10"/>
      <c r="D38" s="10"/>
      <c r="E38" s="10"/>
    </row>
    <row r="39" spans="1:9" ht="0.75" customHeight="1" x14ac:dyDescent="0.3">
      <c r="A39" s="5" t="s">
        <v>1</v>
      </c>
      <c r="B39" s="6" t="s">
        <v>25</v>
      </c>
    </row>
    <row r="40" spans="1:9" ht="16.5" hidden="1" customHeight="1" x14ac:dyDescent="0.3">
      <c r="A40" s="11" t="s">
        <v>4</v>
      </c>
      <c r="B40" s="8"/>
      <c r="C40" s="10"/>
      <c r="D40" s="10"/>
      <c r="E40" s="10"/>
    </row>
    <row r="41" spans="1:9" ht="16.5" hidden="1" customHeight="1" x14ac:dyDescent="0.3">
      <c r="A41" s="11" t="s">
        <v>6</v>
      </c>
      <c r="C41" s="10"/>
      <c r="D41" s="10"/>
      <c r="E41" s="10"/>
    </row>
    <row r="42" spans="1:9" ht="16.5" hidden="1" customHeight="1" x14ac:dyDescent="0.3">
      <c r="A42" s="7" t="s">
        <v>8</v>
      </c>
      <c r="B42" s="12"/>
      <c r="C42" s="10"/>
      <c r="D42" s="10"/>
      <c r="E42" s="10"/>
    </row>
    <row r="43" spans="1:9" ht="16.5" hidden="1" customHeight="1" x14ac:dyDescent="0.3">
      <c r="A43" s="7" t="s">
        <v>10</v>
      </c>
      <c r="B43" s="13"/>
      <c r="C43" s="10"/>
      <c r="D43" s="10"/>
      <c r="E43" s="10"/>
    </row>
    <row r="44" spans="1:9" ht="15.75" hidden="1" customHeight="1" x14ac:dyDescent="0.3">
      <c r="A44" s="10"/>
      <c r="B44" s="10"/>
      <c r="C44" s="10"/>
      <c r="D44" s="10"/>
      <c r="E44" s="10"/>
    </row>
    <row r="45" spans="1:9" ht="16.5" hidden="1" customHeight="1" x14ac:dyDescent="0.3">
      <c r="A45" s="14" t="s">
        <v>13</v>
      </c>
      <c r="B45" s="15" t="s">
        <v>14</v>
      </c>
      <c r="C45" s="14" t="s">
        <v>15</v>
      </c>
      <c r="D45" s="14" t="s">
        <v>16</v>
      </c>
      <c r="E45" s="16" t="s">
        <v>17</v>
      </c>
    </row>
    <row r="46" spans="1:9" ht="16.5" hidden="1" customHeight="1" x14ac:dyDescent="0.3">
      <c r="A46" s="17">
        <v>1</v>
      </c>
      <c r="B46" s="18"/>
      <c r="C46" s="18"/>
      <c r="D46" s="19"/>
      <c r="E46" s="20"/>
    </row>
    <row r="47" spans="1:9" ht="16.5" hidden="1" customHeight="1" x14ac:dyDescent="0.3">
      <c r="A47" s="17">
        <v>2</v>
      </c>
      <c r="B47" s="18"/>
      <c r="C47" s="18"/>
      <c r="D47" s="19"/>
      <c r="E47" s="19"/>
    </row>
    <row r="48" spans="1:9" ht="16.5" hidden="1" customHeight="1" x14ac:dyDescent="0.3">
      <c r="A48" s="17">
        <v>3</v>
      </c>
      <c r="B48" s="18"/>
      <c r="C48" s="18"/>
      <c r="D48" s="19"/>
      <c r="E48" s="19"/>
    </row>
    <row r="49" spans="1:7" ht="16.5" hidden="1" customHeight="1" x14ac:dyDescent="0.3">
      <c r="A49" s="17">
        <v>4</v>
      </c>
      <c r="B49" s="18"/>
      <c r="C49" s="18"/>
      <c r="D49" s="19"/>
      <c r="E49" s="19"/>
    </row>
    <row r="50" spans="1:7" ht="16.5" hidden="1" customHeight="1" x14ac:dyDescent="0.3">
      <c r="A50" s="17">
        <v>5</v>
      </c>
      <c r="B50" s="18"/>
      <c r="C50" s="18"/>
      <c r="D50" s="19"/>
      <c r="E50" s="19"/>
    </row>
    <row r="51" spans="1:7" ht="16.5" hidden="1" customHeight="1" x14ac:dyDescent="0.3">
      <c r="A51" s="17">
        <v>6</v>
      </c>
      <c r="B51" s="21"/>
      <c r="C51" s="21"/>
      <c r="D51" s="22"/>
      <c r="E51" s="22"/>
    </row>
    <row r="52" spans="1:7" ht="16.5" hidden="1" customHeight="1" x14ac:dyDescent="0.3">
      <c r="A52" s="23" t="s">
        <v>18</v>
      </c>
      <c r="B52" s="24" t="e">
        <f>AVERAGE(B46:B51)</f>
        <v>#DIV/0!</v>
      </c>
      <c r="C52" s="25" t="e">
        <f>AVERAGE(C46:C51)</f>
        <v>#DIV/0!</v>
      </c>
      <c r="D52" s="26" t="e">
        <f>AVERAGE(D46:D51)</f>
        <v>#DIV/0!</v>
      </c>
      <c r="E52" s="26" t="e">
        <f>AVERAGE(E46:E51)</f>
        <v>#DIV/0!</v>
      </c>
    </row>
    <row r="53" spans="1:7" ht="16.5" hidden="1" customHeight="1" x14ac:dyDescent="0.3">
      <c r="A53" s="27" t="s">
        <v>19</v>
      </c>
      <c r="B53" s="28" t="e">
        <f>(STDEV(B46:B51)/B52)</f>
        <v>#DIV/0!</v>
      </c>
      <c r="C53" s="29"/>
      <c r="D53" s="29"/>
      <c r="E53" s="30"/>
      <c r="F53" s="2"/>
    </row>
    <row r="54" spans="1:7" s="2" customFormat="1" ht="16.5" hidden="1" customHeight="1" x14ac:dyDescent="0.3">
      <c r="A54" s="31" t="s">
        <v>20</v>
      </c>
      <c r="B54" s="32">
        <f>COUNT(B46:B51)</f>
        <v>0</v>
      </c>
      <c r="C54" s="33"/>
      <c r="D54" s="34"/>
      <c r="E54" s="35"/>
    </row>
    <row r="55" spans="1:7" s="2" customFormat="1" ht="15.75" hidden="1" customHeight="1" x14ac:dyDescent="0.3">
      <c r="A55" s="10"/>
      <c r="B55" s="10"/>
      <c r="C55" s="10"/>
      <c r="D55" s="10"/>
      <c r="E55" s="36"/>
    </row>
    <row r="56" spans="1:7" s="2" customFormat="1" ht="16.5" hidden="1" customHeight="1" x14ac:dyDescent="0.3">
      <c r="A56" s="11" t="s">
        <v>21</v>
      </c>
      <c r="B56" s="37" t="s">
        <v>22</v>
      </c>
      <c r="C56" s="38"/>
      <c r="D56" s="38"/>
      <c r="E56" s="39"/>
    </row>
    <row r="57" spans="1:7" ht="16.5" hidden="1" customHeight="1" x14ac:dyDescent="0.3">
      <c r="A57" s="11"/>
      <c r="B57" s="37" t="s">
        <v>23</v>
      </c>
      <c r="C57" s="38"/>
      <c r="D57" s="38"/>
      <c r="E57" s="39"/>
      <c r="F57" s="2"/>
    </row>
    <row r="58" spans="1:7" ht="16.5" hidden="1" customHeight="1" x14ac:dyDescent="0.3">
      <c r="A58" s="11"/>
      <c r="B58" s="40" t="s">
        <v>24</v>
      </c>
      <c r="C58" s="38"/>
      <c r="D58" s="39"/>
      <c r="E58" s="38"/>
    </row>
    <row r="59" spans="1:7" ht="14.25" hidden="1" customHeight="1" x14ac:dyDescent="0.3">
      <c r="A59" s="41"/>
      <c r="B59" s="42"/>
      <c r="D59" s="43"/>
      <c r="F59" s="44"/>
      <c r="G59" s="44"/>
    </row>
    <row r="60" spans="1:7" ht="15" customHeight="1" x14ac:dyDescent="0.3">
      <c r="B60" s="273" t="s">
        <v>26</v>
      </c>
      <c r="C60" s="273"/>
      <c r="E60" s="45" t="s">
        <v>27</v>
      </c>
      <c r="F60" s="46"/>
      <c r="G60" s="45" t="s">
        <v>28</v>
      </c>
    </row>
    <row r="61" spans="1:7" ht="15" customHeight="1" x14ac:dyDescent="0.3">
      <c r="A61" s="47" t="s">
        <v>29</v>
      </c>
      <c r="B61" s="48" t="s">
        <v>123</v>
      </c>
      <c r="C61" s="48"/>
      <c r="E61" s="48" t="s">
        <v>124</v>
      </c>
      <c r="F61" s="2"/>
      <c r="G61" s="49"/>
    </row>
    <row r="62" spans="1:7" ht="15" customHeight="1" x14ac:dyDescent="0.3">
      <c r="A62" s="47" t="s">
        <v>30</v>
      </c>
      <c r="B62" s="50"/>
      <c r="C62" s="50"/>
      <c r="E62" s="50"/>
      <c r="F62" s="2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6" workbookViewId="0">
      <selection activeCell="B53" sqref="B5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77" t="s">
        <v>31</v>
      </c>
      <c r="B11" s="278"/>
      <c r="C11" s="278"/>
      <c r="D11" s="278"/>
      <c r="E11" s="278"/>
      <c r="F11" s="279"/>
      <c r="G11" s="91"/>
    </row>
    <row r="12" spans="1:7" ht="16.5" customHeight="1" x14ac:dyDescent="0.3">
      <c r="A12" s="276" t="s">
        <v>32</v>
      </c>
      <c r="B12" s="276"/>
      <c r="C12" s="276"/>
      <c r="D12" s="276"/>
      <c r="E12" s="276"/>
      <c r="F12" s="276"/>
      <c r="G12" s="90"/>
    </row>
    <row r="14" spans="1:7" ht="16.5" customHeight="1" x14ac:dyDescent="0.3">
      <c r="A14" s="281" t="s">
        <v>33</v>
      </c>
      <c r="B14" s="281"/>
      <c r="C14" s="60" t="s">
        <v>5</v>
      </c>
    </row>
    <row r="15" spans="1:7" ht="16.5" customHeight="1" x14ac:dyDescent="0.3">
      <c r="A15" s="281" t="s">
        <v>34</v>
      </c>
      <c r="B15" s="281"/>
      <c r="C15" s="60" t="s">
        <v>7</v>
      </c>
    </row>
    <row r="16" spans="1:7" ht="16.5" customHeight="1" x14ac:dyDescent="0.3">
      <c r="A16" s="281" t="s">
        <v>35</v>
      </c>
      <c r="B16" s="281"/>
      <c r="C16" s="60" t="s">
        <v>9</v>
      </c>
    </row>
    <row r="17" spans="1:5" ht="16.5" customHeight="1" x14ac:dyDescent="0.3">
      <c r="A17" s="281" t="s">
        <v>36</v>
      </c>
      <c r="B17" s="281"/>
      <c r="C17" s="60" t="s">
        <v>11</v>
      </c>
    </row>
    <row r="18" spans="1:5" ht="16.5" customHeight="1" x14ac:dyDescent="0.3">
      <c r="A18" s="281" t="s">
        <v>37</v>
      </c>
      <c r="B18" s="281"/>
      <c r="C18" s="97" t="s">
        <v>12</v>
      </c>
    </row>
    <row r="19" spans="1:5" ht="16.5" customHeight="1" x14ac:dyDescent="0.3">
      <c r="A19" s="281" t="s">
        <v>38</v>
      </c>
      <c r="B19" s="28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76" t="s">
        <v>1</v>
      </c>
      <c r="B21" s="276"/>
      <c r="C21" s="59" t="s">
        <v>39</v>
      </c>
      <c r="D21" s="66"/>
    </row>
    <row r="22" spans="1:5" ht="15.75" customHeight="1" x14ac:dyDescent="0.3">
      <c r="A22" s="280"/>
      <c r="B22" s="280"/>
      <c r="C22" s="57"/>
      <c r="D22" s="280"/>
      <c r="E22" s="28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683.09</v>
      </c>
      <c r="D24" s="87">
        <f t="shared" ref="D24:D43" si="0">(C24-$C$46)/$C$46</f>
        <v>-3.0190094700714826E-3</v>
      </c>
      <c r="E24" s="53"/>
    </row>
    <row r="25" spans="1:5" ht="15.75" customHeight="1" x14ac:dyDescent="0.3">
      <c r="C25" s="95">
        <v>686.62</v>
      </c>
      <c r="D25" s="88">
        <f t="shared" si="0"/>
        <v>2.133083074938136E-3</v>
      </c>
      <c r="E25" s="53"/>
    </row>
    <row r="26" spans="1:5" ht="15.75" customHeight="1" x14ac:dyDescent="0.3">
      <c r="C26" s="95">
        <v>686.48</v>
      </c>
      <c r="D26" s="88">
        <f t="shared" si="0"/>
        <v>1.9287507926998126E-3</v>
      </c>
      <c r="E26" s="53"/>
    </row>
    <row r="27" spans="1:5" ht="15.75" customHeight="1" x14ac:dyDescent="0.3">
      <c r="C27" s="95">
        <v>685.04</v>
      </c>
      <c r="D27" s="88">
        <f t="shared" si="0"/>
        <v>-1.7295268175179906E-4</v>
      </c>
      <c r="E27" s="53"/>
    </row>
    <row r="28" spans="1:5" ht="15.75" customHeight="1" x14ac:dyDescent="0.3">
      <c r="C28" s="95">
        <v>679.76</v>
      </c>
      <c r="D28" s="88">
        <f t="shared" si="0"/>
        <v>-7.8791987547407096E-3</v>
      </c>
      <c r="E28" s="53"/>
    </row>
    <row r="29" spans="1:5" ht="15.75" customHeight="1" x14ac:dyDescent="0.3">
      <c r="C29" s="95">
        <v>684.83</v>
      </c>
      <c r="D29" s="88">
        <f t="shared" si="0"/>
        <v>-4.7945110510920133E-4</v>
      </c>
      <c r="E29" s="53"/>
    </row>
    <row r="30" spans="1:5" ht="15.75" customHeight="1" x14ac:dyDescent="0.3">
      <c r="C30" s="95">
        <v>688.55</v>
      </c>
      <c r="D30" s="88">
        <f t="shared" si="0"/>
        <v>4.9499495372237971E-3</v>
      </c>
      <c r="E30" s="53"/>
    </row>
    <row r="31" spans="1:5" ht="15.75" customHeight="1" x14ac:dyDescent="0.3">
      <c r="C31" s="95">
        <v>679.26</v>
      </c>
      <c r="D31" s="88">
        <f t="shared" si="0"/>
        <v>-8.6089569055919357E-3</v>
      </c>
      <c r="E31" s="53"/>
    </row>
    <row r="32" spans="1:5" ht="15.75" customHeight="1" x14ac:dyDescent="0.3">
      <c r="C32" s="95">
        <v>673.42</v>
      </c>
      <c r="D32" s="88">
        <f t="shared" si="0"/>
        <v>-1.7132532107534307E-2</v>
      </c>
      <c r="E32" s="53"/>
    </row>
    <row r="33" spans="1:7" ht="15.75" customHeight="1" x14ac:dyDescent="0.3">
      <c r="C33" s="95">
        <v>687.43</v>
      </c>
      <c r="D33" s="88">
        <f t="shared" si="0"/>
        <v>3.3152912793170432E-3</v>
      </c>
      <c r="E33" s="53"/>
    </row>
    <row r="34" spans="1:7" ht="15.75" customHeight="1" x14ac:dyDescent="0.3">
      <c r="C34" s="95">
        <v>691.49</v>
      </c>
      <c r="D34" s="88">
        <f t="shared" si="0"/>
        <v>9.2409274642290869E-3</v>
      </c>
      <c r="E34" s="53"/>
    </row>
    <row r="35" spans="1:7" ht="15.75" customHeight="1" x14ac:dyDescent="0.3">
      <c r="C35" s="95">
        <v>694.48</v>
      </c>
      <c r="D35" s="88">
        <f t="shared" si="0"/>
        <v>1.3604881206319435E-2</v>
      </c>
      <c r="E35" s="53"/>
    </row>
    <row r="36" spans="1:7" ht="15.75" customHeight="1" x14ac:dyDescent="0.3">
      <c r="C36" s="95">
        <v>688.17</v>
      </c>
      <c r="D36" s="88">
        <f t="shared" si="0"/>
        <v>4.3953333425768718E-3</v>
      </c>
      <c r="E36" s="53"/>
    </row>
    <row r="37" spans="1:7" ht="15.75" customHeight="1" x14ac:dyDescent="0.3">
      <c r="C37" s="95">
        <v>691.31</v>
      </c>
      <c r="D37" s="88">
        <f t="shared" si="0"/>
        <v>8.9782145299225537E-3</v>
      </c>
      <c r="E37" s="53"/>
    </row>
    <row r="38" spans="1:7" ht="15.75" customHeight="1" x14ac:dyDescent="0.3">
      <c r="C38" s="95">
        <v>684.11</v>
      </c>
      <c r="D38" s="88">
        <f t="shared" si="0"/>
        <v>-1.5303028423350072E-3</v>
      </c>
      <c r="E38" s="53"/>
    </row>
    <row r="39" spans="1:7" ht="15.75" customHeight="1" x14ac:dyDescent="0.3">
      <c r="C39" s="95">
        <v>682.65</v>
      </c>
      <c r="D39" s="88">
        <f t="shared" si="0"/>
        <v>-3.6611966428206411E-3</v>
      </c>
      <c r="E39" s="53"/>
    </row>
    <row r="40" spans="1:7" ht="15.75" customHeight="1" x14ac:dyDescent="0.3">
      <c r="C40" s="95">
        <v>683.16</v>
      </c>
      <c r="D40" s="88">
        <f t="shared" si="0"/>
        <v>-2.9168433289524036E-3</v>
      </c>
      <c r="E40" s="53"/>
    </row>
    <row r="41" spans="1:7" ht="15.75" customHeight="1" x14ac:dyDescent="0.3">
      <c r="C41" s="95">
        <v>687.3</v>
      </c>
      <c r="D41" s="88">
        <f t="shared" si="0"/>
        <v>3.1255541600957309E-3</v>
      </c>
      <c r="E41" s="53"/>
    </row>
    <row r="42" spans="1:7" ht="15.75" customHeight="1" x14ac:dyDescent="0.3">
      <c r="C42" s="95">
        <v>679.6</v>
      </c>
      <c r="D42" s="88">
        <f t="shared" si="0"/>
        <v>-8.1127213630130552E-3</v>
      </c>
      <c r="E42" s="53"/>
    </row>
    <row r="43" spans="1:7" ht="16.5" customHeight="1" x14ac:dyDescent="0.3">
      <c r="C43" s="96">
        <v>686.42</v>
      </c>
      <c r="D43" s="89">
        <f t="shared" si="0"/>
        <v>1.8411798145975791E-3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13703.17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685.1585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4">
        <f>C46</f>
        <v>685.1585</v>
      </c>
      <c r="C49" s="93">
        <f>-IF(C46&lt;=80,10%,IF(C46&lt;250,7.5%,5%))</f>
        <v>-0.05</v>
      </c>
      <c r="D49" s="81">
        <f>IF(C46&lt;=80,C46*0.9,IF(C46&lt;250,C46*0.925,C46*0.95))</f>
        <v>650.900575</v>
      </c>
    </row>
    <row r="50" spans="1:6" ht="17.25" customHeight="1" x14ac:dyDescent="0.3">
      <c r="B50" s="275"/>
      <c r="C50" s="94">
        <f>IF(C46&lt;=80, 10%, IF(C46&lt;250, 7.5%, 5%))</f>
        <v>0.05</v>
      </c>
      <c r="D50" s="81">
        <f>IF(C46&lt;=80, C46*1.1, IF(C46&lt;250, C46*1.075, C46*1.05))</f>
        <v>719.416425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90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52" zoomScale="70" zoomScaleNormal="70" zoomScalePageLayoutView="50" workbookViewId="0">
      <selection activeCell="D75" sqref="D7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10" t="s">
        <v>45</v>
      </c>
      <c r="B1" s="310"/>
      <c r="C1" s="310"/>
      <c r="D1" s="310"/>
      <c r="E1" s="310"/>
      <c r="F1" s="310"/>
      <c r="G1" s="310"/>
      <c r="H1" s="310"/>
      <c r="I1" s="310"/>
    </row>
    <row r="2" spans="1:9" ht="18.75" customHeight="1" x14ac:dyDescent="0.3">
      <c r="A2" s="310"/>
      <c r="B2" s="310"/>
      <c r="C2" s="310"/>
      <c r="D2" s="310"/>
      <c r="E2" s="310"/>
      <c r="F2" s="310"/>
      <c r="G2" s="310"/>
      <c r="H2" s="310"/>
      <c r="I2" s="310"/>
    </row>
    <row r="3" spans="1:9" ht="18.75" customHeight="1" x14ac:dyDescent="0.3">
      <c r="A3" s="310"/>
      <c r="B3" s="310"/>
      <c r="C3" s="310"/>
      <c r="D3" s="310"/>
      <c r="E3" s="310"/>
      <c r="F3" s="310"/>
      <c r="G3" s="310"/>
      <c r="H3" s="310"/>
      <c r="I3" s="310"/>
    </row>
    <row r="4" spans="1:9" ht="18.75" customHeight="1" x14ac:dyDescent="0.3">
      <c r="A4" s="310"/>
      <c r="B4" s="310"/>
      <c r="C4" s="310"/>
      <c r="D4" s="310"/>
      <c r="E4" s="310"/>
      <c r="F4" s="310"/>
      <c r="G4" s="310"/>
      <c r="H4" s="310"/>
      <c r="I4" s="310"/>
    </row>
    <row r="5" spans="1:9" ht="18.75" customHeight="1" x14ac:dyDescent="0.3">
      <c r="A5" s="310"/>
      <c r="B5" s="310"/>
      <c r="C5" s="310"/>
      <c r="D5" s="310"/>
      <c r="E5" s="310"/>
      <c r="F5" s="310"/>
      <c r="G5" s="310"/>
      <c r="H5" s="310"/>
      <c r="I5" s="310"/>
    </row>
    <row r="6" spans="1:9" ht="18.75" customHeight="1" x14ac:dyDescent="0.3">
      <c r="A6" s="310"/>
      <c r="B6" s="310"/>
      <c r="C6" s="310"/>
      <c r="D6" s="310"/>
      <c r="E6" s="310"/>
      <c r="F6" s="310"/>
      <c r="G6" s="310"/>
      <c r="H6" s="310"/>
      <c r="I6" s="310"/>
    </row>
    <row r="7" spans="1:9" ht="18.75" customHeight="1" x14ac:dyDescent="0.3">
      <c r="A7" s="310"/>
      <c r="B7" s="310"/>
      <c r="C7" s="310"/>
      <c r="D7" s="310"/>
      <c r="E7" s="310"/>
      <c r="F7" s="310"/>
      <c r="G7" s="310"/>
      <c r="H7" s="310"/>
      <c r="I7" s="310"/>
    </row>
    <row r="8" spans="1:9" x14ac:dyDescent="0.3">
      <c r="A8" s="311" t="s">
        <v>46</v>
      </c>
      <c r="B8" s="311"/>
      <c r="C8" s="311"/>
      <c r="D8" s="311"/>
      <c r="E8" s="311"/>
      <c r="F8" s="311"/>
      <c r="G8" s="311"/>
      <c r="H8" s="311"/>
      <c r="I8" s="311"/>
    </row>
    <row r="9" spans="1:9" x14ac:dyDescent="0.3">
      <c r="A9" s="311"/>
      <c r="B9" s="311"/>
      <c r="C9" s="311"/>
      <c r="D9" s="311"/>
      <c r="E9" s="311"/>
      <c r="F9" s="311"/>
      <c r="G9" s="311"/>
      <c r="H9" s="311"/>
      <c r="I9" s="311"/>
    </row>
    <row r="10" spans="1:9" x14ac:dyDescent="0.3">
      <c r="A10" s="311"/>
      <c r="B10" s="311"/>
      <c r="C10" s="311"/>
      <c r="D10" s="311"/>
      <c r="E10" s="311"/>
      <c r="F10" s="311"/>
      <c r="G10" s="311"/>
      <c r="H10" s="311"/>
      <c r="I10" s="311"/>
    </row>
    <row r="11" spans="1:9" x14ac:dyDescent="0.3">
      <c r="A11" s="311"/>
      <c r="B11" s="311"/>
      <c r="C11" s="311"/>
      <c r="D11" s="311"/>
      <c r="E11" s="311"/>
      <c r="F11" s="311"/>
      <c r="G11" s="311"/>
      <c r="H11" s="311"/>
      <c r="I11" s="311"/>
    </row>
    <row r="12" spans="1:9" x14ac:dyDescent="0.3">
      <c r="A12" s="311"/>
      <c r="B12" s="311"/>
      <c r="C12" s="311"/>
      <c r="D12" s="311"/>
      <c r="E12" s="311"/>
      <c r="F12" s="311"/>
      <c r="G12" s="311"/>
      <c r="H12" s="311"/>
      <c r="I12" s="311"/>
    </row>
    <row r="13" spans="1:9" x14ac:dyDescent="0.3">
      <c r="A13" s="311"/>
      <c r="B13" s="311"/>
      <c r="C13" s="311"/>
      <c r="D13" s="311"/>
      <c r="E13" s="311"/>
      <c r="F13" s="311"/>
      <c r="G13" s="311"/>
      <c r="H13" s="311"/>
      <c r="I13" s="311"/>
    </row>
    <row r="14" spans="1:9" x14ac:dyDescent="0.3">
      <c r="A14" s="311"/>
      <c r="B14" s="311"/>
      <c r="C14" s="311"/>
      <c r="D14" s="311"/>
      <c r="E14" s="311"/>
      <c r="F14" s="311"/>
      <c r="G14" s="311"/>
      <c r="H14" s="311"/>
      <c r="I14" s="311"/>
    </row>
    <row r="15" spans="1:9" ht="19.5" customHeight="1" x14ac:dyDescent="0.35">
      <c r="A15" s="98"/>
    </row>
    <row r="16" spans="1:9" ht="19.5" customHeight="1" x14ac:dyDescent="0.35">
      <c r="A16" s="283" t="s">
        <v>31</v>
      </c>
      <c r="B16" s="284"/>
      <c r="C16" s="284"/>
      <c r="D16" s="284"/>
      <c r="E16" s="284"/>
      <c r="F16" s="284"/>
      <c r="G16" s="284"/>
      <c r="H16" s="285"/>
    </row>
    <row r="17" spans="1:14" ht="20.25" customHeight="1" x14ac:dyDescent="0.3">
      <c r="A17" s="286" t="s">
        <v>47</v>
      </c>
      <c r="B17" s="286"/>
      <c r="C17" s="286"/>
      <c r="D17" s="286"/>
      <c r="E17" s="286"/>
      <c r="F17" s="286"/>
      <c r="G17" s="286"/>
      <c r="H17" s="286"/>
    </row>
    <row r="18" spans="1:14" ht="26.25" customHeight="1" x14ac:dyDescent="0.5">
      <c r="A18" s="100" t="s">
        <v>33</v>
      </c>
      <c r="B18" s="282" t="s">
        <v>5</v>
      </c>
      <c r="C18" s="282"/>
      <c r="D18" s="261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71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287" t="s">
        <v>9</v>
      </c>
      <c r="C20" s="287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287" t="s">
        <v>125</v>
      </c>
      <c r="C21" s="287"/>
      <c r="D21" s="287"/>
      <c r="E21" s="287"/>
      <c r="F21" s="287"/>
      <c r="G21" s="287"/>
      <c r="H21" s="287"/>
      <c r="I21" s="104"/>
    </row>
    <row r="22" spans="1:14" ht="26.25" customHeight="1" x14ac:dyDescent="0.5">
      <c r="A22" s="100" t="s">
        <v>37</v>
      </c>
      <c r="B22" s="105">
        <v>42572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>
        <v>42573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282" t="s">
        <v>9</v>
      </c>
      <c r="C26" s="282"/>
    </row>
    <row r="27" spans="1:14" ht="26.25" customHeight="1" x14ac:dyDescent="0.5">
      <c r="A27" s="109" t="s">
        <v>48</v>
      </c>
      <c r="B27" s="288" t="s">
        <v>122</v>
      </c>
      <c r="C27" s="288"/>
    </row>
    <row r="28" spans="1:14" ht="27" customHeight="1" x14ac:dyDescent="0.45">
      <c r="A28" s="109" t="s">
        <v>6</v>
      </c>
      <c r="B28" s="321">
        <v>99</v>
      </c>
    </row>
    <row r="29" spans="1:14" s="14" customFormat="1" ht="27" customHeight="1" x14ac:dyDescent="0.5">
      <c r="A29" s="109" t="s">
        <v>49</v>
      </c>
      <c r="B29" s="111">
        <v>0</v>
      </c>
      <c r="C29" s="289" t="s">
        <v>50</v>
      </c>
      <c r="D29" s="290"/>
      <c r="E29" s="290"/>
      <c r="F29" s="290"/>
      <c r="G29" s="291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322">
        <f>B28-B29</f>
        <v>99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292" t="s">
        <v>53</v>
      </c>
      <c r="D31" s="293"/>
      <c r="E31" s="293"/>
      <c r="F31" s="293"/>
      <c r="G31" s="293"/>
      <c r="H31" s="294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292" t="s">
        <v>55</v>
      </c>
      <c r="D32" s="293"/>
      <c r="E32" s="293"/>
      <c r="F32" s="293"/>
      <c r="G32" s="293"/>
      <c r="H32" s="294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50</v>
      </c>
      <c r="C36" s="99"/>
      <c r="D36" s="295" t="s">
        <v>59</v>
      </c>
      <c r="E36" s="296"/>
      <c r="F36" s="295" t="s">
        <v>60</v>
      </c>
      <c r="G36" s="297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50</v>
      </c>
      <c r="C38" s="131">
        <v>1</v>
      </c>
      <c r="D38" s="132">
        <v>7041309</v>
      </c>
      <c r="E38" s="133">
        <f>IF(ISBLANK(D38),"-",$D$48/$D$45*D38)</f>
        <v>7075640.0053057447</v>
      </c>
      <c r="F38" s="132">
        <v>7999016</v>
      </c>
      <c r="G38" s="134">
        <f>IF(ISBLANK(F38),"-",$D$48/$F$45*F38)</f>
        <v>7122544.2008234682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7032534</v>
      </c>
      <c r="E39" s="138">
        <f>IF(ISBLANK(D39),"-",$D$48/$D$45*D39)</f>
        <v>7066822.221418323</v>
      </c>
      <c r="F39" s="137">
        <v>7975322</v>
      </c>
      <c r="G39" s="139">
        <f>IF(ISBLANK(F39),"-",$D$48/$F$45*F39)</f>
        <v>7101446.4105084697</v>
      </c>
      <c r="I39" s="299">
        <f>ABS((F43/D43*D42)-F42)/D42</f>
        <v>7.1069667533170851E-3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7036637</v>
      </c>
      <c r="E40" s="138">
        <f>IF(ISBLANK(D40),"-",$D$48/$D$45*D40)</f>
        <v>7070945.2262377068</v>
      </c>
      <c r="F40" s="137">
        <v>7999538</v>
      </c>
      <c r="G40" s="139">
        <f>IF(ISBLANK(F40),"-",$D$48/$F$45*F40)</f>
        <v>7123009.0040033627</v>
      </c>
      <c r="I40" s="299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7036826.666666667</v>
      </c>
      <c r="E42" s="148">
        <f>AVERAGE(E38:E41)</f>
        <v>7071135.8176539242</v>
      </c>
      <c r="F42" s="147">
        <f>AVERAGE(F38:F41)</f>
        <v>7991292</v>
      </c>
      <c r="G42" s="149">
        <f>AVERAGE(G38:G41)</f>
        <v>7115666.5384451002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25.13</v>
      </c>
      <c r="E43" s="140"/>
      <c r="F43" s="152">
        <v>28.36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25.13</v>
      </c>
      <c r="E44" s="155"/>
      <c r="F44" s="154">
        <f>F43*$B$34</f>
        <v>28.36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24.878699999999998</v>
      </c>
      <c r="E45" s="158"/>
      <c r="F45" s="157">
        <f>F44*$B$30/100</f>
        <v>28.0764</v>
      </c>
      <c r="H45" s="150"/>
    </row>
    <row r="46" spans="1:14" ht="19.5" customHeight="1" x14ac:dyDescent="0.35">
      <c r="A46" s="300" t="s">
        <v>78</v>
      </c>
      <c r="B46" s="301"/>
      <c r="C46" s="153" t="s">
        <v>79</v>
      </c>
      <c r="D46" s="159">
        <f>D45/$B$45</f>
        <v>4.97574E-2</v>
      </c>
      <c r="E46" s="160"/>
      <c r="F46" s="161">
        <f>F45/$B$45</f>
        <v>5.6152799999999996E-2</v>
      </c>
      <c r="H46" s="150"/>
    </row>
    <row r="47" spans="1:14" ht="27" customHeight="1" x14ac:dyDescent="0.45">
      <c r="A47" s="302"/>
      <c r="B47" s="303"/>
      <c r="C47" s="162" t="s">
        <v>80</v>
      </c>
      <c r="D47" s="163">
        <v>0.05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25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7093401.1780495122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3.6309678204222385E-3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film coated tablet contains: Tinidazole BP 500 mg</v>
      </c>
    </row>
    <row r="56" spans="1:12" ht="26.25" customHeight="1" x14ac:dyDescent="0.45">
      <c r="A56" s="177" t="s">
        <v>87</v>
      </c>
      <c r="B56" s="178">
        <v>500</v>
      </c>
      <c r="C56" s="99" t="str">
        <f>B20</f>
        <v>Tinidazole</v>
      </c>
      <c r="H56" s="179"/>
    </row>
    <row r="57" spans="1:12" ht="18" x14ac:dyDescent="0.35">
      <c r="A57" s="176" t="s">
        <v>126</v>
      </c>
      <c r="B57" s="262">
        <f>Uniformity!C46</f>
        <v>685.1585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88</v>
      </c>
      <c r="B59" s="123">
        <v>100</v>
      </c>
      <c r="C59" s="99"/>
      <c r="D59" s="180" t="s">
        <v>89</v>
      </c>
      <c r="E59" s="181" t="s">
        <v>62</v>
      </c>
      <c r="F59" s="181" t="s">
        <v>63</v>
      </c>
      <c r="G59" s="181" t="s">
        <v>90</v>
      </c>
      <c r="H59" s="126" t="s">
        <v>91</v>
      </c>
      <c r="L59" s="112"/>
    </row>
    <row r="60" spans="1:12" s="14" customFormat="1" ht="26.25" customHeight="1" x14ac:dyDescent="0.45">
      <c r="A60" s="124" t="s">
        <v>92</v>
      </c>
      <c r="B60" s="125">
        <v>1</v>
      </c>
      <c r="C60" s="304" t="s">
        <v>93</v>
      </c>
      <c r="D60" s="307">
        <v>685.34</v>
      </c>
      <c r="E60" s="182">
        <v>1</v>
      </c>
      <c r="F60" s="183">
        <v>7145917</v>
      </c>
      <c r="G60" s="263">
        <f>IF(ISBLANK(F60),"-",(F60/$D$50*$D$47*$B$68)*($B$57/$D$60))</f>
        <v>503.5683413923602</v>
      </c>
      <c r="H60" s="184">
        <f t="shared" ref="H60:H71" si="0">IF(ISBLANK(F60),"-",G60/$B$56)</f>
        <v>1.0071366827847203</v>
      </c>
      <c r="L60" s="112"/>
    </row>
    <row r="61" spans="1:12" s="14" customFormat="1" ht="26.25" customHeight="1" x14ac:dyDescent="0.45">
      <c r="A61" s="124" t="s">
        <v>94</v>
      </c>
      <c r="B61" s="125">
        <v>100</v>
      </c>
      <c r="C61" s="305"/>
      <c r="D61" s="308"/>
      <c r="E61" s="185">
        <v>2</v>
      </c>
      <c r="F61" s="137">
        <v>7147176</v>
      </c>
      <c r="G61" s="264">
        <f>IF(ISBLANK(F61),"-",(F61/$D$50*$D$47*$B$68)*($B$57/$D$60))</f>
        <v>503.65706234193362</v>
      </c>
      <c r="H61" s="186">
        <f t="shared" si="0"/>
        <v>1.0073141246838673</v>
      </c>
      <c r="L61" s="112"/>
    </row>
    <row r="62" spans="1:12" s="14" customFormat="1" ht="26.25" customHeight="1" x14ac:dyDescent="0.45">
      <c r="A62" s="124" t="s">
        <v>95</v>
      </c>
      <c r="B62" s="125">
        <v>1</v>
      </c>
      <c r="C62" s="305"/>
      <c r="D62" s="308"/>
      <c r="E62" s="185">
        <v>3</v>
      </c>
      <c r="F62" s="187">
        <v>7141379</v>
      </c>
      <c r="G62" s="264">
        <f>IF(ISBLANK(F62),"-",(F62/$D$50*$D$47*$B$68)*($B$57/$D$60))</f>
        <v>503.24855134536705</v>
      </c>
      <c r="H62" s="186">
        <f t="shared" si="0"/>
        <v>1.0064971026907341</v>
      </c>
      <c r="L62" s="112"/>
    </row>
    <row r="63" spans="1:12" ht="27" customHeight="1" x14ac:dyDescent="0.45">
      <c r="A63" s="124" t="s">
        <v>96</v>
      </c>
      <c r="B63" s="125">
        <v>1</v>
      </c>
      <c r="C63" s="306"/>
      <c r="D63" s="309"/>
      <c r="E63" s="188">
        <v>4</v>
      </c>
      <c r="F63" s="189"/>
      <c r="G63" s="26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24" t="s">
        <v>97</v>
      </c>
      <c r="B64" s="125">
        <v>1</v>
      </c>
      <c r="C64" s="304" t="s">
        <v>98</v>
      </c>
      <c r="D64" s="307">
        <v>685.34</v>
      </c>
      <c r="E64" s="182">
        <v>1</v>
      </c>
      <c r="F64" s="183">
        <v>7235658</v>
      </c>
      <c r="G64" s="265">
        <f>IF(ISBLANK(F64),"-",(F64/$D$50*$D$47*$B$68)*($B$57/$D$64))</f>
        <v>509.89233403387721</v>
      </c>
      <c r="H64" s="190">
        <f t="shared" si="0"/>
        <v>1.0197846680677545</v>
      </c>
    </row>
    <row r="65" spans="1:8" ht="26.25" customHeight="1" x14ac:dyDescent="0.45">
      <c r="A65" s="124" t="s">
        <v>99</v>
      </c>
      <c r="B65" s="125">
        <v>1</v>
      </c>
      <c r="C65" s="305"/>
      <c r="D65" s="308"/>
      <c r="E65" s="185">
        <v>2</v>
      </c>
      <c r="F65" s="137">
        <v>7218725</v>
      </c>
      <c r="G65" s="266">
        <f>IF(ISBLANK(F65),"-",(F65/$D$50*$D$47*$B$68)*($B$57/$D$64))</f>
        <v>508.69907602027348</v>
      </c>
      <c r="H65" s="191">
        <f t="shared" si="0"/>
        <v>1.0173981520405471</v>
      </c>
    </row>
    <row r="66" spans="1:8" ht="26.25" customHeight="1" x14ac:dyDescent="0.45">
      <c r="A66" s="124" t="s">
        <v>100</v>
      </c>
      <c r="B66" s="125">
        <v>1</v>
      </c>
      <c r="C66" s="305"/>
      <c r="D66" s="308"/>
      <c r="E66" s="185">
        <v>3</v>
      </c>
      <c r="F66" s="137">
        <v>7213992</v>
      </c>
      <c r="G66" s="266">
        <f>IF(ISBLANK(F66),"-",(F66/$D$50*$D$47*$B$68)*($B$57/$D$64))</f>
        <v>508.36554444415674</v>
      </c>
      <c r="H66" s="191">
        <f t="shared" si="0"/>
        <v>1.0167310888883134</v>
      </c>
    </row>
    <row r="67" spans="1:8" ht="27" customHeight="1" x14ac:dyDescent="0.45">
      <c r="A67" s="124" t="s">
        <v>101</v>
      </c>
      <c r="B67" s="125">
        <v>1</v>
      </c>
      <c r="C67" s="306"/>
      <c r="D67" s="309"/>
      <c r="E67" s="188">
        <v>4</v>
      </c>
      <c r="F67" s="189"/>
      <c r="G67" s="26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4" t="s">
        <v>102</v>
      </c>
      <c r="B68" s="193">
        <f>(B67/B66)*(B65/B64)*(B63/B62)*(B61/B60)*B59</f>
        <v>10000</v>
      </c>
      <c r="C68" s="304" t="s">
        <v>103</v>
      </c>
      <c r="D68" s="307">
        <v>685.29</v>
      </c>
      <c r="E68" s="182">
        <v>1</v>
      </c>
      <c r="F68" s="183">
        <v>7187446</v>
      </c>
      <c r="G68" s="265">
        <f>IF(ISBLANK(F68),"-",(F68/$D$50*$D$47*$B$68)*($B$57/$D$68))</f>
        <v>506.53181906240047</v>
      </c>
      <c r="H68" s="186">
        <f t="shared" si="0"/>
        <v>1.013063638124801</v>
      </c>
    </row>
    <row r="69" spans="1:8" ht="27" customHeight="1" x14ac:dyDescent="0.5">
      <c r="A69" s="172" t="s">
        <v>104</v>
      </c>
      <c r="B69" s="194">
        <f>(D47*B68)/B56*B57</f>
        <v>685.1585</v>
      </c>
      <c r="C69" s="305"/>
      <c r="D69" s="308"/>
      <c r="E69" s="185">
        <v>2</v>
      </c>
      <c r="F69" s="137">
        <v>7161289</v>
      </c>
      <c r="G69" s="266">
        <f>IF(ISBLANK(F69),"-",(F69/$D$50*$D$47*$B$68)*($B$57/$D$68))</f>
        <v>504.68841699841073</v>
      </c>
      <c r="H69" s="186">
        <f t="shared" si="0"/>
        <v>1.0093768339968214</v>
      </c>
    </row>
    <row r="70" spans="1:8" ht="26.25" customHeight="1" x14ac:dyDescent="0.45">
      <c r="A70" s="317" t="s">
        <v>78</v>
      </c>
      <c r="B70" s="318"/>
      <c r="C70" s="305"/>
      <c r="D70" s="308"/>
      <c r="E70" s="185">
        <v>3</v>
      </c>
      <c r="F70" s="137">
        <v>7183508</v>
      </c>
      <c r="G70" s="266">
        <f>IF(ISBLANK(F70),"-",(F70/$D$50*$D$47*$B$68)*($B$57/$D$68))</f>
        <v>506.25429039596355</v>
      </c>
      <c r="H70" s="186">
        <f t="shared" si="0"/>
        <v>1.0125085807919272</v>
      </c>
    </row>
    <row r="71" spans="1:8" ht="27" customHeight="1" x14ac:dyDescent="0.45">
      <c r="A71" s="319"/>
      <c r="B71" s="320"/>
      <c r="C71" s="316"/>
      <c r="D71" s="309"/>
      <c r="E71" s="188">
        <v>4</v>
      </c>
      <c r="F71" s="189"/>
      <c r="G71" s="26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196"/>
      <c r="B72" s="196"/>
      <c r="C72" s="196"/>
      <c r="D72" s="196"/>
      <c r="E72" s="196"/>
      <c r="F72" s="198" t="s">
        <v>71</v>
      </c>
      <c r="G72" s="269">
        <f>AVERAGE(G60:G71)</f>
        <v>506.10060400386033</v>
      </c>
      <c r="H72" s="199">
        <f>AVERAGE(H60:H71)</f>
        <v>1.0122012080077207</v>
      </c>
    </row>
    <row r="73" spans="1:8" ht="26.25" customHeight="1" x14ac:dyDescent="0.45">
      <c r="C73" s="196"/>
      <c r="D73" s="196"/>
      <c r="E73" s="196"/>
      <c r="F73" s="200" t="s">
        <v>84</v>
      </c>
      <c r="G73" s="268">
        <f>STDEV(G60:G71)/G72</f>
        <v>4.8891104717746908E-3</v>
      </c>
      <c r="H73" s="268">
        <f>STDEV(H60:H71)/H72</f>
        <v>4.8891104717747151E-3</v>
      </c>
    </row>
    <row r="74" spans="1:8" ht="27" customHeight="1" x14ac:dyDescent="0.45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5">
      <c r="A76" s="108" t="s">
        <v>105</v>
      </c>
      <c r="B76" s="204" t="s">
        <v>106</v>
      </c>
      <c r="C76" s="312" t="str">
        <f>B20</f>
        <v>Tinidazole</v>
      </c>
      <c r="D76" s="312"/>
      <c r="E76" s="205" t="s">
        <v>107</v>
      </c>
      <c r="F76" s="205"/>
      <c r="G76" s="206">
        <f>H72</f>
        <v>1.0122012080077207</v>
      </c>
      <c r="H76" s="207"/>
    </row>
    <row r="77" spans="1:8" ht="18" x14ac:dyDescent="0.35">
      <c r="A77" s="107" t="s">
        <v>108</v>
      </c>
      <c r="B77" s="107" t="s">
        <v>109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298" t="str">
        <f>B26</f>
        <v>Tinidazole</v>
      </c>
      <c r="C79" s="298"/>
    </row>
    <row r="80" spans="1:8" ht="26.25" customHeight="1" x14ac:dyDescent="0.45">
      <c r="A80" s="109" t="s">
        <v>48</v>
      </c>
      <c r="B80" s="298" t="str">
        <f>B27</f>
        <v>T2-2</v>
      </c>
      <c r="C80" s="298"/>
    </row>
    <row r="81" spans="1:12" ht="27" customHeight="1" x14ac:dyDescent="0.45">
      <c r="A81" s="109" t="s">
        <v>6</v>
      </c>
      <c r="B81" s="116">
        <f>B28</f>
        <v>99</v>
      </c>
    </row>
    <row r="82" spans="1:12" s="14" customFormat="1" ht="27" customHeight="1" x14ac:dyDescent="0.5">
      <c r="A82" s="109" t="s">
        <v>49</v>
      </c>
      <c r="B82" s="111">
        <v>0</v>
      </c>
      <c r="C82" s="289" t="s">
        <v>50</v>
      </c>
      <c r="D82" s="290"/>
      <c r="E82" s="290"/>
      <c r="F82" s="290"/>
      <c r="G82" s="291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9">
        <f>B81-B82</f>
        <v>99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292" t="s">
        <v>110</v>
      </c>
      <c r="D84" s="293"/>
      <c r="E84" s="293"/>
      <c r="F84" s="293"/>
      <c r="G84" s="293"/>
      <c r="H84" s="294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292" t="s">
        <v>111</v>
      </c>
      <c r="D85" s="293"/>
      <c r="E85" s="293"/>
      <c r="F85" s="293"/>
      <c r="G85" s="293"/>
      <c r="H85" s="294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50</v>
      </c>
      <c r="D89" s="208" t="s">
        <v>59</v>
      </c>
      <c r="E89" s="209"/>
      <c r="F89" s="295" t="s">
        <v>60</v>
      </c>
      <c r="G89" s="297"/>
    </row>
    <row r="90" spans="1:12" ht="27" customHeight="1" x14ac:dyDescent="0.45">
      <c r="A90" s="124" t="s">
        <v>61</v>
      </c>
      <c r="B90" s="125">
        <v>1</v>
      </c>
      <c r="C90" s="210" t="s">
        <v>62</v>
      </c>
      <c r="D90" s="127" t="s">
        <v>63</v>
      </c>
      <c r="E90" s="128" t="s">
        <v>64</v>
      </c>
      <c r="F90" s="127" t="s">
        <v>63</v>
      </c>
      <c r="G90" s="211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50</v>
      </c>
      <c r="C91" s="212">
        <v>1</v>
      </c>
      <c r="D91" s="328">
        <v>0.38</v>
      </c>
      <c r="E91" s="133">
        <f>IF(ISBLANK(D91),"-",$D$101/$D$98*D91)</f>
        <v>0.42428083282307988</v>
      </c>
      <c r="F91" s="132">
        <v>0.41599999999999998</v>
      </c>
      <c r="G91" s="134">
        <f>IF(ISBLANK(F91),"-",$D$101/$F$98*F91)</f>
        <v>0.41157539982175617</v>
      </c>
      <c r="I91" s="135"/>
    </row>
    <row r="92" spans="1:12" ht="26.25" customHeight="1" x14ac:dyDescent="0.45">
      <c r="A92" s="124" t="s">
        <v>67</v>
      </c>
      <c r="B92" s="125">
        <v>1</v>
      </c>
      <c r="C92" s="197">
        <v>2</v>
      </c>
      <c r="D92" s="329">
        <v>0.38100000000000001</v>
      </c>
      <c r="E92" s="138">
        <f>IF(ISBLANK(D92),"-",$D$101/$D$98*D92)</f>
        <v>0.42539736133050904</v>
      </c>
      <c r="F92" s="137">
        <v>0.41399999999999998</v>
      </c>
      <c r="G92" s="139">
        <f>IF(ISBLANK(F92),"-",$D$101/$F$98*F92)</f>
        <v>0.4095966719379977</v>
      </c>
      <c r="I92" s="299">
        <f>ABS((F96/D96*D95)-F95)/D95</f>
        <v>3.7383519807430904E-2</v>
      </c>
    </row>
    <row r="93" spans="1:12" ht="26.25" customHeight="1" x14ac:dyDescent="0.45">
      <c r="A93" s="124" t="s">
        <v>68</v>
      </c>
      <c r="B93" s="125">
        <v>1</v>
      </c>
      <c r="C93" s="197">
        <v>3</v>
      </c>
      <c r="D93" s="329">
        <v>0.38</v>
      </c>
      <c r="E93" s="138">
        <f>IF(ISBLANK(D93),"-",$D$101/$D$98*D93)</f>
        <v>0.42428083282307988</v>
      </c>
      <c r="F93" s="137">
        <v>0.41499999999999998</v>
      </c>
      <c r="G93" s="139">
        <f>IF(ISBLANK(F93),"-",$D$101/$F$98*F93)</f>
        <v>0.41058603587987696</v>
      </c>
      <c r="I93" s="299"/>
    </row>
    <row r="94" spans="1:12" ht="27" customHeight="1" x14ac:dyDescent="0.45">
      <c r="A94" s="124" t="s">
        <v>69</v>
      </c>
      <c r="B94" s="125">
        <v>1</v>
      </c>
      <c r="C94" s="213">
        <v>4</v>
      </c>
      <c r="D94" s="214"/>
      <c r="E94" s="143" t="str">
        <f>IF(ISBLANK(D94),"-",$D$101/$D$98*D94)</f>
        <v>-</v>
      </c>
      <c r="F94" s="214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15" t="s">
        <v>71</v>
      </c>
      <c r="D95" s="330">
        <f>AVERAGE(D91:D94)</f>
        <v>0.38033333333333336</v>
      </c>
      <c r="E95" s="331">
        <f>AVERAGE(E91:E94)</f>
        <v>0.42465300899222291</v>
      </c>
      <c r="F95" s="332">
        <f>AVERAGE(F91:F94)</f>
        <v>0.41499999999999998</v>
      </c>
      <c r="G95" s="333">
        <f>AVERAGE(G91:G94)</f>
        <v>0.41058603587987696</v>
      </c>
    </row>
    <row r="96" spans="1:12" ht="26.25" customHeight="1" x14ac:dyDescent="0.45">
      <c r="A96" s="124" t="s">
        <v>72</v>
      </c>
      <c r="B96" s="110">
        <v>1</v>
      </c>
      <c r="C96" s="216" t="s">
        <v>112</v>
      </c>
      <c r="D96" s="217">
        <v>25.13</v>
      </c>
      <c r="E96" s="140"/>
      <c r="F96" s="152">
        <v>28.36</v>
      </c>
    </row>
    <row r="97" spans="1:10" ht="26.25" customHeight="1" x14ac:dyDescent="0.45">
      <c r="A97" s="124" t="s">
        <v>74</v>
      </c>
      <c r="B97" s="110">
        <v>1</v>
      </c>
      <c r="C97" s="218" t="s">
        <v>113</v>
      </c>
      <c r="D97" s="219">
        <f>D96*$B$87</f>
        <v>25.13</v>
      </c>
      <c r="E97" s="155"/>
      <c r="F97" s="154">
        <f>F96*$B$87</f>
        <v>28.36</v>
      </c>
    </row>
    <row r="98" spans="1:10" ht="19.5" customHeight="1" x14ac:dyDescent="0.35">
      <c r="A98" s="124" t="s">
        <v>76</v>
      </c>
      <c r="B98" s="220">
        <f>(B97/B96)*(B95/B94)*(B93/B92)*(B91/B90)*B89</f>
        <v>2500</v>
      </c>
      <c r="C98" s="218" t="s">
        <v>114</v>
      </c>
      <c r="D98" s="221">
        <f>D97*$B$83/100</f>
        <v>24.878699999999998</v>
      </c>
      <c r="E98" s="158"/>
      <c r="F98" s="157">
        <f>F97*$B$83/100</f>
        <v>28.0764</v>
      </c>
    </row>
    <row r="99" spans="1:10" ht="19.5" customHeight="1" x14ac:dyDescent="0.35">
      <c r="A99" s="300" t="s">
        <v>78</v>
      </c>
      <c r="B99" s="314"/>
      <c r="C99" s="218" t="s">
        <v>115</v>
      </c>
      <c r="D99" s="222">
        <f>D98/$B$98</f>
        <v>9.9514799999999987E-3</v>
      </c>
      <c r="E99" s="158"/>
      <c r="F99" s="161">
        <f>F98/$B$98</f>
        <v>1.1230560000000001E-2</v>
      </c>
      <c r="G99" s="223"/>
      <c r="H99" s="150"/>
    </row>
    <row r="100" spans="1:10" ht="19.5" customHeight="1" x14ac:dyDescent="0.35">
      <c r="A100" s="302"/>
      <c r="B100" s="315"/>
      <c r="C100" s="218" t="s">
        <v>80</v>
      </c>
      <c r="D100" s="224">
        <f>$B$56/$B$116</f>
        <v>1.1111111111111112E-2</v>
      </c>
      <c r="F100" s="166"/>
      <c r="G100" s="225"/>
      <c r="H100" s="150"/>
    </row>
    <row r="101" spans="1:10" ht="18" x14ac:dyDescent="0.35">
      <c r="C101" s="218" t="s">
        <v>81</v>
      </c>
      <c r="D101" s="219">
        <f>D100*$B$98</f>
        <v>27.777777777777779</v>
      </c>
      <c r="F101" s="166"/>
      <c r="G101" s="223"/>
      <c r="H101" s="150"/>
    </row>
    <row r="102" spans="1:10" ht="19.5" customHeight="1" x14ac:dyDescent="0.35">
      <c r="C102" s="226" t="s">
        <v>82</v>
      </c>
      <c r="D102" s="227">
        <f>D101/B34</f>
        <v>27.777777777777779</v>
      </c>
      <c r="F102" s="170"/>
      <c r="G102" s="223"/>
      <c r="H102" s="150"/>
      <c r="J102" s="228"/>
    </row>
    <row r="103" spans="1:10" ht="18" x14ac:dyDescent="0.35">
      <c r="C103" s="229" t="s">
        <v>83</v>
      </c>
      <c r="D103" s="230">
        <f>AVERAGE(E91:E94,G91:G94)</f>
        <v>0.41761952243604988</v>
      </c>
      <c r="F103" s="334"/>
      <c r="G103" s="231"/>
      <c r="H103" s="150"/>
      <c r="J103" s="232"/>
    </row>
    <row r="104" spans="1:10" ht="18" x14ac:dyDescent="0.35">
      <c r="C104" s="200" t="s">
        <v>84</v>
      </c>
      <c r="D104" s="233">
        <f>STDEV(E91:E94,G91:G94)/D103</f>
        <v>1.8535793281828472E-2</v>
      </c>
      <c r="F104" s="170"/>
      <c r="G104" s="223"/>
      <c r="H104" s="150"/>
      <c r="J104" s="232"/>
    </row>
    <row r="105" spans="1:10" ht="19.5" customHeight="1" x14ac:dyDescent="0.35">
      <c r="C105" s="202" t="s">
        <v>20</v>
      </c>
      <c r="D105" s="234">
        <f>COUNT(E91:E94,G91:G94)</f>
        <v>6</v>
      </c>
      <c r="F105" s="170"/>
      <c r="G105" s="223"/>
      <c r="H105" s="150"/>
      <c r="J105" s="232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6.25" customHeight="1" x14ac:dyDescent="0.45">
      <c r="A107" s="122" t="s">
        <v>116</v>
      </c>
      <c r="B107" s="123">
        <v>900</v>
      </c>
      <c r="C107" s="235" t="s">
        <v>127</v>
      </c>
      <c r="D107" s="236" t="s">
        <v>63</v>
      </c>
      <c r="E107" s="237" t="s">
        <v>117</v>
      </c>
      <c r="F107" s="238" t="s">
        <v>118</v>
      </c>
    </row>
    <row r="108" spans="1:10" ht="26.25" customHeight="1" x14ac:dyDescent="0.45">
      <c r="A108" s="124" t="s">
        <v>119</v>
      </c>
      <c r="B108" s="125">
        <v>1</v>
      </c>
      <c r="C108" s="239">
        <v>1</v>
      </c>
      <c r="D108" s="323">
        <v>0.41699999999999998</v>
      </c>
      <c r="E108" s="325">
        <f t="shared" ref="E108:E113" si="1">IF(ISBLANK(D108),"-",D108/$D$103*$D$100*$B$116)</f>
        <v>499.25826930642978</v>
      </c>
      <c r="F108" s="240">
        <f t="shared" ref="F108:F113" si="2">IF(ISBLANK(D108), "-", E108/$B$56)</f>
        <v>0.99851653861285961</v>
      </c>
    </row>
    <row r="109" spans="1:10" ht="26.25" customHeight="1" x14ac:dyDescent="0.45">
      <c r="A109" s="124" t="s">
        <v>94</v>
      </c>
      <c r="B109" s="125">
        <v>50</v>
      </c>
      <c r="C109" s="239">
        <v>2</v>
      </c>
      <c r="D109" s="323">
        <v>0.41399999999999998</v>
      </c>
      <c r="E109" s="326">
        <f t="shared" si="1"/>
        <v>495.66648319631156</v>
      </c>
      <c r="F109" s="241">
        <f t="shared" si="2"/>
        <v>0.99133296639262314</v>
      </c>
    </row>
    <row r="110" spans="1:10" ht="26.25" customHeight="1" x14ac:dyDescent="0.45">
      <c r="A110" s="124" t="s">
        <v>95</v>
      </c>
      <c r="B110" s="125">
        <v>1</v>
      </c>
      <c r="C110" s="239">
        <v>3</v>
      </c>
      <c r="D110" s="323">
        <v>0.42199999999999999</v>
      </c>
      <c r="E110" s="326">
        <f t="shared" si="1"/>
        <v>505.24457948996019</v>
      </c>
      <c r="F110" s="241">
        <f t="shared" si="2"/>
        <v>1.0104891589799203</v>
      </c>
    </row>
    <row r="111" spans="1:10" ht="26.25" customHeight="1" x14ac:dyDescent="0.45">
      <c r="A111" s="124" t="s">
        <v>96</v>
      </c>
      <c r="B111" s="125">
        <v>1</v>
      </c>
      <c r="C111" s="239">
        <v>4</v>
      </c>
      <c r="D111" s="323">
        <v>0.42</v>
      </c>
      <c r="E111" s="326">
        <f t="shared" si="1"/>
        <v>502.850055416548</v>
      </c>
      <c r="F111" s="241">
        <f t="shared" si="2"/>
        <v>1.0057001108330961</v>
      </c>
    </row>
    <row r="112" spans="1:10" ht="26.25" customHeight="1" x14ac:dyDescent="0.45">
      <c r="A112" s="124" t="s">
        <v>97</v>
      </c>
      <c r="B112" s="125">
        <v>1</v>
      </c>
      <c r="C112" s="239">
        <v>5</v>
      </c>
      <c r="D112" s="323">
        <v>0.41699999999999998</v>
      </c>
      <c r="E112" s="326">
        <f t="shared" si="1"/>
        <v>499.25826930642978</v>
      </c>
      <c r="F112" s="241">
        <f t="shared" si="2"/>
        <v>0.99851653861285961</v>
      </c>
    </row>
    <row r="113" spans="1:10" ht="26.25" customHeight="1" x14ac:dyDescent="0.45">
      <c r="A113" s="124" t="s">
        <v>99</v>
      </c>
      <c r="B113" s="125">
        <v>1</v>
      </c>
      <c r="C113" s="242">
        <v>6</v>
      </c>
      <c r="D113" s="324">
        <v>0.41799999999999998</v>
      </c>
      <c r="E113" s="327">
        <f t="shared" si="1"/>
        <v>500.45553134313582</v>
      </c>
      <c r="F113" s="243">
        <f t="shared" si="2"/>
        <v>1.0009110626862716</v>
      </c>
    </row>
    <row r="114" spans="1:10" ht="26.25" customHeight="1" x14ac:dyDescent="0.45">
      <c r="A114" s="124" t="s">
        <v>100</v>
      </c>
      <c r="B114" s="125">
        <v>1</v>
      </c>
      <c r="C114" s="239"/>
      <c r="D114" s="197"/>
      <c r="E114" s="98"/>
      <c r="F114" s="244"/>
    </row>
    <row r="115" spans="1:10" ht="26.25" customHeight="1" x14ac:dyDescent="0.45">
      <c r="A115" s="124" t="s">
        <v>101</v>
      </c>
      <c r="B115" s="125">
        <v>1</v>
      </c>
      <c r="C115" s="239"/>
      <c r="D115" s="245" t="s">
        <v>71</v>
      </c>
      <c r="E115" s="270">
        <f>AVERAGE(E108:E113)</f>
        <v>500.45553134313587</v>
      </c>
      <c r="F115" s="246">
        <f>AVERAGE(F108:F113)</f>
        <v>1.0009110626862718</v>
      </c>
    </row>
    <row r="116" spans="1:10" ht="27" customHeight="1" x14ac:dyDescent="0.45">
      <c r="A116" s="124" t="s">
        <v>102</v>
      </c>
      <c r="B116" s="156">
        <f>(B115/B114)*(B113/B112)*(B111/B110)*(B109/B108)*B107</f>
        <v>45000</v>
      </c>
      <c r="C116" s="247"/>
      <c r="D116" s="215" t="s">
        <v>84</v>
      </c>
      <c r="E116" s="248">
        <f>STDEV(E108:E113)/E115</f>
        <v>6.595238637363803E-3</v>
      </c>
      <c r="F116" s="248">
        <f>STDEV(F108:F113)/F115</f>
        <v>6.5952386373637813E-3</v>
      </c>
      <c r="I116" s="98"/>
    </row>
    <row r="117" spans="1:10" ht="27" customHeight="1" x14ac:dyDescent="0.45">
      <c r="A117" s="300" t="s">
        <v>78</v>
      </c>
      <c r="B117" s="301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8"/>
      <c r="J117" s="232"/>
    </row>
    <row r="118" spans="1:10" ht="19.5" customHeight="1" x14ac:dyDescent="0.35">
      <c r="A118" s="302"/>
      <c r="B118" s="303"/>
      <c r="C118" s="98"/>
      <c r="D118" s="98"/>
      <c r="E118" s="98"/>
      <c r="F118" s="197"/>
      <c r="G118" s="98"/>
      <c r="H118" s="98"/>
      <c r="I118" s="98"/>
    </row>
    <row r="119" spans="1:10" ht="18" x14ac:dyDescent="0.35">
      <c r="A119" s="260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5">
      <c r="A120" s="108" t="s">
        <v>105</v>
      </c>
      <c r="B120" s="204" t="s">
        <v>120</v>
      </c>
      <c r="C120" s="312" t="str">
        <f>B20</f>
        <v>Tinidazole</v>
      </c>
      <c r="D120" s="312"/>
      <c r="E120" s="205" t="s">
        <v>121</v>
      </c>
      <c r="F120" s="205"/>
      <c r="G120" s="206">
        <f>F115</f>
        <v>1.0009110626862718</v>
      </c>
      <c r="H120" s="98"/>
      <c r="I120" s="98"/>
    </row>
    <row r="121" spans="1:10" ht="19.5" customHeight="1" x14ac:dyDescent="0.35">
      <c r="A121" s="252"/>
      <c r="B121" s="252"/>
      <c r="C121" s="253"/>
      <c r="D121" s="253"/>
      <c r="E121" s="253"/>
      <c r="F121" s="253"/>
      <c r="G121" s="253"/>
      <c r="H121" s="253"/>
    </row>
    <row r="122" spans="1:10" ht="18" x14ac:dyDescent="0.35">
      <c r="B122" s="313" t="s">
        <v>26</v>
      </c>
      <c r="C122" s="313"/>
      <c r="E122" s="210" t="s">
        <v>27</v>
      </c>
      <c r="F122" s="254"/>
      <c r="G122" s="313" t="s">
        <v>28</v>
      </c>
      <c r="H122" s="313"/>
    </row>
    <row r="123" spans="1:10" ht="69.900000000000006" customHeight="1" x14ac:dyDescent="0.35">
      <c r="A123" s="255" t="s">
        <v>29</v>
      </c>
      <c r="B123" s="256"/>
      <c r="C123" s="256"/>
      <c r="E123" s="256"/>
      <c r="F123" s="98"/>
      <c r="G123" s="257"/>
      <c r="H123" s="257"/>
    </row>
    <row r="124" spans="1:10" ht="69.900000000000006" customHeight="1" x14ac:dyDescent="0.35">
      <c r="A124" s="255" t="s">
        <v>30</v>
      </c>
      <c r="B124" s="258"/>
      <c r="C124" s="258"/>
      <c r="E124" s="258"/>
      <c r="F124" s="98"/>
      <c r="G124" s="259"/>
      <c r="H124" s="259"/>
    </row>
    <row r="125" spans="1:10" ht="18" x14ac:dyDescent="0.3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" x14ac:dyDescent="0.3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" x14ac:dyDescent="0.3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" x14ac:dyDescent="0.3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" x14ac:dyDescent="0.3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" x14ac:dyDescent="0.3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" x14ac:dyDescent="0.3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" x14ac:dyDescent="0.3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" x14ac:dyDescent="0.3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3">
      <c r="A250" s="2">
        <v>5</v>
      </c>
    </row>
  </sheetData>
  <sheetProtection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Tinidazole</vt:lpstr>
      <vt:lpstr>SST!Print_Area</vt:lpstr>
      <vt:lpstr>Tinidazole!Print_Area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2016-10-18T08:23:30Z</cp:lastPrinted>
  <dcterms:created xsi:type="dcterms:W3CDTF">2005-07-05T10:19:27Z</dcterms:created>
  <dcterms:modified xsi:type="dcterms:W3CDTF">2016-10-18T08:25:40Z</dcterms:modified>
</cp:coreProperties>
</file>