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-S1" sheetId="1" r:id="rId1"/>
    <sheet name="SST-S2" sheetId="7" r:id="rId2"/>
    <sheet name="Uniformity" sheetId="2" r:id="rId3"/>
    <sheet name="Loperamide Hydrochloride" sheetId="6" r:id="rId4"/>
    <sheet name="Loperamide Hydrochloride-S2" sheetId="5" r:id="rId5"/>
  </sheets>
  <definedNames>
    <definedName name="_xlnm.Print_Area" localSheetId="3">'Loperamide Hydrochloride'!$A$1:$I$124</definedName>
    <definedName name="_xlnm.Print_Area" localSheetId="4">'Loperamide Hydrochloride-S2'!$A$1:$H$172</definedName>
    <definedName name="_xlnm.Print_Area" localSheetId="0">'SST-S1'!$A$15:$G$61</definedName>
    <definedName name="_xlnm.Print_Area" localSheetId="1">'SST-S2'!$A$15:$G$61</definedName>
    <definedName name="_xlnm.Print_Area" localSheetId="2">Uniformity!$A$10:$G$52</definedName>
  </definedNames>
  <calcPr calcId="145621"/>
</workbook>
</file>

<file path=xl/calcChain.xml><?xml version="1.0" encoding="utf-8"?>
<calcChain xmlns="http://schemas.openxmlformats.org/spreadsheetml/2006/main">
  <c r="B42" i="7" l="1"/>
  <c r="B53" i="7" l="1"/>
  <c r="E51" i="7"/>
  <c r="D51" i="7"/>
  <c r="C51" i="7"/>
  <c r="B51" i="7"/>
  <c r="B52" i="7" s="1"/>
  <c r="B32" i="7"/>
  <c r="B31" i="7"/>
  <c r="B42" i="1"/>
  <c r="B57" i="5"/>
  <c r="C120" i="6"/>
  <c r="B116" i="6"/>
  <c r="D101" i="6"/>
  <c r="D102" i="6" s="1"/>
  <c r="D100" i="6"/>
  <c r="B98" i="6"/>
  <c r="D97" i="6"/>
  <c r="D98" i="6" s="1"/>
  <c r="F95" i="6"/>
  <c r="D95" i="6"/>
  <c r="I92" i="6" s="1"/>
  <c r="G94" i="6"/>
  <c r="E94" i="6"/>
  <c r="B87" i="6"/>
  <c r="F97" i="6" s="1"/>
  <c r="B81" i="6"/>
  <c r="B83" i="6" s="1"/>
  <c r="B80" i="6"/>
  <c r="B79" i="6"/>
  <c r="C76" i="6"/>
  <c r="H71" i="6"/>
  <c r="G71" i="6"/>
  <c r="B68" i="6"/>
  <c r="B69" i="6" s="1"/>
  <c r="H67" i="6"/>
  <c r="G67" i="6"/>
  <c r="H63" i="6"/>
  <c r="G63" i="6"/>
  <c r="B57" i="6"/>
  <c r="C56" i="6"/>
  <c r="B55" i="6"/>
  <c r="D48" i="6"/>
  <c r="D49" i="6" s="1"/>
  <c r="B45" i="6"/>
  <c r="F42" i="6"/>
  <c r="D42" i="6"/>
  <c r="G41" i="6"/>
  <c r="E41" i="6"/>
  <c r="I39" i="6"/>
  <c r="B34" i="6"/>
  <c r="D44" i="6" s="1"/>
  <c r="D45" i="6" s="1"/>
  <c r="B30" i="6"/>
  <c r="D99" i="6" l="1"/>
  <c r="E93" i="6"/>
  <c r="E38" i="6"/>
  <c r="D46" i="6"/>
  <c r="F98" i="6"/>
  <c r="E39" i="6"/>
  <c r="F44" i="6"/>
  <c r="F45" i="6" s="1"/>
  <c r="F46" i="6" s="1"/>
  <c r="G92" i="6"/>
  <c r="G39" i="6"/>
  <c r="E91" i="6"/>
  <c r="G38" i="6"/>
  <c r="E40" i="6"/>
  <c r="E92" i="6"/>
  <c r="G42" i="6" l="1"/>
  <c r="G91" i="6"/>
  <c r="G95" i="6" s="1"/>
  <c r="F99" i="6"/>
  <c r="G93" i="6"/>
  <c r="E95" i="6"/>
  <c r="D105" i="6"/>
  <c r="G40" i="6"/>
  <c r="D52" i="6"/>
  <c r="D50" i="6"/>
  <c r="E42" i="6"/>
  <c r="G68" i="6" l="1"/>
  <c r="H68" i="6" s="1"/>
  <c r="G69" i="6"/>
  <c r="H69" i="6" s="1"/>
  <c r="G60" i="6"/>
  <c r="D51" i="6"/>
  <c r="G70" i="6"/>
  <c r="H70" i="6" s="1"/>
  <c r="G65" i="6"/>
  <c r="H65" i="6" s="1"/>
  <c r="G61" i="6"/>
  <c r="H61" i="6" s="1"/>
  <c r="G66" i="6"/>
  <c r="H66" i="6" s="1"/>
  <c r="G64" i="6"/>
  <c r="H64" i="6" s="1"/>
  <c r="G62" i="6"/>
  <c r="H62" i="6" s="1"/>
  <c r="D103" i="6"/>
  <c r="E112" i="6" l="1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H60" i="6"/>
  <c r="G74" i="6"/>
  <c r="G72" i="6"/>
  <c r="G73" i="6" s="1"/>
  <c r="H74" i="6" l="1"/>
  <c r="H72" i="6"/>
  <c r="E115" i="6"/>
  <c r="E116" i="6" s="1"/>
  <c r="E117" i="6"/>
  <c r="F108" i="6"/>
  <c r="F117" i="6" l="1"/>
  <c r="F115" i="6"/>
  <c r="G76" i="6"/>
  <c r="H73" i="6"/>
  <c r="G120" i="6" l="1"/>
  <c r="F116" i="6"/>
  <c r="C168" i="5" l="1"/>
  <c r="B159" i="5"/>
  <c r="D143" i="5"/>
  <c r="D144" i="5" s="1"/>
  <c r="B141" i="5"/>
  <c r="F138" i="5"/>
  <c r="D138" i="5"/>
  <c r="G137" i="5"/>
  <c r="E137" i="5"/>
  <c r="B130" i="5"/>
  <c r="F140" i="5" s="1"/>
  <c r="F141" i="5" s="1"/>
  <c r="F142" i="5" s="1"/>
  <c r="B126" i="5"/>
  <c r="B125" i="5"/>
  <c r="B116" i="5"/>
  <c r="D100" i="5"/>
  <c r="B98" i="5"/>
  <c r="F95" i="5"/>
  <c r="D95" i="5"/>
  <c r="G94" i="5"/>
  <c r="E94" i="5"/>
  <c r="B87" i="5"/>
  <c r="F97" i="5" s="1"/>
  <c r="F98" i="5" s="1"/>
  <c r="B83" i="5"/>
  <c r="B82" i="5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F44" i="5"/>
  <c r="F42" i="5"/>
  <c r="D42" i="5"/>
  <c r="G41" i="5"/>
  <c r="E41" i="5"/>
  <c r="B34" i="5"/>
  <c r="D44" i="5" s="1"/>
  <c r="B30" i="5"/>
  <c r="F99" i="5" l="1"/>
  <c r="D101" i="5"/>
  <c r="D102" i="5" s="1"/>
  <c r="F45" i="5"/>
  <c r="F46" i="5" s="1"/>
  <c r="D45" i="5"/>
  <c r="D46" i="5" s="1"/>
  <c r="G93" i="5"/>
  <c r="G91" i="5"/>
  <c r="G95" i="5" s="1"/>
  <c r="G92" i="5"/>
  <c r="D49" i="5"/>
  <c r="E40" i="5"/>
  <c r="G39" i="5"/>
  <c r="G40" i="5"/>
  <c r="G38" i="5"/>
  <c r="E39" i="5"/>
  <c r="D145" i="5"/>
  <c r="G136" i="5"/>
  <c r="G134" i="5"/>
  <c r="E134" i="5"/>
  <c r="G135" i="5"/>
  <c r="D140" i="5"/>
  <c r="D141" i="5" s="1"/>
  <c r="D142" i="5" s="1"/>
  <c r="D97" i="5"/>
  <c r="D98" i="5" s="1"/>
  <c r="D99" i="5" s="1"/>
  <c r="G138" i="5" l="1"/>
  <c r="E38" i="5"/>
  <c r="E136" i="5"/>
  <c r="D52" i="5"/>
  <c r="D50" i="5"/>
  <c r="E42" i="5"/>
  <c r="E93" i="5"/>
  <c r="E92" i="5"/>
  <c r="E135" i="5"/>
  <c r="G42" i="5"/>
  <c r="E91" i="5"/>
  <c r="D148" i="5" l="1"/>
  <c r="E138" i="5"/>
  <c r="E95" i="5"/>
  <c r="D105" i="5"/>
  <c r="D103" i="5"/>
  <c r="D146" i="5"/>
  <c r="G68" i="5"/>
  <c r="H68" i="5" s="1"/>
  <c r="G66" i="5"/>
  <c r="H66" i="5" s="1"/>
  <c r="G64" i="5"/>
  <c r="H64" i="5" s="1"/>
  <c r="G60" i="5"/>
  <c r="H60" i="5" s="1"/>
  <c r="G69" i="5"/>
  <c r="H69" i="5" s="1"/>
  <c r="G62" i="5"/>
  <c r="H62" i="5" s="1"/>
  <c r="G70" i="5"/>
  <c r="H70" i="5" s="1"/>
  <c r="G65" i="5"/>
  <c r="H65" i="5" s="1"/>
  <c r="G61" i="5"/>
  <c r="H61" i="5" s="1"/>
  <c r="D51" i="5"/>
  <c r="H74" i="5" l="1"/>
  <c r="H72" i="5"/>
  <c r="E155" i="5"/>
  <c r="F155" i="5" s="1"/>
  <c r="E153" i="5"/>
  <c r="F153" i="5" s="1"/>
  <c r="E151" i="5"/>
  <c r="F151" i="5" s="1"/>
  <c r="E156" i="5"/>
  <c r="F156" i="5" s="1"/>
  <c r="E152" i="5"/>
  <c r="F152" i="5" s="1"/>
  <c r="E154" i="5"/>
  <c r="F154" i="5" s="1"/>
  <c r="D147" i="5"/>
  <c r="E112" i="5"/>
  <c r="F112" i="5" s="1"/>
  <c r="E110" i="5"/>
  <c r="F110" i="5" s="1"/>
  <c r="E108" i="5"/>
  <c r="F108" i="5" s="1"/>
  <c r="E111" i="5"/>
  <c r="F111" i="5" s="1"/>
  <c r="E113" i="5"/>
  <c r="F113" i="5" s="1"/>
  <c r="E109" i="5"/>
  <c r="F109" i="5" s="1"/>
  <c r="D104" i="5"/>
  <c r="H73" i="5" l="1"/>
  <c r="G76" i="5"/>
  <c r="F158" i="5"/>
  <c r="F159" i="5" s="1"/>
  <c r="F160" i="5"/>
  <c r="B165" i="5"/>
  <c r="F115" i="5"/>
  <c r="F116" i="5" s="1"/>
  <c r="F117" i="5"/>
  <c r="B167" i="5"/>
  <c r="G168" i="5" l="1"/>
  <c r="B166" i="5"/>
  <c r="C43" i="2" l="1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3" i="2" s="1"/>
  <c r="B53" i="1"/>
  <c r="E51" i="1"/>
  <c r="D51" i="1"/>
  <c r="C51" i="1"/>
  <c r="B51" i="1"/>
  <c r="B52" i="1" s="1"/>
  <c r="B32" i="1"/>
  <c r="B31" i="1"/>
  <c r="C47" i="2" l="1"/>
  <c r="E40" i="2"/>
  <c r="E38" i="2"/>
  <c r="E36" i="2"/>
  <c r="E34" i="2"/>
  <c r="E32" i="2"/>
  <c r="E30" i="2"/>
  <c r="E28" i="2"/>
  <c r="E26" i="2"/>
  <c r="E24" i="2"/>
  <c r="E22" i="2"/>
  <c r="D48" i="2"/>
  <c r="B47" i="2"/>
  <c r="C48" i="2"/>
  <c r="D47" i="2"/>
  <c r="E25" i="2"/>
  <c r="E29" i="2"/>
  <c r="E33" i="2"/>
  <c r="E37" i="2"/>
  <c r="E23" i="2"/>
  <c r="E27" i="2"/>
  <c r="E31" i="2"/>
  <c r="E35" i="2"/>
  <c r="E39" i="2"/>
  <c r="D42" i="2"/>
  <c r="E21" i="2"/>
</calcChain>
</file>

<file path=xl/sharedStrings.xml><?xml version="1.0" encoding="utf-8"?>
<sst xmlns="http://schemas.openxmlformats.org/spreadsheetml/2006/main" count="511" uniqueCount="144">
  <si>
    <t>HPLC System Suitability Report</t>
  </si>
  <si>
    <t>Analysis Data</t>
  </si>
  <si>
    <t>Assay</t>
  </si>
  <si>
    <t>Sample(s)</t>
  </si>
  <si>
    <t>Reference Substance:</t>
  </si>
  <si>
    <t>STODIL CAPSULES</t>
  </si>
  <si>
    <t>% age Purity:</t>
  </si>
  <si>
    <t>NDQD201605936</t>
  </si>
  <si>
    <t>Weight (mg):</t>
  </si>
  <si>
    <t>Loperamide</t>
  </si>
  <si>
    <t>Standard Conc (mg/mL):</t>
  </si>
  <si>
    <t>Each capsule contains Laperamide hydrochloride USP 2 mg</t>
  </si>
  <si>
    <t>2016-05-13 08:55:55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</si>
  <si>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</si>
  <si>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</si>
  <si>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</si>
  <si>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</si>
  <si>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</si>
  <si>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</si>
  <si>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</si>
  <si>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</si>
  <si>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</si>
  <si>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</si>
  <si>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</si>
  <si>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</si>
  <si>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</si>
  <si>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</si>
  <si>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</si>
  <si>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</si>
  <si>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</si>
  <si>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</si>
  <si>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</si>
  <si>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</si>
  <si>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</si>
  <si>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</si>
  <si>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</si>
  <si>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</si>
  <si>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</si>
  <si>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2016-07-27 09:12:22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</si>
  <si>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</si>
  <si>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</si>
  <si>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</si>
  <si>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</si>
  <si>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</si>
  <si>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</si>
  <si>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</si>
  <si>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</si>
  <si>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</si>
  <si>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</si>
  <si>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</si>
  <si>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</si>
  <si>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</si>
  <si>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</si>
  <si>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</si>
  <si>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</si>
  <si>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</si>
  <si>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</si>
  <si>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</si>
  <si>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</si>
  <si>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</si>
  <si>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</si>
  <si>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</si>
  <si>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</si>
  <si>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</si>
  <si>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</si>
  <si>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</si>
  <si>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</si>
  <si>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</si>
  <si>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</si>
  <si>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</si>
  <si>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</si>
  <si>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</si>
  <si>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</si>
  <si>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</si>
  <si>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</si>
  <si>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</si>
  <si>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</si>
  <si>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</si>
  <si>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</si>
  <si>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</si>
  <si>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</si>
  <si>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</si>
  <si>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</si>
  <si>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</si>
  <si>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</si>
  <si>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</si>
  <si>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</si>
  <si>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</si>
  <si>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</si>
  <si>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</si>
  <si>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</si>
  <si>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</si>
  <si>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</si>
  <si>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</si>
  <si>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</si>
  <si>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</si>
  <si>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</si>
  <si>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</si>
  <si>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</si>
  <si>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</si>
  <si>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</si>
  <si>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</si>
  <si>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</si>
  <si>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</si>
  <si>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</si>
  <si>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</si>
  <si>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</si>
  <si>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</si>
  <si>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</si>
  <si>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</si>
  <si>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</si>
  <si>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</si>
  <si>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</si>
  <si>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</si>
  <si>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</si>
  <si>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</si>
  <si>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</si>
  <si>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</si>
  <si>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</si>
  <si>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</si>
  <si>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</si>
  <si>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</si>
  <si>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</si>
  <si>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</si>
  <si>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</si>
  <si>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</si>
  <si>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</si>
  <si>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 please enter 0</t>
  </si>
  <si>
    <t>Initial Standard dilution (mL):</t>
  </si>
  <si>
    <t>Desired Concetration (mg/mL):</t>
  </si>
  <si>
    <t>Initial Sample dilution (mL):</t>
  </si>
  <si>
    <t>Desired Sample Weight (mg)</t>
  </si>
  <si>
    <t>Comment</t>
  </si>
  <si>
    <t>tablet No.</t>
  </si>
  <si>
    <t>Analysis Data:</t>
  </si>
  <si>
    <t>Repeat Determination of Active Ingredient Dissolved</t>
  </si>
  <si>
    <t>Inj</t>
  </si>
  <si>
    <t>Dissolution Result Summary</t>
  </si>
  <si>
    <t>Each Tablet contains</t>
  </si>
  <si>
    <t>Average Tablet Content Weight (mg):</t>
  </si>
  <si>
    <t>RUTTO/JOYFRIDA</t>
  </si>
  <si>
    <t>Loperamide Hydrochloride</t>
  </si>
  <si>
    <t>L38-1</t>
  </si>
  <si>
    <r>
      <t xml:space="preserve">The number of Theoretical Plates (USP) for all peaks is </t>
    </r>
    <r>
      <rPr>
        <b/>
        <sz val="12"/>
        <color rgb="FF000000"/>
        <rFont val="Book Antiqua"/>
      </rPr>
      <t>NLT 1900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</si>
</sst>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6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1" applyFont="1" applyFill="1"/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24" fillId="2" borderId="0" xfId="1" applyFill="1"/>
    <xf numFmtId="0" fontId="12" fillId="2" borderId="0" xfId="1" applyFont="1" applyFill="1" applyAlignment="1">
      <alignment vertical="center"/>
    </xf>
    <xf numFmtId="0" fontId="12" fillId="3" borderId="0" xfId="1" applyFont="1" applyFill="1" applyAlignment="1" applyProtection="1">
      <alignment horizontal="left" vertic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1" fillId="2" borderId="0" xfId="1" applyFont="1" applyFill="1" applyAlignment="1">
      <alignment vertical="center"/>
    </xf>
    <xf numFmtId="170" fontId="14" fillId="3" borderId="0" xfId="1" applyNumberFormat="1" applyFont="1" applyFill="1" applyAlignment="1" applyProtection="1">
      <alignment horizontal="left" vertical="center"/>
      <protection locked="0"/>
    </xf>
    <xf numFmtId="170" fontId="11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12" fillId="2" borderId="0" xfId="1" applyFont="1" applyFill="1" applyAlignment="1">
      <alignment horizontal="right" vertical="center"/>
    </xf>
    <xf numFmtId="0" fontId="11" fillId="2" borderId="0" xfId="1" applyFont="1" applyFill="1" applyAlignment="1">
      <alignment horizontal="right" vertical="center"/>
    </xf>
    <xf numFmtId="0" fontId="13" fillId="3" borderId="0" xfId="1" applyFont="1" applyFill="1" applyAlignment="1" applyProtection="1">
      <alignment horizontal="center" vertical="center"/>
      <protection locked="0"/>
    </xf>
    <xf numFmtId="0" fontId="14" fillId="3" borderId="0" xfId="1" applyFont="1" applyFill="1" applyAlignment="1" applyProtection="1">
      <alignment horizontal="center" vertical="center"/>
      <protection locked="0"/>
    </xf>
    <xf numFmtId="0" fontId="18" fillId="2" borderId="0" xfId="1" applyFont="1" applyFill="1" applyAlignment="1">
      <alignment vertical="center"/>
    </xf>
    <xf numFmtId="0" fontId="15" fillId="2" borderId="0" xfId="1" applyFont="1" applyFill="1" applyAlignment="1">
      <alignment vertical="center" wrapText="1"/>
    </xf>
    <xf numFmtId="0" fontId="2" fillId="2" borderId="0" xfId="1" applyFont="1" applyFill="1"/>
    <xf numFmtId="0" fontId="12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2" fontId="13" fillId="3" borderId="0" xfId="1" applyNumberFormat="1" applyFont="1" applyFill="1" applyAlignment="1" applyProtection="1">
      <alignment horizontal="center" vertic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 vertical="center"/>
    </xf>
    <xf numFmtId="0" fontId="19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 vertical="center"/>
    </xf>
    <xf numFmtId="0" fontId="11" fillId="2" borderId="33" xfId="1" applyFont="1" applyFill="1" applyBorder="1" applyAlignment="1">
      <alignment horizontal="right" vertical="center"/>
    </xf>
    <xf numFmtId="0" fontId="13" fillId="3" borderId="34" xfId="1" applyFont="1" applyFill="1" applyBorder="1" applyAlignment="1" applyProtection="1">
      <alignment horizontal="center" vertical="center"/>
      <protection locked="0"/>
    </xf>
    <xf numFmtId="0" fontId="11" fillId="2" borderId="35" xfId="1" applyFont="1" applyFill="1" applyBorder="1" applyAlignment="1">
      <alignment horizontal="right" vertical="center"/>
    </xf>
    <xf numFmtId="0" fontId="13" fillId="3" borderId="36" xfId="1" applyFont="1" applyFill="1" applyBorder="1" applyAlignment="1" applyProtection="1">
      <alignment horizontal="center" vertical="center"/>
      <protection locked="0"/>
    </xf>
    <xf numFmtId="0" fontId="12" fillId="2" borderId="10" xfId="1" applyFont="1" applyFill="1" applyBorder="1" applyAlignment="1">
      <alignment horizontal="center" vertical="center"/>
    </xf>
    <xf numFmtId="0" fontId="12" fillId="2" borderId="58" xfId="1" applyFont="1" applyFill="1" applyBorder="1" applyAlignment="1">
      <alignment horizontal="center" vertical="center"/>
    </xf>
    <xf numFmtId="0" fontId="12" fillId="2" borderId="38" xfId="1" applyFont="1" applyFill="1" applyBorder="1" applyAlignment="1">
      <alignment horizontal="center" vertical="center"/>
    </xf>
    <xf numFmtId="0" fontId="12" fillId="2" borderId="42" xfId="1" applyFont="1" applyFill="1" applyBorder="1" applyAlignment="1">
      <alignment horizontal="center" vertical="center"/>
    </xf>
    <xf numFmtId="0" fontId="11" fillId="2" borderId="55" xfId="1" applyFont="1" applyFill="1" applyBorder="1" applyAlignment="1">
      <alignment horizontal="center" vertical="center"/>
    </xf>
    <xf numFmtId="0" fontId="13" fillId="3" borderId="58" xfId="1" applyFont="1" applyFill="1" applyBorder="1" applyAlignment="1" applyProtection="1">
      <alignment horizontal="center" vertical="center"/>
      <protection locked="0"/>
    </xf>
    <xf numFmtId="171" fontId="11" fillId="2" borderId="55" xfId="1" applyNumberFormat="1" applyFont="1" applyFill="1" applyBorder="1" applyAlignment="1">
      <alignment horizontal="center" vertical="center"/>
    </xf>
    <xf numFmtId="171" fontId="11" fillId="2" borderId="40" xfId="1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3" fillId="3" borderId="56" xfId="1" applyFont="1" applyFill="1" applyBorder="1" applyAlignment="1" applyProtection="1">
      <alignment horizontal="center" vertical="center"/>
      <protection locked="0"/>
    </xf>
    <xf numFmtId="171" fontId="11" fillId="2" borderId="0" xfId="1" applyNumberFormat="1" applyFont="1" applyFill="1" applyAlignment="1">
      <alignment horizontal="center" vertical="center"/>
    </xf>
    <xf numFmtId="171" fontId="11" fillId="2" borderId="36" xfId="1" applyNumberFormat="1" applyFont="1" applyFill="1" applyBorder="1" applyAlignment="1">
      <alignment horizontal="center" vertical="center"/>
    </xf>
    <xf numFmtId="0" fontId="11" fillId="2" borderId="0" xfId="1" applyFont="1" applyFill="1"/>
    <xf numFmtId="0" fontId="11" fillId="2" borderId="7" xfId="1" applyFont="1" applyFill="1" applyBorder="1" applyAlignment="1">
      <alignment horizontal="center" vertical="center"/>
    </xf>
    <xf numFmtId="0" fontId="13" fillId="3" borderId="62" xfId="1" applyFont="1" applyFill="1" applyBorder="1" applyAlignment="1" applyProtection="1">
      <alignment horizontal="center" vertical="center"/>
      <protection locked="0"/>
    </xf>
    <xf numFmtId="171" fontId="11" fillId="2" borderId="7" xfId="1" applyNumberFormat="1" applyFont="1" applyFill="1" applyBorder="1" applyAlignment="1">
      <alignment horizontal="center" vertical="center"/>
    </xf>
    <xf numFmtId="171" fontId="11" fillId="2" borderId="15" xfId="1" applyNumberFormat="1" applyFont="1" applyFill="1" applyBorder="1" applyAlignment="1">
      <alignment horizontal="center" vertical="center"/>
    </xf>
    <xf numFmtId="171" fontId="12" fillId="6" borderId="56" xfId="1" applyNumberFormat="1" applyFont="1" applyFill="1" applyBorder="1" applyAlignment="1">
      <alignment horizontal="center" vertical="center"/>
    </xf>
    <xf numFmtId="171" fontId="12" fillId="6" borderId="48" xfId="1" applyNumberFormat="1" applyFont="1" applyFill="1" applyBorder="1" applyAlignment="1">
      <alignment horizontal="center" vertical="center"/>
    </xf>
    <xf numFmtId="1" fontId="12" fillId="6" borderId="57" xfId="1" applyNumberFormat="1" applyFont="1" applyFill="1" applyBorder="1" applyAlignment="1">
      <alignment horizontal="center" vertical="center"/>
    </xf>
    <xf numFmtId="171" fontId="12" fillId="6" borderId="49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11" fillId="2" borderId="50" xfId="1" applyFont="1" applyFill="1" applyBorder="1" applyAlignment="1">
      <alignment horizontal="right"/>
    </xf>
    <xf numFmtId="0" fontId="13" fillId="3" borderId="23" xfId="1" applyFont="1" applyFill="1" applyBorder="1" applyAlignment="1" applyProtection="1">
      <alignment horizontal="center" vertical="center"/>
      <protection locked="0"/>
    </xf>
    <xf numFmtId="0" fontId="13" fillId="3" borderId="28" xfId="1" applyFont="1" applyFill="1" applyBorder="1" applyAlignment="1" applyProtection="1">
      <alignment horizontal="center" vertic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39" xfId="1" applyNumberFormat="1" applyFont="1" applyFill="1" applyBorder="1" applyAlignment="1">
      <alignment horizontal="center" vertical="center"/>
    </xf>
    <xf numFmtId="2" fontId="11" fillId="6" borderId="17" xfId="1" applyNumberFormat="1" applyFont="1" applyFill="1" applyBorder="1" applyAlignment="1">
      <alignment horizontal="center" vertical="center"/>
    </xf>
    <xf numFmtId="0" fontId="11" fillId="2" borderId="36" xfId="1" applyFont="1" applyFill="1" applyBorder="1" applyAlignment="1">
      <alignment horizontal="center" vertical="center"/>
    </xf>
    <xf numFmtId="2" fontId="11" fillId="7" borderId="39" xfId="1" applyNumberFormat="1" applyFont="1" applyFill="1" applyBorder="1" applyAlignment="1">
      <alignment horizontal="center" vertical="center"/>
    </xf>
    <xf numFmtId="2" fontId="11" fillId="2" borderId="0" xfId="1" applyNumberFormat="1" applyFont="1" applyFill="1" applyAlignment="1">
      <alignment horizontal="center" vertical="center"/>
    </xf>
    <xf numFmtId="2" fontId="11" fillId="7" borderId="17" xfId="1" applyNumberFormat="1" applyFont="1" applyFill="1" applyBorder="1" applyAlignment="1">
      <alignment horizontal="center" vertical="center"/>
    </xf>
    <xf numFmtId="2" fontId="11" fillId="6" borderId="18" xfId="1" applyNumberFormat="1" applyFont="1" applyFill="1" applyBorder="1" applyAlignment="1">
      <alignment horizontal="center" vertical="center"/>
    </xf>
    <xf numFmtId="0" fontId="11" fillId="2" borderId="64" xfId="1" applyFont="1" applyFill="1" applyBorder="1" applyAlignment="1">
      <alignment horizontal="right" vertical="center"/>
    </xf>
    <xf numFmtId="166" fontId="13" fillId="3" borderId="39" xfId="1" applyNumberFormat="1" applyFont="1" applyFill="1" applyBorder="1" applyAlignment="1" applyProtection="1">
      <alignment horizontal="center" vertical="center"/>
      <protection locked="0"/>
    </xf>
    <xf numFmtId="1" fontId="11" fillId="2" borderId="0" xfId="1" applyNumberFormat="1" applyFont="1" applyFill="1" applyAlignment="1">
      <alignment horizontal="center" vertical="center"/>
    </xf>
    <xf numFmtId="0" fontId="11" fillId="2" borderId="37" xfId="1" applyFont="1" applyFill="1" applyBorder="1" applyAlignment="1">
      <alignment horizontal="right" vertical="center"/>
    </xf>
    <xf numFmtId="0" fontId="11" fillId="2" borderId="58" xfId="1" applyFont="1" applyFill="1" applyBorder="1" applyAlignment="1">
      <alignment horizontal="right" vertical="center"/>
    </xf>
    <xf numFmtId="2" fontId="11" fillId="6" borderId="42" xfId="1" applyNumberFormat="1" applyFont="1" applyFill="1" applyBorder="1" applyAlignment="1">
      <alignment horizontal="center" vertical="center"/>
    </xf>
    <xf numFmtId="0" fontId="11" fillId="2" borderId="28" xfId="1" applyFont="1" applyFill="1" applyBorder="1" applyAlignment="1">
      <alignment horizontal="right" vertical="center"/>
    </xf>
    <xf numFmtId="171" fontId="12" fillId="7" borderId="28" xfId="1" applyNumberFormat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right" vertical="center"/>
    </xf>
    <xf numFmtId="10" fontId="11" fillId="6" borderId="17" xfId="1" applyNumberFormat="1" applyFont="1" applyFill="1" applyBorder="1" applyAlignment="1">
      <alignment horizontal="center" vertical="center"/>
    </xf>
    <xf numFmtId="0" fontId="11" fillId="2" borderId="18" xfId="1" applyFont="1" applyFill="1" applyBorder="1" applyAlignment="1">
      <alignment horizontal="right" vertical="center"/>
    </xf>
    <xf numFmtId="0" fontId="11" fillId="7" borderId="18" xfId="1" applyFont="1" applyFill="1" applyBorder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12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166" fontId="12" fillId="2" borderId="0" xfId="1" applyNumberFormat="1" applyFont="1" applyFill="1" applyAlignment="1" applyProtection="1">
      <alignment horizontal="center" vertical="center"/>
      <protection locked="0"/>
    </xf>
    <xf numFmtId="2" fontId="12" fillId="2" borderId="31" xfId="1" applyNumberFormat="1" applyFont="1" applyFill="1" applyBorder="1" applyAlignment="1">
      <alignment horizontal="center" vertical="center"/>
    </xf>
    <xf numFmtId="0" fontId="12" fillId="2" borderId="31" xfId="1" applyFont="1" applyFill="1" applyBorder="1" applyAlignment="1">
      <alignment horizontal="center" vertical="center"/>
    </xf>
    <xf numFmtId="0" fontId="12" fillId="2" borderId="34" xfId="1" applyFont="1" applyFill="1" applyBorder="1" applyAlignment="1">
      <alignment horizontal="center" vertical="center"/>
    </xf>
    <xf numFmtId="0" fontId="11" fillId="2" borderId="31" xfId="1" applyFont="1" applyFill="1" applyBorder="1" applyAlignment="1">
      <alignment horizontal="center" vertical="center"/>
    </xf>
    <xf numFmtId="0" fontId="13" fillId="3" borderId="33" xfId="1" applyFont="1" applyFill="1" applyBorder="1" applyAlignment="1" applyProtection="1">
      <alignment horizontal="center" vertical="center"/>
      <protection locked="0"/>
    </xf>
    <xf numFmtId="2" fontId="11" fillId="2" borderId="33" xfId="1" applyNumberFormat="1" applyFont="1" applyFill="1" applyBorder="1" applyAlignment="1">
      <alignment horizontal="center" vertical="center"/>
    </xf>
    <xf numFmtId="10" fontId="11" fillId="2" borderId="31" xfId="1" applyNumberFormat="1" applyFont="1" applyFill="1" applyBorder="1" applyAlignment="1">
      <alignment horizontal="center" vertical="center"/>
    </xf>
    <xf numFmtId="0" fontId="11" fillId="2" borderId="53" xfId="1" applyFont="1" applyFill="1" applyBorder="1" applyAlignment="1">
      <alignment horizontal="center" vertical="center"/>
    </xf>
    <xf numFmtId="0" fontId="13" fillId="3" borderId="35" xfId="1" applyFont="1" applyFill="1" applyBorder="1" applyAlignment="1" applyProtection="1">
      <alignment horizontal="center" vertical="center"/>
      <protection locked="0"/>
    </xf>
    <xf numFmtId="2" fontId="11" fillId="2" borderId="35" xfId="1" applyNumberFormat="1" applyFont="1" applyFill="1" applyBorder="1" applyAlignment="1">
      <alignment horizontal="center" vertical="center"/>
    </xf>
    <xf numFmtId="10" fontId="11" fillId="2" borderId="53" xfId="1" applyNumberFormat="1" applyFont="1" applyFill="1" applyBorder="1" applyAlignment="1">
      <alignment horizontal="center" vertical="center"/>
    </xf>
    <xf numFmtId="0" fontId="11" fillId="2" borderId="32" xfId="1" applyFont="1" applyFill="1" applyBorder="1" applyAlignment="1">
      <alignment horizontal="center" vertical="center"/>
    </xf>
    <xf numFmtId="0" fontId="13" fillId="3" borderId="52" xfId="1" applyFont="1" applyFill="1" applyBorder="1" applyAlignment="1" applyProtection="1">
      <alignment horizontal="center" vertical="center"/>
      <protection locked="0"/>
    </xf>
    <xf numFmtId="2" fontId="11" fillId="2" borderId="31" xfId="1" applyNumberFormat="1" applyFont="1" applyFill="1" applyBorder="1" applyAlignment="1">
      <alignment horizontal="center" vertical="center"/>
    </xf>
    <xf numFmtId="10" fontId="11" fillId="2" borderId="34" xfId="1" applyNumberFormat="1" applyFont="1" applyFill="1" applyBorder="1" applyAlignment="1">
      <alignment horizontal="center" vertical="center"/>
    </xf>
    <xf numFmtId="2" fontId="11" fillId="2" borderId="53" xfId="1" applyNumberFormat="1" applyFont="1" applyFill="1" applyBorder="1" applyAlignment="1">
      <alignment horizontal="center" vertical="center"/>
    </xf>
    <xf numFmtId="10" fontId="11" fillId="2" borderId="36" xfId="1" applyNumberFormat="1" applyFont="1" applyFill="1" applyBorder="1" applyAlignment="1">
      <alignment horizontal="center" vertical="center"/>
    </xf>
    <xf numFmtId="2" fontId="11" fillId="2" borderId="32" xfId="1" applyNumberFormat="1" applyFont="1" applyFill="1" applyBorder="1" applyAlignment="1">
      <alignment horizontal="center" vertical="center"/>
    </xf>
    <xf numFmtId="10" fontId="11" fillId="2" borderId="54" xfId="1" applyNumberFormat="1" applyFont="1" applyFill="1" applyBorder="1" applyAlignment="1">
      <alignment horizontal="center" vertical="center"/>
    </xf>
    <xf numFmtId="0" fontId="11" fillId="2" borderId="52" xfId="1" applyFont="1" applyFill="1" applyBorder="1" applyAlignment="1">
      <alignment horizontal="right" vertical="center"/>
    </xf>
    <xf numFmtId="2" fontId="12" fillId="2" borderId="54" xfId="1" applyNumberFormat="1" applyFont="1" applyFill="1" applyBorder="1" applyAlignment="1">
      <alignment horizontal="center" vertical="center"/>
    </xf>
    <xf numFmtId="10" fontId="11" fillId="2" borderId="32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right" vertical="center"/>
    </xf>
    <xf numFmtId="10" fontId="13" fillId="7" borderId="15" xfId="1" applyNumberFormat="1" applyFont="1" applyFill="1" applyBorder="1" applyAlignment="1">
      <alignment horizontal="center" vertical="center"/>
    </xf>
    <xf numFmtId="10" fontId="13" fillId="6" borderId="16" xfId="1" applyNumberFormat="1" applyFont="1" applyFill="1" applyBorder="1" applyAlignment="1">
      <alignment horizontal="center" vertical="center"/>
    </xf>
    <xf numFmtId="0" fontId="13" fillId="7" borderId="19" xfId="1" applyFont="1" applyFill="1" applyBorder="1" applyAlignment="1">
      <alignment horizontal="center" vertical="center"/>
    </xf>
    <xf numFmtId="165" fontId="13" fillId="2" borderId="0" xfId="1" applyNumberFormat="1" applyFont="1" applyFill="1" applyAlignment="1">
      <alignment horizontal="center" vertical="center"/>
    </xf>
    <xf numFmtId="0" fontId="12" fillId="2" borderId="20" xfId="1" applyFont="1" applyFill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0" fontId="12" fillId="2" borderId="37" xfId="1" applyFont="1" applyFill="1" applyBorder="1" applyAlignment="1">
      <alignment horizontal="center" vertical="center"/>
    </xf>
    <xf numFmtId="0" fontId="13" fillId="3" borderId="41" xfId="1" applyFont="1" applyFill="1" applyBorder="1" applyAlignment="1" applyProtection="1">
      <alignment horizontal="center"/>
      <protection locked="0"/>
    </xf>
    <xf numFmtId="171" fontId="11" fillId="2" borderId="38" xfId="1" applyNumberFormat="1" applyFont="1" applyFill="1" applyBorder="1" applyAlignment="1">
      <alignment horizontal="center" vertical="center"/>
    </xf>
    <xf numFmtId="171" fontId="11" fillId="2" borderId="42" xfId="1" applyNumberFormat="1" applyFont="1" applyFill="1" applyBorder="1" applyAlignment="1">
      <alignment horizontal="center" vertical="center"/>
    </xf>
    <xf numFmtId="0" fontId="13" fillId="3" borderId="35" xfId="1" applyFont="1" applyFill="1" applyBorder="1" applyAlignment="1" applyProtection="1">
      <alignment horizontal="center"/>
      <protection locked="0"/>
    </xf>
    <xf numFmtId="171" fontId="11" fillId="2" borderId="43" xfId="1" applyNumberFormat="1" applyFont="1" applyFill="1" applyBorder="1" applyAlignment="1">
      <alignment horizontal="center" vertical="center"/>
    </xf>
    <xf numFmtId="171" fontId="11" fillId="2" borderId="44" xfId="1" applyNumberFormat="1" applyFont="1" applyFill="1" applyBorder="1" applyAlignment="1">
      <alignment horizontal="center" vertical="center"/>
    </xf>
    <xf numFmtId="0" fontId="13" fillId="3" borderId="45" xfId="1" applyFont="1" applyFill="1" applyBorder="1" applyAlignment="1" applyProtection="1">
      <alignment horizontal="center" vertical="center"/>
      <protection locked="0"/>
    </xf>
    <xf numFmtId="171" fontId="11" fillId="2" borderId="46" xfId="1" applyNumberFormat="1" applyFont="1" applyFill="1" applyBorder="1" applyAlignment="1">
      <alignment horizontal="center" vertical="center"/>
    </xf>
    <xf numFmtId="1" fontId="13" fillId="3" borderId="45" xfId="1" applyNumberFormat="1" applyFont="1" applyFill="1" applyBorder="1" applyAlignment="1" applyProtection="1">
      <alignment horizontal="center" vertical="center"/>
      <protection locked="0"/>
    </xf>
    <xf numFmtId="171" fontId="11" fillId="2" borderId="47" xfId="1" applyNumberFormat="1" applyFont="1" applyFill="1" applyBorder="1" applyAlignment="1">
      <alignment horizontal="center" vertical="center"/>
    </xf>
    <xf numFmtId="171" fontId="12" fillId="6" borderId="57" xfId="1" applyNumberFormat="1" applyFont="1" applyFill="1" applyBorder="1" applyAlignment="1">
      <alignment horizontal="center" vertical="center"/>
    </xf>
    <xf numFmtId="171" fontId="12" fillId="6" borderId="32" xfId="1" applyNumberFormat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164" fontId="11" fillId="6" borderId="39" xfId="1" applyNumberFormat="1" applyFont="1" applyFill="1" applyBorder="1" applyAlignment="1">
      <alignment horizontal="center" vertical="center"/>
    </xf>
    <xf numFmtId="164" fontId="11" fillId="2" borderId="0" xfId="1" applyNumberFormat="1" applyFont="1" applyFill="1" applyAlignment="1">
      <alignment horizontal="center" vertical="center"/>
    </xf>
    <xf numFmtId="164" fontId="11" fillId="6" borderId="18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166" fontId="11" fillId="7" borderId="39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11" fillId="7" borderId="42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wrapText="1"/>
    </xf>
    <xf numFmtId="10" fontId="11" fillId="2" borderId="0" xfId="1" applyNumberFormat="1" applyFont="1" applyFill="1" applyAlignment="1">
      <alignment horizontal="center"/>
    </xf>
    <xf numFmtId="10" fontId="12" fillId="6" borderId="17" xfId="1" applyNumberFormat="1" applyFont="1" applyFill="1" applyBorder="1" applyAlignment="1">
      <alignment horizontal="center" vertical="center"/>
    </xf>
    <xf numFmtId="0" fontId="12" fillId="7" borderId="18" xfId="1" applyFont="1" applyFill="1" applyBorder="1" applyAlignment="1">
      <alignment horizontal="center" vertical="center"/>
    </xf>
    <xf numFmtId="0" fontId="12" fillId="2" borderId="22" xfId="1" applyFont="1" applyFill="1" applyBorder="1" applyAlignment="1">
      <alignment horizontal="center" vertical="center"/>
    </xf>
    <xf numFmtId="0" fontId="12" fillId="2" borderId="59" xfId="1" applyFont="1" applyFill="1" applyBorder="1" applyAlignment="1">
      <alignment vertical="center"/>
    </xf>
    <xf numFmtId="0" fontId="12" fillId="2" borderId="34" xfId="1" applyFont="1" applyFill="1" applyBorder="1" applyAlignment="1">
      <alignment horizontal="center" vertical="center" wrapText="1"/>
    </xf>
    <xf numFmtId="0" fontId="11" fillId="2" borderId="35" xfId="1" applyFont="1" applyFill="1" applyBorder="1" applyAlignment="1">
      <alignment horizontal="center" vertical="center"/>
    </xf>
    <xf numFmtId="1" fontId="13" fillId="3" borderId="43" xfId="1" applyNumberFormat="1" applyFont="1" applyFill="1" applyBorder="1" applyAlignment="1" applyProtection="1">
      <alignment horizontal="center"/>
      <protection locked="0"/>
    </xf>
    <xf numFmtId="2" fontId="11" fillId="2" borderId="38" xfId="1" applyNumberFormat="1" applyFont="1" applyFill="1" applyBorder="1" applyAlignment="1">
      <alignment horizontal="center" vertical="center"/>
    </xf>
    <xf numFmtId="10" fontId="11" fillId="2" borderId="42" xfId="1" applyNumberFormat="1" applyFont="1" applyFill="1" applyBorder="1" applyAlignment="1">
      <alignment horizontal="center" vertical="center"/>
    </xf>
    <xf numFmtId="2" fontId="11" fillId="2" borderId="43" xfId="1" applyNumberFormat="1" applyFont="1" applyFill="1" applyBorder="1" applyAlignment="1">
      <alignment horizontal="center" vertical="center"/>
    </xf>
    <xf numFmtId="10" fontId="11" fillId="2" borderId="44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center" vertical="center"/>
    </xf>
    <xf numFmtId="1" fontId="13" fillId="3" borderId="46" xfId="1" applyNumberFormat="1" applyFont="1" applyFill="1" applyBorder="1" applyAlignment="1" applyProtection="1">
      <alignment horizontal="center"/>
      <protection locked="0"/>
    </xf>
    <xf numFmtId="2" fontId="11" fillId="2" borderId="46" xfId="1" applyNumberFormat="1" applyFont="1" applyFill="1" applyBorder="1" applyAlignment="1">
      <alignment horizontal="center" vertical="center"/>
    </xf>
    <xf numFmtId="10" fontId="11" fillId="2" borderId="47" xfId="1" applyNumberFormat="1" applyFont="1" applyFill="1" applyBorder="1" applyAlignment="1">
      <alignment horizontal="center" vertical="center"/>
    </xf>
    <xf numFmtId="2" fontId="11" fillId="2" borderId="36" xfId="1" applyNumberFormat="1" applyFont="1" applyFill="1" applyBorder="1" applyAlignment="1">
      <alignment horizontal="center" vertical="center"/>
    </xf>
    <xf numFmtId="171" fontId="12" fillId="2" borderId="0" xfId="1" applyNumberFormat="1" applyFont="1" applyFill="1" applyAlignment="1">
      <alignment horizontal="center" vertical="center"/>
    </xf>
    <xf numFmtId="171" fontId="11" fillId="2" borderId="2" xfId="1" applyNumberFormat="1" applyFont="1" applyFill="1" applyBorder="1" applyAlignment="1">
      <alignment horizontal="right" vertical="center"/>
    </xf>
    <xf numFmtId="10" fontId="13" fillId="7" borderId="39" xfId="1" applyNumberFormat="1" applyFont="1" applyFill="1" applyBorder="1" applyAlignment="1">
      <alignment horizontal="center" vertical="center"/>
    </xf>
    <xf numFmtId="0" fontId="11" fillId="2" borderId="3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0" fontId="13" fillId="6" borderId="39" xfId="1" applyNumberFormat="1" applyFont="1" applyFill="1" applyBorder="1" applyAlignment="1">
      <alignment horizontal="center" vertical="center"/>
    </xf>
    <xf numFmtId="0" fontId="11" fillId="2" borderId="52" xfId="1" applyFont="1" applyFill="1" applyBorder="1" applyAlignment="1">
      <alignment vertical="center"/>
    </xf>
    <xf numFmtId="0" fontId="11" fillId="2" borderId="63" xfId="1" applyFont="1" applyFill="1" applyBorder="1" applyAlignment="1">
      <alignment horizontal="center" vertical="center"/>
    </xf>
    <xf numFmtId="0" fontId="11" fillId="2" borderId="60" xfId="1" applyFont="1" applyFill="1" applyBorder="1" applyAlignment="1">
      <alignment horizontal="right" vertical="center"/>
    </xf>
    <xf numFmtId="0" fontId="13" fillId="7" borderId="18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2" fillId="3" borderId="0" xfId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right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0" fontId="11" fillId="2" borderId="33" xfId="1" applyFont="1" applyFill="1" applyBorder="1" applyAlignment="1">
      <alignment horizontal="right"/>
    </xf>
    <xf numFmtId="0" fontId="13" fillId="3" borderId="65" xfId="1" applyFont="1" applyFill="1" applyBorder="1" applyAlignment="1" applyProtection="1">
      <alignment horizontal="center" vertical="center"/>
      <protection locked="0"/>
    </xf>
    <xf numFmtId="0" fontId="11" fillId="2" borderId="35" xfId="1" applyFont="1" applyFill="1" applyBorder="1" applyAlignment="1">
      <alignment horizontal="right"/>
    </xf>
    <xf numFmtId="0" fontId="13" fillId="3" borderId="44" xfId="1" applyFont="1" applyFill="1" applyBorder="1" applyAlignment="1" applyProtection="1">
      <alignment horizontal="center" vertical="center"/>
      <protection locked="0"/>
    </xf>
    <xf numFmtId="0" fontId="12" fillId="2" borderId="1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42" xfId="1" applyFont="1" applyFill="1" applyBorder="1" applyAlignment="1">
      <alignment horizontal="center"/>
    </xf>
    <xf numFmtId="0" fontId="11" fillId="2" borderId="55" xfId="1" applyFont="1" applyFill="1" applyBorder="1" applyAlignment="1">
      <alignment horizontal="center"/>
    </xf>
    <xf numFmtId="0" fontId="13" fillId="3" borderId="41" xfId="1" applyFont="1" applyFill="1" applyBorder="1" applyAlignment="1" applyProtection="1">
      <alignment horizontal="center" vertical="center"/>
      <protection locked="0"/>
    </xf>
    <xf numFmtId="171" fontId="11" fillId="2" borderId="42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71" fontId="11" fillId="2" borderId="44" xfId="1" applyNumberFormat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1" fillId="2" borderId="47" xfId="1" applyNumberFormat="1" applyFont="1" applyFill="1" applyBorder="1" applyAlignment="1">
      <alignment horizontal="center"/>
    </xf>
    <xf numFmtId="1" fontId="12" fillId="6" borderId="57" xfId="1" applyNumberFormat="1" applyFont="1" applyFill="1" applyBorder="1" applyAlignment="1">
      <alignment horizontal="center"/>
    </xf>
    <xf numFmtId="171" fontId="12" fillId="6" borderId="49" xfId="1" applyNumberFormat="1" applyFont="1" applyFill="1" applyBorder="1" applyAlignment="1">
      <alignment horizontal="center"/>
    </xf>
    <xf numFmtId="1" fontId="12" fillId="6" borderId="54" xfId="1" applyNumberFormat="1" applyFont="1" applyFill="1" applyBorder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31" xfId="1" applyFont="1" applyFill="1" applyBorder="1" applyAlignment="1" applyProtection="1">
      <alignment horizontal="center" vertical="center"/>
      <protection locked="0"/>
    </xf>
    <xf numFmtId="0" fontId="11" fillId="2" borderId="37" xfId="1" applyFont="1" applyFill="1" applyBorder="1" applyAlignment="1">
      <alignment horizontal="right"/>
    </xf>
    <xf numFmtId="2" fontId="11" fillId="6" borderId="39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171" fontId="11" fillId="2" borderId="49" xfId="1" applyNumberFormat="1" applyFont="1" applyFill="1" applyBorder="1" applyAlignment="1">
      <alignment horizontal="center"/>
    </xf>
    <xf numFmtId="2" fontId="11" fillId="7" borderId="39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17" xfId="1" applyNumberFormat="1" applyFont="1" applyFill="1" applyBorder="1" applyAlignment="1">
      <alignment horizontal="center"/>
    </xf>
    <xf numFmtId="2" fontId="11" fillId="6" borderId="18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" fontId="1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25" xfId="1" applyFont="1" applyFill="1" applyBorder="1" applyAlignment="1">
      <alignment horizontal="right"/>
    </xf>
    <xf numFmtId="2" fontId="11" fillId="7" borderId="27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0" fontId="11" fillId="2" borderId="14" xfId="1" applyFont="1" applyFill="1" applyBorder="1" applyAlignment="1">
      <alignment horizontal="right"/>
    </xf>
    <xf numFmtId="171" fontId="12" fillId="7" borderId="1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10" fontId="12" fillId="6" borderId="17" xfId="1" applyNumberFormat="1" applyFont="1" applyFill="1" applyBorder="1" applyAlignment="1">
      <alignment horizontal="center"/>
    </xf>
    <xf numFmtId="0" fontId="11" fillId="2" borderId="18" xfId="1" applyFont="1" applyFill="1" applyBorder="1" applyAlignment="1">
      <alignment horizontal="right"/>
    </xf>
    <xf numFmtId="0" fontId="12" fillId="7" borderId="18" xfId="1" applyFont="1" applyFill="1" applyBorder="1" applyAlignment="1">
      <alignment horizontal="center"/>
    </xf>
    <xf numFmtId="0" fontId="3" fillId="2" borderId="0" xfId="1" applyFont="1" applyFill="1"/>
    <xf numFmtId="0" fontId="12" fillId="2" borderId="20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0" fontId="12" fillId="2" borderId="59" xfId="1" applyFont="1" applyFill="1" applyBorder="1"/>
    <xf numFmtId="0" fontId="12" fillId="2" borderId="34" xfId="1" applyFont="1" applyFill="1" applyBorder="1" applyAlignment="1">
      <alignment horizontal="center" wrapText="1"/>
    </xf>
    <xf numFmtId="0" fontId="11" fillId="2" borderId="35" xfId="1" applyFont="1" applyFill="1" applyBorder="1" applyAlignment="1">
      <alignment horizontal="center"/>
    </xf>
    <xf numFmtId="0" fontId="13" fillId="3" borderId="38" xfId="1" applyFont="1" applyFill="1" applyBorder="1" applyAlignment="1" applyProtection="1">
      <alignment horizontal="center" vertical="center"/>
      <protection locked="0"/>
    </xf>
    <xf numFmtId="2" fontId="11" fillId="2" borderId="4" xfId="1" applyNumberFormat="1" applyFont="1" applyFill="1" applyBorder="1" applyAlignment="1">
      <alignment horizontal="center"/>
    </xf>
    <xf numFmtId="10" fontId="11" fillId="2" borderId="40" xfId="1" applyNumberFormat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 vertical="center"/>
      <protection locked="0"/>
    </xf>
    <xf numFmtId="2" fontId="11" fillId="2" borderId="3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center"/>
    </xf>
    <xf numFmtId="0" fontId="13" fillId="3" borderId="46" xfId="1" applyFont="1" applyFill="1" applyBorder="1" applyAlignment="1" applyProtection="1">
      <alignment horizontal="center" vertical="center"/>
      <protection locked="0"/>
    </xf>
    <xf numFmtId="2" fontId="11" fillId="2" borderId="5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/>
    </xf>
    <xf numFmtId="2" fontId="11" fillId="2" borderId="36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71" fontId="11" fillId="2" borderId="1" xfId="1" applyNumberFormat="1" applyFont="1" applyFill="1" applyBorder="1" applyAlignment="1">
      <alignment horizontal="right"/>
    </xf>
    <xf numFmtId="10" fontId="13" fillId="7" borderId="16" xfId="1" applyNumberFormat="1" applyFont="1" applyFill="1" applyBorder="1" applyAlignment="1">
      <alignment horizontal="center"/>
    </xf>
    <xf numFmtId="0" fontId="11" fillId="2" borderId="35" xfId="1" applyFont="1" applyFill="1" applyBorder="1"/>
    <xf numFmtId="0" fontId="11" fillId="2" borderId="1" xfId="1" applyFont="1" applyFill="1" applyBorder="1" applyAlignment="1">
      <alignment horizontal="right"/>
    </xf>
    <xf numFmtId="10" fontId="13" fillId="6" borderId="16" xfId="1" applyNumberFormat="1" applyFont="1" applyFill="1" applyBorder="1" applyAlignment="1">
      <alignment horizontal="center"/>
    </xf>
    <xf numFmtId="0" fontId="11" fillId="2" borderId="52" xfId="1" applyFont="1" applyFill="1" applyBorder="1"/>
    <xf numFmtId="0" fontId="11" fillId="2" borderId="9" xfId="1" applyFont="1" applyFill="1" applyBorder="1" applyAlignment="1">
      <alignment horizontal="center"/>
    </xf>
    <xf numFmtId="0" fontId="11" fillId="2" borderId="26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171" fontId="11" fillId="2" borderId="20" xfId="1" applyNumberFormat="1" applyFont="1" applyFill="1" applyBorder="1" applyAlignment="1">
      <alignment horizontal="right"/>
    </xf>
    <xf numFmtId="165" fontId="13" fillId="7" borderId="23" xfId="1" applyNumberFormat="1" applyFont="1" applyFill="1" applyBorder="1" applyAlignment="1">
      <alignment horizontal="center"/>
    </xf>
    <xf numFmtId="165" fontId="13" fillId="6" borderId="39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right"/>
    </xf>
    <xf numFmtId="0" fontId="13" fillId="7" borderId="27" xfId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 applyAlignment="1">
      <alignment vertical="center"/>
    </xf>
    <xf numFmtId="0" fontId="11" fillId="2" borderId="10" xfId="1" applyFont="1" applyFill="1" applyBorder="1" applyAlignment="1">
      <alignment horizontal="center" vertical="center"/>
    </xf>
    <xf numFmtId="0" fontId="11" fillId="2" borderId="7" xfId="1" applyFont="1" applyFill="1" applyBorder="1" applyAlignment="1" applyProtection="1">
      <alignment vertical="center"/>
      <protection locked="0"/>
    </xf>
    <xf numFmtId="0" fontId="11" fillId="2" borderId="7" xfId="1" applyFont="1" applyFill="1" applyBorder="1" applyAlignment="1">
      <alignment vertical="center"/>
    </xf>
    <xf numFmtId="0" fontId="12" fillId="2" borderId="11" xfId="1" applyFont="1" applyFill="1" applyBorder="1" applyAlignment="1" applyProtection="1">
      <alignment vertical="center"/>
      <protection locked="0"/>
    </xf>
    <xf numFmtId="0" fontId="12" fillId="2" borderId="11" xfId="1" applyFont="1" applyFill="1" applyBorder="1" applyAlignment="1">
      <alignment vertical="center"/>
    </xf>
    <xf numFmtId="0" fontId="11" fillId="2" borderId="11" xfId="1" applyFont="1" applyFill="1" applyBorder="1" applyAlignment="1">
      <alignment vertical="center"/>
    </xf>
    <xf numFmtId="0" fontId="2" fillId="2" borderId="0" xfId="4" applyFont="1" applyFill="1"/>
    <xf numFmtId="0" fontId="11" fillId="2" borderId="0" xfId="4" applyFont="1" applyFill="1"/>
    <xf numFmtId="0" fontId="24" fillId="2" borderId="0" xfId="4" applyFill="1"/>
    <xf numFmtId="0" fontId="12" fillId="2" borderId="0" xfId="4" applyFont="1" applyFill="1"/>
    <xf numFmtId="0" fontId="13" fillId="2" borderId="0" xfId="4" applyFont="1" applyFill="1" applyAlignment="1" applyProtection="1">
      <alignment horizontal="right"/>
      <protection locked="0"/>
    </xf>
    <xf numFmtId="0" fontId="13" fillId="2" borderId="0" xfId="4" applyFont="1" applyFill="1" applyAlignment="1" applyProtection="1">
      <alignment horizontal="left"/>
      <protection locked="0"/>
    </xf>
    <xf numFmtId="0" fontId="14" fillId="2" borderId="0" xfId="4" applyFont="1" applyFill="1"/>
    <xf numFmtId="0" fontId="14" fillId="3" borderId="0" xfId="4" applyFont="1" applyFill="1" applyAlignment="1" applyProtection="1">
      <alignment horizontal="left"/>
      <protection locked="0"/>
    </xf>
    <xf numFmtId="0" fontId="11" fillId="3" borderId="0" xfId="4" applyFont="1" applyFill="1" applyProtection="1">
      <protection locked="0"/>
    </xf>
    <xf numFmtId="167" fontId="14" fillId="3" borderId="0" xfId="4" applyNumberFormat="1" applyFont="1" applyFill="1" applyAlignment="1" applyProtection="1">
      <alignment horizontal="center"/>
      <protection locked="0"/>
    </xf>
    <xf numFmtId="170" fontId="11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12" fillId="2" borderId="0" xfId="4" applyFont="1" applyFill="1" applyAlignment="1">
      <alignment horizontal="right"/>
    </xf>
    <xf numFmtId="0" fontId="11" fillId="2" borderId="0" xfId="4" applyFont="1" applyFill="1" applyAlignment="1">
      <alignment horizontal="right"/>
    </xf>
    <xf numFmtId="0" fontId="13" fillId="3" borderId="0" xfId="4" applyFont="1" applyFill="1" applyAlignment="1" applyProtection="1">
      <alignment horizontal="center"/>
      <protection locked="0"/>
    </xf>
    <xf numFmtId="0" fontId="14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5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center"/>
    </xf>
    <xf numFmtId="0" fontId="16" fillId="2" borderId="0" xfId="4" applyFont="1" applyFill="1"/>
    <xf numFmtId="0" fontId="17" fillId="2" borderId="0" xfId="4" applyFont="1" applyFill="1"/>
    <xf numFmtId="2" fontId="13" fillId="3" borderId="0" xfId="4" applyNumberFormat="1" applyFont="1" applyFill="1" applyAlignment="1" applyProtection="1">
      <alignment horizontal="center"/>
      <protection locked="0"/>
    </xf>
    <xf numFmtId="0" fontId="12" fillId="2" borderId="0" xfId="4" applyFont="1" applyFill="1" applyAlignment="1">
      <alignment vertical="center" wrapText="1"/>
    </xf>
    <xf numFmtId="0" fontId="18" fillId="2" borderId="0" xfId="4" applyFont="1" applyFill="1"/>
    <xf numFmtId="2" fontId="12" fillId="2" borderId="0" xfId="4" applyNumberFormat="1" applyFont="1" applyFill="1" applyAlignment="1">
      <alignment horizontal="center"/>
    </xf>
    <xf numFmtId="0" fontId="19" fillId="2" borderId="0" xfId="4" applyFont="1" applyFill="1" applyAlignment="1">
      <alignment horizontal="left" vertical="center" wrapText="1"/>
    </xf>
    <xf numFmtId="169" fontId="12" fillId="2" borderId="0" xfId="4" applyNumberFormat="1" applyFont="1" applyFill="1" applyAlignment="1">
      <alignment horizontal="center"/>
    </xf>
    <xf numFmtId="0" fontId="11" fillId="2" borderId="33" xfId="4" applyFont="1" applyFill="1" applyBorder="1" applyAlignment="1">
      <alignment horizontal="right"/>
    </xf>
    <xf numFmtId="0" fontId="13" fillId="3" borderId="34" xfId="4" applyFont="1" applyFill="1" applyBorder="1" applyAlignment="1" applyProtection="1">
      <alignment horizontal="center"/>
      <protection locked="0"/>
    </xf>
    <xf numFmtId="0" fontId="11" fillId="2" borderId="35" xfId="4" applyFont="1" applyFill="1" applyBorder="1" applyAlignment="1">
      <alignment horizontal="right"/>
    </xf>
    <xf numFmtId="0" fontId="13" fillId="3" borderId="36" xfId="4" applyFont="1" applyFill="1" applyBorder="1" applyAlignment="1" applyProtection="1">
      <alignment horizontal="center"/>
      <protection locked="0"/>
    </xf>
    <xf numFmtId="0" fontId="12" fillId="2" borderId="34" xfId="4" applyFont="1" applyFill="1" applyBorder="1" applyAlignment="1">
      <alignment horizontal="center"/>
    </xf>
    <xf numFmtId="0" fontId="12" fillId="2" borderId="37" xfId="4" applyFont="1" applyFill="1" applyBorder="1" applyAlignment="1">
      <alignment horizontal="center"/>
    </xf>
    <xf numFmtId="0" fontId="12" fillId="2" borderId="38" xfId="4" applyFont="1" applyFill="1" applyBorder="1" applyAlignment="1">
      <alignment horizontal="center"/>
    </xf>
    <xf numFmtId="0" fontId="12" fillId="2" borderId="39" xfId="4" applyFont="1" applyFill="1" applyBorder="1" applyAlignment="1">
      <alignment horizontal="center"/>
    </xf>
    <xf numFmtId="0" fontId="12" fillId="2" borderId="12" xfId="4" applyFont="1" applyFill="1" applyBorder="1" applyAlignment="1">
      <alignment horizontal="center"/>
    </xf>
    <xf numFmtId="0" fontId="11" fillId="2" borderId="40" xfId="4" applyFont="1" applyFill="1" applyBorder="1" applyAlignment="1">
      <alignment horizontal="center"/>
    </xf>
    <xf numFmtId="0" fontId="13" fillId="3" borderId="41" xfId="4" applyFont="1" applyFill="1" applyBorder="1" applyAlignment="1" applyProtection="1">
      <alignment horizontal="center"/>
      <protection locked="0"/>
    </xf>
    <xf numFmtId="171" fontId="11" fillId="2" borderId="38" xfId="4" applyNumberFormat="1" applyFont="1" applyFill="1" applyBorder="1" applyAlignment="1">
      <alignment horizontal="center"/>
    </xf>
    <xf numFmtId="171" fontId="11" fillId="2" borderId="42" xfId="4" applyNumberFormat="1" applyFont="1" applyFill="1" applyBorder="1" applyAlignment="1">
      <alignment horizontal="center"/>
    </xf>
    <xf numFmtId="0" fontId="18" fillId="2" borderId="31" xfId="4" applyFont="1" applyFill="1" applyBorder="1"/>
    <xf numFmtId="0" fontId="11" fillId="2" borderId="36" xfId="4" applyFont="1" applyFill="1" applyBorder="1" applyAlignment="1">
      <alignment horizontal="center"/>
    </xf>
    <xf numFmtId="0" fontId="13" fillId="3" borderId="35" xfId="4" applyFont="1" applyFill="1" applyBorder="1" applyAlignment="1" applyProtection="1">
      <alignment horizontal="center"/>
      <protection locked="0"/>
    </xf>
    <xf numFmtId="171" fontId="11" fillId="2" borderId="43" xfId="4" applyNumberFormat="1" applyFont="1" applyFill="1" applyBorder="1" applyAlignment="1">
      <alignment horizontal="center"/>
    </xf>
    <xf numFmtId="171" fontId="11" fillId="2" borderId="44" xfId="4" applyNumberFormat="1" applyFont="1" applyFill="1" applyBorder="1" applyAlignment="1">
      <alignment horizontal="center"/>
    </xf>
    <xf numFmtId="0" fontId="11" fillId="2" borderId="15" xfId="4" applyFont="1" applyFill="1" applyBorder="1" applyAlignment="1">
      <alignment horizontal="center"/>
    </xf>
    <xf numFmtId="0" fontId="13" fillId="3" borderId="45" xfId="4" applyFont="1" applyFill="1" applyBorder="1" applyAlignment="1" applyProtection="1">
      <alignment horizontal="center"/>
      <protection locked="0"/>
    </xf>
    <xf numFmtId="171" fontId="11" fillId="2" borderId="46" xfId="4" applyNumberFormat="1" applyFont="1" applyFill="1" applyBorder="1" applyAlignment="1">
      <alignment horizontal="center"/>
    </xf>
    <xf numFmtId="171" fontId="11" fillId="2" borderId="47" xfId="4" applyNumberFormat="1" applyFont="1" applyFill="1" applyBorder="1" applyAlignment="1">
      <alignment horizontal="center"/>
    </xf>
    <xf numFmtId="0" fontId="11" fillId="2" borderId="32" xfId="4" applyFont="1" applyFill="1" applyBorder="1"/>
    <xf numFmtId="0" fontId="11" fillId="2" borderId="36" xfId="4" applyFont="1" applyFill="1" applyBorder="1" applyAlignment="1">
      <alignment horizontal="right"/>
    </xf>
    <xf numFmtId="1" fontId="12" fillId="6" borderId="25" xfId="4" applyNumberFormat="1" applyFont="1" applyFill="1" applyBorder="1" applyAlignment="1">
      <alignment horizontal="center"/>
    </xf>
    <xf numFmtId="171" fontId="12" fillId="6" borderId="48" xfId="4" applyNumberFormat="1" applyFont="1" applyFill="1" applyBorder="1" applyAlignment="1">
      <alignment horizontal="center"/>
    </xf>
    <xf numFmtId="171" fontId="12" fillId="6" borderId="4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11" fillId="2" borderId="50" xfId="4" applyFont="1" applyFill="1" applyBorder="1" applyAlignment="1">
      <alignment horizontal="right"/>
    </xf>
    <xf numFmtId="0" fontId="13" fillId="3" borderId="28" xfId="4" applyFont="1" applyFill="1" applyBorder="1" applyAlignment="1" applyProtection="1">
      <alignment horizontal="center"/>
      <protection locked="0"/>
    </xf>
    <xf numFmtId="0" fontId="11" fillId="2" borderId="11" xfId="4" applyFont="1" applyFill="1" applyBorder="1" applyAlignment="1">
      <alignment horizontal="right"/>
    </xf>
    <xf numFmtId="2" fontId="11" fillId="6" borderId="17" xfId="4" applyNumberFormat="1" applyFont="1" applyFill="1" applyBorder="1" applyAlignment="1">
      <alignment horizontal="center"/>
    </xf>
    <xf numFmtId="0" fontId="11" fillId="2" borderId="0" xfId="4" applyFont="1" applyFill="1" applyAlignment="1">
      <alignment horizontal="center"/>
    </xf>
    <xf numFmtId="2" fontId="11" fillId="7" borderId="17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166" fontId="11" fillId="6" borderId="17" xfId="4" applyNumberFormat="1" applyFont="1" applyFill="1" applyBorder="1" applyAlignment="1">
      <alignment horizontal="center"/>
    </xf>
    <xf numFmtId="166" fontId="11" fillId="2" borderId="0" xfId="4" applyNumberFormat="1" applyFont="1" applyFill="1" applyAlignment="1">
      <alignment horizontal="center"/>
    </xf>
    <xf numFmtId="166" fontId="11" fillId="6" borderId="18" xfId="4" applyNumberFormat="1" applyFont="1" applyFill="1" applyBorder="1" applyAlignment="1">
      <alignment horizontal="center"/>
    </xf>
    <xf numFmtId="0" fontId="11" fillId="2" borderId="51" xfId="4" applyFont="1" applyFill="1" applyBorder="1" applyAlignment="1">
      <alignment horizontal="right"/>
    </xf>
    <xf numFmtId="166" fontId="13" fillId="3" borderId="17" xfId="4" applyNumberFormat="1" applyFont="1" applyFill="1" applyBorder="1" applyAlignment="1" applyProtection="1">
      <alignment horizontal="center"/>
      <protection locked="0"/>
    </xf>
    <xf numFmtId="166" fontId="11" fillId="2" borderId="0" xfId="4" applyNumberFormat="1" applyFont="1" applyFill="1"/>
    <xf numFmtId="0" fontId="11" fillId="2" borderId="41" xfId="4" applyFont="1" applyFill="1" applyBorder="1" applyAlignment="1">
      <alignment horizontal="right"/>
    </xf>
    <xf numFmtId="1" fontId="11" fillId="2" borderId="0" xfId="4" applyNumberFormat="1" applyFont="1" applyFill="1" applyAlignment="1">
      <alignment horizontal="center"/>
    </xf>
    <xf numFmtId="0" fontId="11" fillId="2" borderId="32" xfId="4" applyFont="1" applyFill="1" applyBorder="1" applyAlignment="1">
      <alignment horizontal="right"/>
    </xf>
    <xf numFmtId="2" fontId="11" fillId="6" borderId="32" xfId="4" applyNumberFormat="1" applyFont="1" applyFill="1" applyBorder="1" applyAlignment="1">
      <alignment horizontal="center"/>
    </xf>
    <xf numFmtId="171" fontId="12" fillId="7" borderId="31" xfId="4" applyNumberFormat="1" applyFont="1" applyFill="1" applyBorder="1" applyAlignment="1">
      <alignment horizontal="center"/>
    </xf>
    <xf numFmtId="171" fontId="11" fillId="2" borderId="0" xfId="4" applyNumberFormat="1" applyFont="1" applyFill="1" applyAlignment="1">
      <alignment horizontal="center"/>
    </xf>
    <xf numFmtId="10" fontId="11" fillId="6" borderId="17" xfId="4" applyNumberFormat="1" applyFont="1" applyFill="1" applyBorder="1" applyAlignment="1">
      <alignment horizontal="center"/>
    </xf>
    <xf numFmtId="0" fontId="11" fillId="2" borderId="52" xfId="4" applyFont="1" applyFill="1" applyBorder="1" applyAlignment="1">
      <alignment horizontal="right"/>
    </xf>
    <xf numFmtId="0" fontId="11" fillId="7" borderId="32" xfId="4" applyFont="1" applyFill="1" applyBorder="1" applyAlignment="1">
      <alignment horizontal="center"/>
    </xf>
    <xf numFmtId="0" fontId="3" fillId="2" borderId="0" xfId="4" applyFont="1" applyFill="1"/>
    <xf numFmtId="0" fontId="12" fillId="2" borderId="0" xfId="4" applyFont="1" applyFill="1" applyAlignment="1">
      <alignment horizontal="left"/>
    </xf>
    <xf numFmtId="0" fontId="11" fillId="2" borderId="0" xfId="4" applyFont="1" applyFill="1" applyAlignment="1">
      <alignment horizontal="left"/>
    </xf>
    <xf numFmtId="172" fontId="13" fillId="3" borderId="0" xfId="4" applyNumberFormat="1" applyFont="1" applyFill="1" applyAlignment="1" applyProtection="1">
      <alignment horizontal="center"/>
      <protection locked="0"/>
    </xf>
    <xf numFmtId="166" fontId="12" fillId="2" borderId="0" xfId="4" applyNumberFormat="1" applyFont="1" applyFill="1" applyAlignment="1" applyProtection="1">
      <alignment horizontal="center"/>
      <protection locked="0"/>
    </xf>
    <xf numFmtId="2" fontId="12" fillId="2" borderId="31" xfId="4" applyNumberFormat="1" applyFont="1" applyFill="1" applyBorder="1" applyAlignment="1">
      <alignment horizontal="center"/>
    </xf>
    <xf numFmtId="0" fontId="12" fillId="2" borderId="31" xfId="4" applyFont="1" applyFill="1" applyBorder="1" applyAlignment="1">
      <alignment horizontal="center"/>
    </xf>
    <xf numFmtId="0" fontId="11" fillId="2" borderId="31" xfId="4" applyFont="1" applyFill="1" applyBorder="1" applyAlignment="1">
      <alignment horizontal="center"/>
    </xf>
    <xf numFmtId="0" fontId="13" fillId="3" borderId="33" xfId="4" applyFont="1" applyFill="1" applyBorder="1" applyAlignment="1" applyProtection="1">
      <alignment horizontal="center"/>
      <protection locked="0"/>
    </xf>
    <xf numFmtId="166" fontId="11" fillId="2" borderId="33" xfId="4" applyNumberFormat="1" applyFont="1" applyFill="1" applyBorder="1" applyAlignment="1">
      <alignment horizontal="center"/>
    </xf>
    <xf numFmtId="10" fontId="11" fillId="2" borderId="31" xfId="4" applyNumberFormat="1" applyFont="1" applyFill="1" applyBorder="1" applyAlignment="1">
      <alignment horizontal="center" vertical="center"/>
    </xf>
    <xf numFmtId="0" fontId="11" fillId="2" borderId="53" xfId="4" applyFont="1" applyFill="1" applyBorder="1" applyAlignment="1">
      <alignment horizontal="center"/>
    </xf>
    <xf numFmtId="166" fontId="11" fillId="2" borderId="35" xfId="4" applyNumberFormat="1" applyFont="1" applyFill="1" applyBorder="1" applyAlignment="1">
      <alignment horizontal="center"/>
    </xf>
    <xf numFmtId="10" fontId="11" fillId="2" borderId="53" xfId="4" applyNumberFormat="1" applyFont="1" applyFill="1" applyBorder="1" applyAlignment="1">
      <alignment horizontal="center" vertical="center"/>
    </xf>
    <xf numFmtId="1" fontId="13" fillId="3" borderId="35" xfId="4" applyNumberFormat="1" applyFont="1" applyFill="1" applyBorder="1" applyAlignment="1" applyProtection="1">
      <alignment horizontal="center"/>
      <protection locked="0"/>
    </xf>
    <xf numFmtId="0" fontId="11" fillId="2" borderId="32" xfId="4" applyFont="1" applyFill="1" applyBorder="1" applyAlignment="1">
      <alignment horizontal="center"/>
    </xf>
    <xf numFmtId="0" fontId="13" fillId="3" borderId="52" xfId="4" applyFont="1" applyFill="1" applyBorder="1" applyAlignment="1" applyProtection="1">
      <alignment horizontal="center"/>
      <protection locked="0"/>
    </xf>
    <xf numFmtId="166" fontId="11" fillId="2" borderId="31" xfId="4" applyNumberFormat="1" applyFont="1" applyFill="1" applyBorder="1" applyAlignment="1">
      <alignment horizontal="center"/>
    </xf>
    <xf numFmtId="10" fontId="11" fillId="2" borderId="34" xfId="4" applyNumberFormat="1" applyFont="1" applyFill="1" applyBorder="1" applyAlignment="1">
      <alignment horizontal="center" vertical="center"/>
    </xf>
    <xf numFmtId="166" fontId="11" fillId="2" borderId="53" xfId="4" applyNumberFormat="1" applyFont="1" applyFill="1" applyBorder="1" applyAlignment="1">
      <alignment horizontal="center"/>
    </xf>
    <xf numFmtId="10" fontId="11" fillId="2" borderId="36" xfId="4" applyNumberFormat="1" applyFont="1" applyFill="1" applyBorder="1" applyAlignment="1">
      <alignment horizontal="center" vertical="center"/>
    </xf>
    <xf numFmtId="166" fontId="11" fillId="2" borderId="32" xfId="4" applyNumberFormat="1" applyFont="1" applyFill="1" applyBorder="1" applyAlignment="1">
      <alignment horizontal="center"/>
    </xf>
    <xf numFmtId="10" fontId="11" fillId="2" borderId="54" xfId="4" applyNumberFormat="1" applyFont="1" applyFill="1" applyBorder="1" applyAlignment="1">
      <alignment horizontal="center" vertical="center"/>
    </xf>
    <xf numFmtId="0" fontId="14" fillId="2" borderId="36" xfId="4" applyFont="1" applyFill="1" applyBorder="1" applyAlignment="1">
      <alignment horizontal="center"/>
    </xf>
    <xf numFmtId="2" fontId="14" fillId="2" borderId="54" xfId="4" applyNumberFormat="1" applyFont="1" applyFill="1" applyBorder="1" applyAlignment="1">
      <alignment horizontal="center"/>
    </xf>
    <xf numFmtId="10" fontId="11" fillId="2" borderId="32" xfId="4" applyNumberFormat="1" applyFont="1" applyFill="1" applyBorder="1" applyAlignment="1">
      <alignment horizontal="center" vertical="center"/>
    </xf>
    <xf numFmtId="0" fontId="11" fillId="2" borderId="14" xfId="4" applyFont="1" applyFill="1" applyBorder="1" applyAlignment="1">
      <alignment horizontal="right"/>
    </xf>
    <xf numFmtId="2" fontId="13" fillId="7" borderId="15" xfId="4" applyNumberFormat="1" applyFont="1" applyFill="1" applyBorder="1" applyAlignment="1">
      <alignment horizontal="center"/>
    </xf>
    <xf numFmtId="10" fontId="13" fillId="7" borderId="15" xfId="4" applyNumberFormat="1" applyFont="1" applyFill="1" applyBorder="1" applyAlignment="1">
      <alignment horizontal="center"/>
    </xf>
    <xf numFmtId="0" fontId="11" fillId="2" borderId="17" xfId="4" applyFont="1" applyFill="1" applyBorder="1" applyAlignment="1">
      <alignment horizontal="right"/>
    </xf>
    <xf numFmtId="10" fontId="13" fillId="6" borderId="16" xfId="4" applyNumberFormat="1" applyFont="1" applyFill="1" applyBorder="1" applyAlignment="1">
      <alignment horizontal="center"/>
    </xf>
    <xf numFmtId="0" fontId="11" fillId="2" borderId="18" xfId="4" applyFont="1" applyFill="1" applyBorder="1" applyAlignment="1">
      <alignment horizontal="right"/>
    </xf>
    <xf numFmtId="0" fontId="13" fillId="7" borderId="19" xfId="4" applyFont="1" applyFill="1" applyBorder="1" applyAlignment="1">
      <alignment horizontal="center"/>
    </xf>
    <xf numFmtId="165" fontId="13" fillId="2" borderId="0" xfId="4" applyNumberFormat="1" applyFont="1" applyFill="1" applyAlignment="1">
      <alignment horizontal="center"/>
    </xf>
    <xf numFmtId="0" fontId="12" fillId="2" borderId="20" xfId="4" applyFont="1" applyFill="1" applyBorder="1" applyAlignment="1">
      <alignment horizontal="center"/>
    </xf>
    <xf numFmtId="0" fontId="12" fillId="2" borderId="50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2" fillId="2" borderId="42" xfId="4" applyFont="1" applyFill="1" applyBorder="1" applyAlignment="1">
      <alignment horizontal="center"/>
    </xf>
    <xf numFmtId="0" fontId="11" fillId="2" borderId="55" xfId="4" applyFont="1" applyFill="1" applyBorder="1" applyAlignment="1">
      <alignment horizontal="center"/>
    </xf>
    <xf numFmtId="0" fontId="11" fillId="2" borderId="7" xfId="4" applyFont="1" applyFill="1" applyBorder="1" applyAlignment="1">
      <alignment horizontal="center"/>
    </xf>
    <xf numFmtId="171" fontId="13" fillId="3" borderId="45" xfId="4" applyNumberFormat="1" applyFont="1" applyFill="1" applyBorder="1" applyAlignment="1" applyProtection="1">
      <alignment horizontal="center"/>
      <protection locked="0"/>
    </xf>
    <xf numFmtId="1" fontId="12" fillId="6" borderId="56" xfId="4" applyNumberFormat="1" applyFont="1" applyFill="1" applyBorder="1" applyAlignment="1">
      <alignment horizontal="center"/>
    </xf>
    <xf numFmtId="1" fontId="12" fillId="6" borderId="57" xfId="4" applyNumberFormat="1" applyFont="1" applyFill="1" applyBorder="1" applyAlignment="1">
      <alignment horizontal="center"/>
    </xf>
    <xf numFmtId="171" fontId="12" fillId="6" borderId="32" xfId="4" applyNumberFormat="1" applyFont="1" applyFill="1" applyBorder="1" applyAlignment="1">
      <alignment horizontal="center"/>
    </xf>
    <xf numFmtId="0" fontId="11" fillId="2" borderId="21" xfId="4" applyFont="1" applyFill="1" applyBorder="1" applyAlignment="1">
      <alignment horizontal="right"/>
    </xf>
    <xf numFmtId="0" fontId="13" fillId="3" borderId="23" xfId="4" applyFont="1" applyFill="1" applyBorder="1" applyAlignment="1" applyProtection="1">
      <alignment horizontal="center"/>
      <protection locked="0"/>
    </xf>
    <xf numFmtId="0" fontId="11" fillId="2" borderId="37" xfId="4" applyFont="1" applyFill="1" applyBorder="1" applyAlignment="1">
      <alignment horizontal="right"/>
    </xf>
    <xf numFmtId="2" fontId="11" fillId="6" borderId="39" xfId="4" applyNumberFormat="1" applyFont="1" applyFill="1" applyBorder="1" applyAlignment="1">
      <alignment horizontal="center"/>
    </xf>
    <xf numFmtId="2" fontId="11" fillId="7" borderId="39" xfId="4" applyNumberFormat="1" applyFont="1" applyFill="1" applyBorder="1" applyAlignment="1">
      <alignment horizontal="center"/>
    </xf>
    <xf numFmtId="166" fontId="11" fillId="6" borderId="39" xfId="4" applyNumberFormat="1" applyFont="1" applyFill="1" applyBorder="1" applyAlignment="1">
      <alignment horizontal="center"/>
    </xf>
    <xf numFmtId="166" fontId="11" fillId="7" borderId="39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1" fillId="2" borderId="58" xfId="4" applyFont="1" applyFill="1" applyBorder="1" applyAlignment="1">
      <alignment horizontal="right"/>
    </xf>
    <xf numFmtId="2" fontId="11" fillId="7" borderId="42" xfId="4" applyNumberFormat="1" applyFont="1" applyFill="1" applyBorder="1" applyAlignment="1">
      <alignment horizontal="center"/>
    </xf>
    <xf numFmtId="0" fontId="12" fillId="2" borderId="0" xfId="4" applyFont="1" applyFill="1" applyAlignment="1">
      <alignment horizontal="center" wrapText="1"/>
    </xf>
    <xf numFmtId="0" fontId="11" fillId="2" borderId="28" xfId="4" applyFont="1" applyFill="1" applyBorder="1" applyAlignment="1">
      <alignment horizontal="right"/>
    </xf>
    <xf numFmtId="171" fontId="12" fillId="7" borderId="28" xfId="4" applyNumberFormat="1" applyFont="1" applyFill="1" applyBorder="1" applyAlignment="1">
      <alignment horizontal="center"/>
    </xf>
    <xf numFmtId="10" fontId="11" fillId="2" borderId="0" xfId="4" applyNumberFormat="1" applyFont="1" applyFill="1" applyAlignment="1">
      <alignment horizontal="center"/>
    </xf>
    <xf numFmtId="10" fontId="12" fillId="6" borderId="17" xfId="4" applyNumberFormat="1" applyFont="1" applyFill="1" applyBorder="1" applyAlignment="1">
      <alignment horizontal="center"/>
    </xf>
    <xf numFmtId="0" fontId="12" fillId="7" borderId="18" xfId="4" applyFont="1" applyFill="1" applyBorder="1" applyAlignment="1">
      <alignment horizontal="center"/>
    </xf>
    <xf numFmtId="0" fontId="12" fillId="2" borderId="22" xfId="4" applyFont="1" applyFill="1" applyBorder="1" applyAlignment="1">
      <alignment horizontal="center"/>
    </xf>
    <xf numFmtId="0" fontId="12" fillId="2" borderId="59" xfId="4" applyFont="1" applyFill="1" applyBorder="1" applyAlignment="1">
      <alignment horizontal="center"/>
    </xf>
    <xf numFmtId="0" fontId="12" fillId="2" borderId="34" xfId="4" applyFont="1" applyFill="1" applyBorder="1" applyAlignment="1">
      <alignment horizontal="center" wrapText="1"/>
    </xf>
    <xf numFmtId="0" fontId="11" fillId="2" borderId="35" xfId="4" applyFont="1" applyFill="1" applyBorder="1" applyAlignment="1">
      <alignment horizontal="center"/>
    </xf>
    <xf numFmtId="1" fontId="13" fillId="3" borderId="43" xfId="4" applyNumberFormat="1" applyFont="1" applyFill="1" applyBorder="1" applyAlignment="1" applyProtection="1">
      <alignment horizontal="center"/>
      <protection locked="0"/>
    </xf>
    <xf numFmtId="166" fontId="11" fillId="2" borderId="38" xfId="4" applyNumberFormat="1" applyFont="1" applyFill="1" applyBorder="1" applyAlignment="1">
      <alignment horizontal="center"/>
    </xf>
    <xf numFmtId="10" fontId="11" fillId="2" borderId="42" xfId="4" applyNumberFormat="1" applyFont="1" applyFill="1" applyBorder="1" applyAlignment="1">
      <alignment horizontal="center"/>
    </xf>
    <xf numFmtId="166" fontId="11" fillId="2" borderId="43" xfId="4" applyNumberFormat="1" applyFont="1" applyFill="1" applyBorder="1" applyAlignment="1">
      <alignment horizontal="center"/>
    </xf>
    <xf numFmtId="10" fontId="11" fillId="2" borderId="44" xfId="4" applyNumberFormat="1" applyFont="1" applyFill="1" applyBorder="1" applyAlignment="1">
      <alignment horizontal="center"/>
    </xf>
    <xf numFmtId="0" fontId="11" fillId="2" borderId="45" xfId="4" applyFont="1" applyFill="1" applyBorder="1" applyAlignment="1">
      <alignment horizontal="center"/>
    </xf>
    <xf numFmtId="166" fontId="11" fillId="2" borderId="46" xfId="4" applyNumberFormat="1" applyFont="1" applyFill="1" applyBorder="1" applyAlignment="1">
      <alignment horizontal="center"/>
    </xf>
    <xf numFmtId="10" fontId="11" fillId="2" borderId="47" xfId="4" applyNumberFormat="1" applyFont="1" applyFill="1" applyBorder="1" applyAlignment="1">
      <alignment horizontal="center"/>
    </xf>
    <xf numFmtId="2" fontId="11" fillId="2" borderId="36" xfId="4" applyNumberFormat="1" applyFont="1" applyFill="1" applyBorder="1" applyAlignment="1">
      <alignment horizontal="center"/>
    </xf>
    <xf numFmtId="171" fontId="11" fillId="2" borderId="2" xfId="4" applyNumberFormat="1" applyFont="1" applyFill="1" applyBorder="1" applyAlignment="1">
      <alignment horizontal="right"/>
    </xf>
    <xf numFmtId="2" fontId="13" fillId="7" borderId="39" xfId="4" applyNumberFormat="1" applyFont="1" applyFill="1" applyBorder="1" applyAlignment="1">
      <alignment horizontal="center"/>
    </xf>
    <xf numFmtId="10" fontId="13" fillId="7" borderId="39" xfId="4" applyNumberFormat="1" applyFont="1" applyFill="1" applyBorder="1" applyAlignment="1">
      <alignment horizontal="center"/>
    </xf>
    <xf numFmtId="0" fontId="11" fillId="2" borderId="35" xfId="4" applyFont="1" applyFill="1" applyBorder="1"/>
    <xf numFmtId="10" fontId="13" fillId="6" borderId="39" xfId="4" applyNumberFormat="1" applyFont="1" applyFill="1" applyBorder="1" applyAlignment="1">
      <alignment horizontal="center"/>
    </xf>
    <xf numFmtId="0" fontId="11" fillId="2" borderId="52" xfId="4" applyFont="1" applyFill="1" applyBorder="1"/>
    <xf numFmtId="0" fontId="11" fillId="2" borderId="60" xfId="4" applyFont="1" applyFill="1" applyBorder="1" applyAlignment="1">
      <alignment horizontal="right"/>
    </xf>
    <xf numFmtId="0" fontId="13" fillId="7" borderId="18" xfId="4" applyFont="1" applyFill="1" applyBorder="1" applyAlignment="1">
      <alignment horizontal="center"/>
    </xf>
    <xf numFmtId="0" fontId="19" fillId="2" borderId="0" xfId="4" applyFont="1" applyFill="1" applyAlignment="1">
      <alignment horizontal="righ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1" fillId="2" borderId="9" xfId="4" applyFont="1" applyFill="1" applyBorder="1"/>
    <xf numFmtId="0" fontId="11" fillId="2" borderId="10" xfId="4" applyFont="1" applyFill="1" applyBorder="1" applyAlignment="1">
      <alignment horizontal="center"/>
    </xf>
    <xf numFmtId="0" fontId="11" fillId="2" borderId="7" xfId="4" applyFont="1" applyFill="1" applyBorder="1"/>
    <xf numFmtId="0" fontId="12" fillId="2" borderId="11" xfId="4" applyFont="1" applyFill="1" applyBorder="1"/>
    <xf numFmtId="0" fontId="11" fillId="2" borderId="11" xfId="4" applyFont="1" applyFill="1" applyBorder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9" fillId="2" borderId="61" xfId="4" applyFont="1" applyFill="1" applyBorder="1" applyAlignment="1">
      <alignment horizontal="left" vertical="center" wrapText="1"/>
    </xf>
    <xf numFmtId="0" fontId="19" fillId="2" borderId="30" xfId="4" applyFont="1" applyFill="1" applyBorder="1" applyAlignment="1">
      <alignment horizontal="left" vertical="center" wrapText="1"/>
    </xf>
    <xf numFmtId="0" fontId="19" fillId="2" borderId="13" xfId="4" applyFont="1" applyFill="1" applyBorder="1" applyAlignment="1">
      <alignment horizontal="left" vertical="center" wrapText="1"/>
    </xf>
    <xf numFmtId="0" fontId="21" fillId="2" borderId="0" xfId="4" applyFont="1" applyFill="1" applyAlignment="1">
      <alignment horizontal="center" vertical="center"/>
    </xf>
    <xf numFmtId="0" fontId="22" fillId="2" borderId="0" xfId="4" applyFont="1" applyFill="1" applyAlignment="1">
      <alignment horizontal="center" vertical="center"/>
    </xf>
    <xf numFmtId="0" fontId="19" fillId="2" borderId="61" xfId="4" applyFont="1" applyFill="1" applyBorder="1" applyAlignment="1">
      <alignment horizontal="center"/>
    </xf>
    <xf numFmtId="0" fontId="19" fillId="2" borderId="30" xfId="4" applyFont="1" applyFill="1" applyBorder="1" applyAlignment="1">
      <alignment horizontal="center"/>
    </xf>
    <xf numFmtId="0" fontId="19" fillId="2" borderId="13" xfId="4" applyFont="1" applyFill="1" applyBorder="1" applyAlignment="1">
      <alignment horizontal="center"/>
    </xf>
    <xf numFmtId="0" fontId="20" fillId="2" borderId="10" xfId="4" applyFont="1" applyFill="1" applyBorder="1" applyAlignment="1">
      <alignment horizontal="center" vertical="center"/>
    </xf>
    <xf numFmtId="0" fontId="13" fillId="3" borderId="0" xfId="4" applyFont="1" applyFill="1" applyAlignment="1" applyProtection="1">
      <alignment horizontal="left" wrapText="1"/>
      <protection locked="0"/>
    </xf>
    <xf numFmtId="0" fontId="14" fillId="3" borderId="0" xfId="4" applyFont="1" applyFill="1" applyAlignment="1" applyProtection="1">
      <alignment horizontal="left" wrapText="1"/>
      <protection locked="0"/>
    </xf>
    <xf numFmtId="0" fontId="14" fillId="3" borderId="0" xfId="4" applyFont="1" applyFill="1" applyAlignment="1" applyProtection="1">
      <alignment horizontal="left"/>
      <protection locked="0"/>
    </xf>
    <xf numFmtId="0" fontId="19" fillId="2" borderId="61" xfId="4" applyFont="1" applyFill="1" applyBorder="1" applyAlignment="1">
      <alignment horizontal="justify" vertical="center" wrapText="1"/>
    </xf>
    <xf numFmtId="0" fontId="19" fillId="2" borderId="30" xfId="4" applyFont="1" applyFill="1" applyBorder="1" applyAlignment="1">
      <alignment horizontal="justify" vertical="center" wrapText="1"/>
    </xf>
    <xf numFmtId="0" fontId="19" fillId="2" borderId="13" xfId="4" applyFont="1" applyFill="1" applyBorder="1" applyAlignment="1">
      <alignment horizontal="justify" vertical="center" wrapText="1"/>
    </xf>
    <xf numFmtId="0" fontId="19" fillId="2" borderId="33" xfId="4" applyFont="1" applyFill="1" applyBorder="1" applyAlignment="1">
      <alignment horizontal="center" vertical="center" wrapText="1"/>
    </xf>
    <xf numFmtId="0" fontId="19" fillId="2" borderId="34" xfId="4" applyFont="1" applyFill="1" applyBorder="1" applyAlignment="1">
      <alignment horizontal="center" vertical="center" wrapText="1"/>
    </xf>
    <xf numFmtId="0" fontId="19" fillId="2" borderId="52" xfId="4" applyFont="1" applyFill="1" applyBorder="1" applyAlignment="1">
      <alignment horizontal="center" vertical="center" wrapText="1"/>
    </xf>
    <xf numFmtId="0" fontId="19" fillId="2" borderId="54" xfId="4" applyFont="1" applyFill="1" applyBorder="1" applyAlignment="1">
      <alignment horizontal="center" vertical="center" wrapText="1"/>
    </xf>
    <xf numFmtId="0" fontId="12" fillId="2" borderId="0" xfId="4" applyFont="1" applyFill="1" applyAlignment="1">
      <alignment horizontal="center"/>
    </xf>
    <xf numFmtId="0" fontId="12" fillId="2" borderId="20" xfId="4" applyFont="1" applyFill="1" applyBorder="1" applyAlignment="1">
      <alignment horizontal="center"/>
    </xf>
    <xf numFmtId="0" fontId="12" fillId="2" borderId="50" xfId="4" applyFont="1" applyFill="1" applyBorder="1" applyAlignment="1">
      <alignment horizontal="center"/>
    </xf>
    <xf numFmtId="0" fontId="12" fillId="2" borderId="29" xfId="4" applyFont="1" applyFill="1" applyBorder="1" applyAlignment="1">
      <alignment horizontal="center"/>
    </xf>
    <xf numFmtId="10" fontId="15" fillId="2" borderId="53" xfId="4" applyNumberFormat="1" applyFont="1" applyFill="1" applyBorder="1" applyAlignment="1">
      <alignment horizontal="center" vertical="center"/>
    </xf>
    <xf numFmtId="0" fontId="19" fillId="2" borderId="33" xfId="4" applyFont="1" applyFill="1" applyBorder="1" applyAlignment="1">
      <alignment horizontal="left" vertical="center" wrapText="1"/>
    </xf>
    <xf numFmtId="0" fontId="19" fillId="2" borderId="34" xfId="4" applyFont="1" applyFill="1" applyBorder="1" applyAlignment="1">
      <alignment horizontal="left" vertical="center" wrapText="1"/>
    </xf>
    <xf numFmtId="0" fontId="19" fillId="2" borderId="52" xfId="4" applyFont="1" applyFill="1" applyBorder="1" applyAlignment="1">
      <alignment horizontal="left" vertical="center" wrapText="1"/>
    </xf>
    <xf numFmtId="0" fontId="19" fillId="2" borderId="54" xfId="4" applyFont="1" applyFill="1" applyBorder="1" applyAlignment="1">
      <alignment horizontal="left" vertical="center" wrapText="1"/>
    </xf>
    <xf numFmtId="0" fontId="12" fillId="2" borderId="10" xfId="4" applyFont="1" applyFill="1" applyBorder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2" fillId="2" borderId="9" xfId="4" applyFont="1" applyFill="1" applyBorder="1" applyAlignment="1">
      <alignment horizontal="center" vertical="center"/>
    </xf>
    <xf numFmtId="2" fontId="13" fillId="3" borderId="31" xfId="4" applyNumberFormat="1" applyFont="1" applyFill="1" applyBorder="1" applyAlignment="1" applyProtection="1">
      <alignment horizontal="center" vertical="center"/>
      <protection locked="0"/>
    </xf>
    <xf numFmtId="2" fontId="13" fillId="3" borderId="53" xfId="4" applyNumberFormat="1" applyFont="1" applyFill="1" applyBorder="1" applyAlignment="1" applyProtection="1">
      <alignment horizontal="center" vertical="center"/>
      <protection locked="0"/>
    </xf>
    <xf numFmtId="2" fontId="13" fillId="3" borderId="32" xfId="4" applyNumberFormat="1" applyFont="1" applyFill="1" applyBorder="1" applyAlignment="1" applyProtection="1">
      <alignment horizontal="center" vertical="center"/>
      <protection locked="0"/>
    </xf>
    <xf numFmtId="0" fontId="12" fillId="2" borderId="52" xfId="4" applyFont="1" applyFill="1" applyBorder="1" applyAlignment="1">
      <alignment horizontal="center" vertical="center"/>
    </xf>
    <xf numFmtId="0" fontId="13" fillId="3" borderId="0" xfId="4" applyFont="1" applyFill="1" applyAlignment="1" applyProtection="1">
      <alignment horizontal="left"/>
      <protection locked="0"/>
    </xf>
    <xf numFmtId="0" fontId="19" fillId="2" borderId="10" xfId="4" applyFont="1" applyFill="1" applyBorder="1" applyAlignment="1">
      <alignment horizontal="lef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2" fillId="2" borderId="10" xfId="4" applyFont="1" applyFill="1" applyBorder="1" applyAlignment="1">
      <alignment horizontal="center"/>
    </xf>
    <xf numFmtId="0" fontId="19" fillId="2" borderId="33" xfId="1" applyFont="1" applyFill="1" applyBorder="1" applyAlignment="1">
      <alignment horizontal="left" vertical="center" wrapText="1"/>
    </xf>
    <xf numFmtId="0" fontId="19" fillId="2" borderId="34" xfId="1" applyFont="1" applyFill="1" applyBorder="1" applyAlignment="1">
      <alignment horizontal="left" vertical="center" wrapText="1"/>
    </xf>
    <xf numFmtId="0" fontId="19" fillId="2" borderId="52" xfId="1" applyFont="1" applyFill="1" applyBorder="1" applyAlignment="1">
      <alignment horizontal="left" vertical="center" wrapText="1"/>
    </xf>
    <xf numFmtId="0" fontId="19" fillId="2" borderId="5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19" fillId="2" borderId="61" xfId="1" applyFont="1" applyFill="1" applyBorder="1" applyAlignment="1">
      <alignment horizontal="justify" vertical="center" wrapText="1"/>
    </xf>
    <xf numFmtId="0" fontId="19" fillId="2" borderId="30" xfId="1" applyFont="1" applyFill="1" applyBorder="1" applyAlignment="1">
      <alignment horizontal="justify" vertical="center" wrapText="1"/>
    </xf>
    <xf numFmtId="0" fontId="19" fillId="2" borderId="13" xfId="1" applyFont="1" applyFill="1" applyBorder="1" applyAlignment="1">
      <alignment horizontal="justify" vertical="center" wrapText="1"/>
    </xf>
    <xf numFmtId="0" fontId="19" fillId="2" borderId="61" xfId="1" applyFont="1" applyFill="1" applyBorder="1" applyAlignment="1">
      <alignment horizontal="left" vertical="center" wrapText="1"/>
    </xf>
    <xf numFmtId="0" fontId="19" fillId="2" borderId="30" xfId="1" applyFont="1" applyFill="1" applyBorder="1" applyAlignment="1">
      <alignment horizontal="left" vertical="center" wrapText="1"/>
    </xf>
    <xf numFmtId="0" fontId="19" fillId="2" borderId="13" xfId="1" applyFont="1" applyFill="1" applyBorder="1" applyAlignment="1">
      <alignment horizontal="left" vertical="center" wrapText="1"/>
    </xf>
    <xf numFmtId="0" fontId="12" fillId="2" borderId="20" xfId="1" applyFont="1" applyFill="1" applyBorder="1" applyAlignment="1">
      <alignment horizontal="center"/>
    </xf>
    <xf numFmtId="0" fontId="12" fillId="2" borderId="29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52" xfId="1" applyFont="1" applyFill="1" applyBorder="1" applyAlignment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  <protection locked="0"/>
    </xf>
    <xf numFmtId="2" fontId="13" fillId="3" borderId="53" xfId="1" applyNumberFormat="1" applyFont="1" applyFill="1" applyBorder="1" applyAlignment="1" applyProtection="1">
      <alignment horizontal="center" vertical="center"/>
      <protection locked="0"/>
    </xf>
    <xf numFmtId="2" fontId="13" fillId="3" borderId="32" xfId="1" applyNumberFormat="1" applyFont="1" applyFill="1" applyBorder="1" applyAlignment="1" applyProtection="1">
      <alignment horizontal="center" vertical="center"/>
      <protection locked="0"/>
    </xf>
    <xf numFmtId="0" fontId="13" fillId="3" borderId="0" xfId="1" applyFont="1" applyFill="1" applyAlignment="1" applyProtection="1">
      <alignment horizontal="left" vertical="center"/>
      <protection locked="0"/>
    </xf>
    <xf numFmtId="0" fontId="14" fillId="3" borderId="0" xfId="1" applyFont="1" applyFill="1" applyAlignment="1" applyProtection="1">
      <alignment horizontal="left" vertical="center"/>
      <protection locked="0"/>
    </xf>
    <xf numFmtId="0" fontId="12" fillId="2" borderId="20" xfId="1" applyFont="1" applyFill="1" applyBorder="1" applyAlignment="1">
      <alignment horizontal="center" vertical="center"/>
    </xf>
    <xf numFmtId="0" fontId="12" fillId="2" borderId="29" xfId="1" applyFont="1" applyFill="1" applyBorder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61" xfId="1" applyFont="1" applyFill="1" applyBorder="1" applyAlignment="1">
      <alignment horizontal="center" vertical="center"/>
    </xf>
    <xf numFmtId="0" fontId="19" fillId="2" borderId="30" xfId="1" applyFont="1" applyFill="1" applyBorder="1" applyAlignment="1">
      <alignment horizontal="center" vertical="center"/>
    </xf>
    <xf numFmtId="0" fontId="19" fillId="2" borderId="13" xfId="1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3" xfId="3"/>
    <cellStyle name="Normal 4" xfId="1"/>
    <cellStyle name="Normal 5" xfId="4"/>
  </cellStyles>
  <dxfs count="3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D11" sqref="D1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32" t="s">
        <v>0</v>
      </c>
      <c r="B15" s="532"/>
      <c r="C15" s="532"/>
      <c r="D15" s="532"/>
      <c r="E15" s="53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141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99.89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20.04</v>
      </c>
      <c r="C20" s="10"/>
      <c r="D20" s="10"/>
      <c r="E20" s="10"/>
    </row>
    <row r="21" spans="1:6" ht="16.5" customHeight="1" x14ac:dyDescent="0.3">
      <c r="A21" s="7" t="s">
        <v>10</v>
      </c>
      <c r="B21" s="13">
        <v>1.0019999999999999E-2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4471809</v>
      </c>
      <c r="C24" s="18">
        <v>8288.91</v>
      </c>
      <c r="D24" s="19">
        <v>1.35</v>
      </c>
      <c r="E24" s="20">
        <v>6.41</v>
      </c>
    </row>
    <row r="25" spans="1:6" ht="16.5" customHeight="1" x14ac:dyDescent="0.3">
      <c r="A25" s="17">
        <v>2</v>
      </c>
      <c r="B25" s="18">
        <v>4482047</v>
      </c>
      <c r="C25" s="18">
        <v>8286.7099999999991</v>
      </c>
      <c r="D25" s="19">
        <v>1.32</v>
      </c>
      <c r="E25" s="19">
        <v>6.4</v>
      </c>
    </row>
    <row r="26" spans="1:6" ht="16.5" customHeight="1" x14ac:dyDescent="0.3">
      <c r="A26" s="17">
        <v>3</v>
      </c>
      <c r="B26" s="18">
        <v>4480540</v>
      </c>
      <c r="C26" s="18">
        <v>8281.59</v>
      </c>
      <c r="D26" s="19">
        <v>1.36</v>
      </c>
      <c r="E26" s="19">
        <v>6.39</v>
      </c>
    </row>
    <row r="27" spans="1:6" ht="16.5" customHeight="1" x14ac:dyDescent="0.3">
      <c r="A27" s="17">
        <v>4</v>
      </c>
      <c r="B27" s="18">
        <v>4483172</v>
      </c>
      <c r="C27" s="18">
        <v>8308.02</v>
      </c>
      <c r="D27" s="19">
        <v>1.2</v>
      </c>
      <c r="E27" s="19">
        <v>6.39</v>
      </c>
    </row>
    <row r="28" spans="1:6" ht="16.5" customHeight="1" x14ac:dyDescent="0.3">
      <c r="A28" s="17">
        <v>5</v>
      </c>
      <c r="B28" s="18">
        <v>4481380</v>
      </c>
      <c r="C28" s="18">
        <v>8332.74</v>
      </c>
      <c r="D28" s="19">
        <v>1.32</v>
      </c>
      <c r="E28" s="19">
        <v>6.38</v>
      </c>
    </row>
    <row r="29" spans="1:6" ht="16.5" customHeight="1" x14ac:dyDescent="0.3">
      <c r="A29" s="17">
        <v>6</v>
      </c>
      <c r="B29" s="21">
        <v>4482038</v>
      </c>
      <c r="C29" s="21">
        <v>8357.01</v>
      </c>
      <c r="D29" s="22">
        <v>1.33</v>
      </c>
      <c r="E29" s="22">
        <v>6.37</v>
      </c>
    </row>
    <row r="30" spans="1:6" ht="16.5" customHeight="1" x14ac:dyDescent="0.3">
      <c r="A30" s="23" t="s">
        <v>18</v>
      </c>
      <c r="B30" s="24">
        <v>4480164.333333333</v>
      </c>
      <c r="C30" s="25">
        <v>8309.163333333332</v>
      </c>
      <c r="D30" s="26">
        <v>1.3133333333333335</v>
      </c>
      <c r="E30" s="26">
        <v>6.39</v>
      </c>
    </row>
    <row r="31" spans="1:6" ht="16.5" customHeight="1" x14ac:dyDescent="0.3">
      <c r="A31" s="27" t="s">
        <v>19</v>
      </c>
      <c r="B31" s="28">
        <f>(STDEV(B24:B29)/B30)</f>
        <v>9.3390714651273238E-4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143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141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99.89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20.399999999999999</v>
      </c>
      <c r="C41" s="10"/>
      <c r="D41" s="10"/>
      <c r="E41" s="10"/>
    </row>
    <row r="42" spans="1:6" ht="16.5" customHeight="1" x14ac:dyDescent="0.3">
      <c r="A42" s="7" t="s">
        <v>10</v>
      </c>
      <c r="B42" s="13">
        <f>20.4/50*1/100</f>
        <v>4.0799999999999994E-3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4786863</v>
      </c>
      <c r="C45" s="18">
        <v>8263.7199999999993</v>
      </c>
      <c r="D45" s="19">
        <v>1.36</v>
      </c>
      <c r="E45" s="20">
        <v>5.51</v>
      </c>
    </row>
    <row r="46" spans="1:6" ht="16.5" customHeight="1" x14ac:dyDescent="0.3">
      <c r="A46" s="17">
        <v>2</v>
      </c>
      <c r="B46" s="18">
        <v>4775097</v>
      </c>
      <c r="C46" s="18">
        <v>8269.0300000000007</v>
      </c>
      <c r="D46" s="19">
        <v>1.37</v>
      </c>
      <c r="E46" s="19">
        <v>5.51</v>
      </c>
    </row>
    <row r="47" spans="1:6" ht="16.5" customHeight="1" x14ac:dyDescent="0.3">
      <c r="A47" s="17">
        <v>3</v>
      </c>
      <c r="B47" s="18">
        <v>4770340</v>
      </c>
      <c r="C47" s="18">
        <v>8287.84</v>
      </c>
      <c r="D47" s="19">
        <v>1.35</v>
      </c>
      <c r="E47" s="19">
        <v>5.51</v>
      </c>
    </row>
    <row r="48" spans="1:6" ht="16.5" customHeight="1" x14ac:dyDescent="0.3">
      <c r="A48" s="17">
        <v>4</v>
      </c>
      <c r="B48" s="18">
        <v>4775234</v>
      </c>
      <c r="C48" s="18">
        <v>8260.84</v>
      </c>
      <c r="D48" s="19">
        <v>1.38</v>
      </c>
      <c r="E48" s="19">
        <v>5.51</v>
      </c>
    </row>
    <row r="49" spans="1:7" ht="16.5" customHeight="1" x14ac:dyDescent="0.3">
      <c r="A49" s="17">
        <v>5</v>
      </c>
      <c r="B49" s="18">
        <v>4760178</v>
      </c>
      <c r="C49" s="18">
        <v>8323.14</v>
      </c>
      <c r="D49" s="19">
        <v>1.35</v>
      </c>
      <c r="E49" s="19">
        <v>5.51</v>
      </c>
    </row>
    <row r="50" spans="1:7" ht="16.5" customHeight="1" x14ac:dyDescent="0.3">
      <c r="A50" s="17">
        <v>6</v>
      </c>
      <c r="B50" s="21">
        <v>4734218</v>
      </c>
      <c r="C50" s="21">
        <v>8149.88</v>
      </c>
      <c r="D50" s="22">
        <v>1.38</v>
      </c>
      <c r="E50" s="22">
        <v>5.5</v>
      </c>
    </row>
    <row r="51" spans="1:7" ht="16.5" customHeight="1" x14ac:dyDescent="0.3">
      <c r="A51" s="23" t="s">
        <v>18</v>
      </c>
      <c r="B51" s="24">
        <f>AVERAGE(B45:B50)</f>
        <v>4766988.333333333</v>
      </c>
      <c r="C51" s="25">
        <f>AVERAGE(C45:C50)</f>
        <v>8259.0749999999989</v>
      </c>
      <c r="D51" s="26">
        <f>AVERAGE(D45:D50)</f>
        <v>1.3650000000000002</v>
      </c>
      <c r="E51" s="26">
        <f>AVERAGE(E45:E50)</f>
        <v>5.5083333333333329</v>
      </c>
    </row>
    <row r="52" spans="1:7" ht="16.5" customHeight="1" x14ac:dyDescent="0.3">
      <c r="A52" s="27" t="s">
        <v>19</v>
      </c>
      <c r="B52" s="28">
        <f>(STDEV(B45:B50)/B51)</f>
        <v>3.8225927859106583E-3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143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33" t="s">
        <v>25</v>
      </c>
      <c r="C59" s="53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140</v>
      </c>
      <c r="C60" s="48"/>
      <c r="E60" s="531">
        <v>42377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E10" sqref="E10"/>
    </sheetView>
  </sheetViews>
  <sheetFormatPr defaultRowHeight="13.5" x14ac:dyDescent="0.25"/>
  <cols>
    <col min="1" max="1" width="27.5703125" style="119" customWidth="1"/>
    <col min="2" max="2" width="20.42578125" style="119" customWidth="1"/>
    <col min="3" max="3" width="31.85546875" style="119" customWidth="1"/>
    <col min="4" max="4" width="25.85546875" style="119" customWidth="1"/>
    <col min="5" max="5" width="25.7109375" style="119" customWidth="1"/>
    <col min="6" max="6" width="23.140625" style="119" customWidth="1"/>
    <col min="7" max="7" width="28.42578125" style="119" customWidth="1"/>
    <col min="8" max="8" width="21.5703125" style="119" customWidth="1"/>
    <col min="9" max="9" width="9.140625" style="119" customWidth="1"/>
    <col min="10" max="16384" width="9.140625" style="44"/>
  </cols>
  <sheetData>
    <row r="14" spans="1:6" ht="15" customHeight="1" x14ac:dyDescent="0.3">
      <c r="A14" s="76"/>
      <c r="C14" s="3"/>
      <c r="F14" s="3"/>
    </row>
    <row r="15" spans="1:6" ht="18.75" customHeight="1" x14ac:dyDescent="0.3">
      <c r="A15" s="532" t="s">
        <v>0</v>
      </c>
      <c r="B15" s="532"/>
      <c r="C15" s="532"/>
      <c r="D15" s="532"/>
      <c r="E15" s="532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8" t="s">
        <v>141</v>
      </c>
      <c r="C18" s="36"/>
      <c r="D18" s="36"/>
      <c r="E18" s="36"/>
    </row>
    <row r="19" spans="1:5" ht="16.5" customHeight="1" x14ac:dyDescent="0.3">
      <c r="A19" s="11" t="s">
        <v>6</v>
      </c>
      <c r="B19" s="12">
        <v>99.89</v>
      </c>
      <c r="C19" s="36"/>
      <c r="D19" s="36"/>
      <c r="E19" s="36"/>
    </row>
    <row r="20" spans="1:5" ht="16.5" customHeight="1" x14ac:dyDescent="0.3">
      <c r="A20" s="8" t="s">
        <v>8</v>
      </c>
      <c r="B20" s="12">
        <v>20.04</v>
      </c>
      <c r="C20" s="36"/>
      <c r="D20" s="36"/>
      <c r="E20" s="36"/>
    </row>
    <row r="21" spans="1:5" ht="16.5" customHeight="1" x14ac:dyDescent="0.3">
      <c r="A21" s="8" t="s">
        <v>10</v>
      </c>
      <c r="B21" s="13">
        <v>1.0019999999999999E-2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4471809</v>
      </c>
      <c r="C24" s="18">
        <v>8288.91</v>
      </c>
      <c r="D24" s="19">
        <v>1.35</v>
      </c>
      <c r="E24" s="20">
        <v>6.41</v>
      </c>
    </row>
    <row r="25" spans="1:5" ht="16.5" customHeight="1" x14ac:dyDescent="0.3">
      <c r="A25" s="17">
        <v>2</v>
      </c>
      <c r="B25" s="18">
        <v>4482047</v>
      </c>
      <c r="C25" s="18">
        <v>8286.7099999999991</v>
      </c>
      <c r="D25" s="19">
        <v>1.32</v>
      </c>
      <c r="E25" s="19">
        <v>6.4</v>
      </c>
    </row>
    <row r="26" spans="1:5" ht="16.5" customHeight="1" x14ac:dyDescent="0.3">
      <c r="A26" s="17">
        <v>3</v>
      </c>
      <c r="B26" s="18">
        <v>4480540</v>
      </c>
      <c r="C26" s="18">
        <v>8281.59</v>
      </c>
      <c r="D26" s="19">
        <v>1.36</v>
      </c>
      <c r="E26" s="19">
        <v>6.39</v>
      </c>
    </row>
    <row r="27" spans="1:5" ht="16.5" customHeight="1" x14ac:dyDescent="0.3">
      <c r="A27" s="17">
        <v>4</v>
      </c>
      <c r="B27" s="18">
        <v>4483172</v>
      </c>
      <c r="C27" s="18">
        <v>8308.02</v>
      </c>
      <c r="D27" s="19">
        <v>1.2</v>
      </c>
      <c r="E27" s="19">
        <v>6.39</v>
      </c>
    </row>
    <row r="28" spans="1:5" ht="16.5" customHeight="1" x14ac:dyDescent="0.3">
      <c r="A28" s="17">
        <v>5</v>
      </c>
      <c r="B28" s="18">
        <v>4481380</v>
      </c>
      <c r="C28" s="18">
        <v>8332.74</v>
      </c>
      <c r="D28" s="19">
        <v>1.32</v>
      </c>
      <c r="E28" s="19">
        <v>6.38</v>
      </c>
    </row>
    <row r="29" spans="1:5" ht="16.5" customHeight="1" x14ac:dyDescent="0.3">
      <c r="A29" s="17">
        <v>6</v>
      </c>
      <c r="B29" s="21">
        <v>4482038</v>
      </c>
      <c r="C29" s="21">
        <v>8357.01</v>
      </c>
      <c r="D29" s="22">
        <v>1.33</v>
      </c>
      <c r="E29" s="22">
        <v>6.37</v>
      </c>
    </row>
    <row r="30" spans="1:5" ht="16.5" customHeight="1" x14ac:dyDescent="0.3">
      <c r="A30" s="23" t="s">
        <v>18</v>
      </c>
      <c r="B30" s="24">
        <v>4480164.333333333</v>
      </c>
      <c r="C30" s="25">
        <v>8309.163333333332</v>
      </c>
      <c r="D30" s="26">
        <v>1.3133333333333335</v>
      </c>
      <c r="E30" s="26">
        <v>6.39</v>
      </c>
    </row>
    <row r="31" spans="1:5" ht="16.5" customHeight="1" x14ac:dyDescent="0.3">
      <c r="A31" s="27" t="s">
        <v>19</v>
      </c>
      <c r="B31" s="28">
        <f>(STDEV(B24:B29)/B30)</f>
        <v>9.3390714651273238E-4</v>
      </c>
      <c r="C31" s="29"/>
      <c r="D31" s="29"/>
      <c r="E31" s="30"/>
    </row>
    <row r="32" spans="1:5" s="119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119" customFormat="1" ht="15.75" customHeight="1" x14ac:dyDescent="0.25">
      <c r="A33" s="36"/>
      <c r="B33" s="36"/>
      <c r="C33" s="36"/>
      <c r="D33" s="36"/>
      <c r="E33" s="36"/>
    </row>
    <row r="34" spans="1:5" s="119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143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24</v>
      </c>
    </row>
    <row r="39" spans="1:5" ht="16.5" customHeight="1" x14ac:dyDescent="0.3">
      <c r="A39" s="11" t="s">
        <v>4</v>
      </c>
      <c r="B39" s="8" t="s">
        <v>141</v>
      </c>
      <c r="C39" s="36"/>
      <c r="D39" s="36"/>
      <c r="E39" s="36"/>
    </row>
    <row r="40" spans="1:5" ht="16.5" customHeight="1" x14ac:dyDescent="0.3">
      <c r="A40" s="11" t="s">
        <v>6</v>
      </c>
      <c r="B40" s="12">
        <v>99.89</v>
      </c>
      <c r="C40" s="36"/>
      <c r="D40" s="36"/>
      <c r="E40" s="36"/>
    </row>
    <row r="41" spans="1:5" ht="16.5" customHeight="1" x14ac:dyDescent="0.3">
      <c r="A41" s="8" t="s">
        <v>8</v>
      </c>
      <c r="B41" s="12">
        <v>19.149999999999999</v>
      </c>
      <c r="C41" s="36"/>
      <c r="D41" s="36"/>
      <c r="E41" s="36"/>
    </row>
    <row r="42" spans="1:5" ht="16.5" customHeight="1" x14ac:dyDescent="0.3">
      <c r="A42" s="8" t="s">
        <v>10</v>
      </c>
      <c r="B42" s="13">
        <f>19.15/50*1/100</f>
        <v>3.8299999999999996E-3</v>
      </c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4449186</v>
      </c>
      <c r="C45" s="18">
        <v>8524.67</v>
      </c>
      <c r="D45" s="19">
        <v>1.33</v>
      </c>
      <c r="E45" s="20">
        <v>5.44</v>
      </c>
    </row>
    <row r="46" spans="1:5" ht="16.5" customHeight="1" x14ac:dyDescent="0.3">
      <c r="A46" s="17">
        <v>2</v>
      </c>
      <c r="B46" s="18">
        <v>4482505</v>
      </c>
      <c r="C46" s="18">
        <v>8555.7999999999993</v>
      </c>
      <c r="D46" s="19">
        <v>1.31</v>
      </c>
      <c r="E46" s="19">
        <v>5.44</v>
      </c>
    </row>
    <row r="47" spans="1:5" ht="16.5" customHeight="1" x14ac:dyDescent="0.3">
      <c r="A47" s="17">
        <v>3</v>
      </c>
      <c r="B47" s="18">
        <v>4589953</v>
      </c>
      <c r="C47" s="18">
        <v>8564.06</v>
      </c>
      <c r="D47" s="19">
        <v>1.32</v>
      </c>
      <c r="E47" s="19">
        <v>5.44</v>
      </c>
    </row>
    <row r="48" spans="1:5" ht="16.5" customHeight="1" x14ac:dyDescent="0.3">
      <c r="A48" s="17">
        <v>4</v>
      </c>
      <c r="B48" s="18">
        <v>4629632</v>
      </c>
      <c r="C48" s="18">
        <v>8620.2000000000007</v>
      </c>
      <c r="D48" s="19">
        <v>1.33</v>
      </c>
      <c r="E48" s="19">
        <v>5.44</v>
      </c>
    </row>
    <row r="49" spans="1:7" ht="16.5" customHeight="1" x14ac:dyDescent="0.3">
      <c r="A49" s="17">
        <v>5</v>
      </c>
      <c r="B49" s="18">
        <v>4604368</v>
      </c>
      <c r="C49" s="18">
        <v>8635.3700000000008</v>
      </c>
      <c r="D49" s="19">
        <v>1.31</v>
      </c>
      <c r="E49" s="19">
        <v>5.44</v>
      </c>
    </row>
    <row r="50" spans="1:7" ht="16.5" customHeight="1" x14ac:dyDescent="0.3">
      <c r="A50" s="17">
        <v>6</v>
      </c>
      <c r="B50" s="21">
        <v>4595421</v>
      </c>
      <c r="C50" s="21">
        <v>8627.7199999999993</v>
      </c>
      <c r="D50" s="22">
        <v>1.34</v>
      </c>
      <c r="E50" s="22">
        <v>5.44</v>
      </c>
    </row>
    <row r="51" spans="1:7" ht="16.5" customHeight="1" x14ac:dyDescent="0.3">
      <c r="A51" s="23" t="s">
        <v>18</v>
      </c>
      <c r="B51" s="24">
        <f>AVERAGE(B45:B50)</f>
        <v>4558510.833333333</v>
      </c>
      <c r="C51" s="25">
        <f>AVERAGE(C45:C50)</f>
        <v>8587.9699999999993</v>
      </c>
      <c r="D51" s="26">
        <f>AVERAGE(D45:D50)</f>
        <v>1.3233333333333333</v>
      </c>
      <c r="E51" s="26">
        <f>AVERAGE(E45:E50)</f>
        <v>5.44</v>
      </c>
    </row>
    <row r="52" spans="1:7" ht="16.5" customHeight="1" x14ac:dyDescent="0.3">
      <c r="A52" s="27" t="s">
        <v>19</v>
      </c>
      <c r="B52" s="28">
        <f>(STDEV(B45:B50)/B51)</f>
        <v>1.6192076349292862E-2</v>
      </c>
      <c r="C52" s="29"/>
      <c r="D52" s="29"/>
      <c r="E52" s="30"/>
    </row>
    <row r="53" spans="1:7" s="119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119" customFormat="1" ht="15.75" customHeight="1" x14ac:dyDescent="0.25">
      <c r="A54" s="36"/>
      <c r="B54" s="36"/>
      <c r="C54" s="36"/>
      <c r="D54" s="36"/>
      <c r="E54" s="36"/>
    </row>
    <row r="55" spans="1:7" s="119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143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110"/>
      <c r="B58" s="120"/>
      <c r="D58" s="43"/>
      <c r="F58" s="44"/>
      <c r="G58" s="44"/>
    </row>
    <row r="59" spans="1:7" ht="15" customHeight="1" x14ac:dyDescent="0.3">
      <c r="B59" s="533" t="s">
        <v>25</v>
      </c>
      <c r="C59" s="533"/>
      <c r="E59" s="121" t="s">
        <v>26</v>
      </c>
      <c r="F59" s="113"/>
      <c r="G59" s="121" t="s">
        <v>27</v>
      </c>
    </row>
    <row r="60" spans="1:7" ht="15" customHeight="1" x14ac:dyDescent="0.3">
      <c r="A60" s="122" t="s">
        <v>28</v>
      </c>
      <c r="B60" s="116" t="s">
        <v>140</v>
      </c>
      <c r="C60" s="116"/>
      <c r="E60" s="531">
        <v>42377</v>
      </c>
      <c r="G60" s="116"/>
    </row>
    <row r="61" spans="1:7" ht="15" customHeight="1" x14ac:dyDescent="0.3">
      <c r="A61" s="122" t="s">
        <v>29</v>
      </c>
      <c r="B61" s="117"/>
      <c r="C61" s="117"/>
      <c r="E61" s="117"/>
      <c r="G61" s="1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19" workbookViewId="0">
      <selection activeCell="J20" sqref="J2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539" t="s">
        <v>30</v>
      </c>
      <c r="B8" s="539"/>
      <c r="C8" s="539"/>
      <c r="D8" s="539"/>
      <c r="E8" s="539"/>
      <c r="F8" s="539"/>
      <c r="G8" s="53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540" t="s">
        <v>31</v>
      </c>
      <c r="B10" s="540"/>
      <c r="C10" s="540"/>
      <c r="D10" s="540"/>
      <c r="E10" s="540"/>
      <c r="F10" s="540"/>
      <c r="G10" s="54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534" t="s">
        <v>32</v>
      </c>
      <c r="B11" s="53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534" t="s">
        <v>33</v>
      </c>
      <c r="B12" s="53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534" t="s">
        <v>34</v>
      </c>
      <c r="B13" s="53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534" t="s">
        <v>35</v>
      </c>
      <c r="B14" s="534"/>
      <c r="C14" s="538" t="s">
        <v>11</v>
      </c>
      <c r="D14" s="538"/>
      <c r="E14" s="538"/>
      <c r="F14" s="538"/>
      <c r="G14" s="53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534" t="s">
        <v>36</v>
      </c>
      <c r="B15" s="534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534" t="s">
        <v>37</v>
      </c>
      <c r="B16" s="534"/>
      <c r="C16" s="74" t="s">
        <v>38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535" t="s">
        <v>1</v>
      </c>
      <c r="B18" s="535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204.83</v>
      </c>
      <c r="C21" s="83">
        <v>38.17</v>
      </c>
      <c r="D21" s="84">
        <f t="shared" ref="D21:D40" si="0">B21-C21</f>
        <v>166.66000000000003</v>
      </c>
      <c r="E21" s="85">
        <f t="shared" ref="E21:E40" si="1">(D21-$D$43)/$D$43</f>
        <v>8.9035478927954256E-2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201.11</v>
      </c>
      <c r="C22" s="88">
        <v>39.770000000000003</v>
      </c>
      <c r="D22" s="89">
        <f t="shared" si="0"/>
        <v>161.34</v>
      </c>
      <c r="E22" s="85">
        <f t="shared" si="1"/>
        <v>5.4272075904452884E-2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195.28</v>
      </c>
      <c r="C23" s="88">
        <v>36.57</v>
      </c>
      <c r="D23" s="89">
        <f t="shared" si="0"/>
        <v>158.71</v>
      </c>
      <c r="E23" s="85">
        <f t="shared" si="1"/>
        <v>3.7086408620278427E-2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177.02</v>
      </c>
      <c r="C24" s="88">
        <v>38.61</v>
      </c>
      <c r="D24" s="89">
        <f t="shared" si="0"/>
        <v>138.41000000000003</v>
      </c>
      <c r="E24" s="85">
        <f t="shared" si="1"/>
        <v>-9.5563418706239328E-2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199.76</v>
      </c>
      <c r="C25" s="88">
        <v>37.340000000000003</v>
      </c>
      <c r="D25" s="89">
        <f t="shared" si="0"/>
        <v>162.41999999999999</v>
      </c>
      <c r="E25" s="85">
        <f t="shared" si="1"/>
        <v>6.1329308097193627E-2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200.7</v>
      </c>
      <c r="C26" s="88">
        <v>37.53</v>
      </c>
      <c r="D26" s="89">
        <f t="shared" si="0"/>
        <v>163.16999999999999</v>
      </c>
      <c r="E26" s="85">
        <f t="shared" si="1"/>
        <v>6.6230163786597004E-2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176.2</v>
      </c>
      <c r="C27" s="88">
        <v>41.93</v>
      </c>
      <c r="D27" s="89">
        <f t="shared" si="0"/>
        <v>134.26999999999998</v>
      </c>
      <c r="E27" s="85">
        <f t="shared" si="1"/>
        <v>-0.12261614211174621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199.17</v>
      </c>
      <c r="C28" s="88">
        <v>38.4</v>
      </c>
      <c r="D28" s="89">
        <f t="shared" si="0"/>
        <v>160.76999999999998</v>
      </c>
      <c r="E28" s="85">
        <f t="shared" si="1"/>
        <v>5.0547425580506178E-2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193.62</v>
      </c>
      <c r="C29" s="88">
        <v>39.35</v>
      </c>
      <c r="D29" s="89">
        <f t="shared" si="0"/>
        <v>154.27000000000001</v>
      </c>
      <c r="E29" s="85">
        <f t="shared" si="1"/>
        <v>8.0733429390104968E-3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185.61</v>
      </c>
      <c r="C30" s="88">
        <v>37.06</v>
      </c>
      <c r="D30" s="89">
        <f t="shared" si="0"/>
        <v>148.55000000000001</v>
      </c>
      <c r="E30" s="85">
        <f t="shared" si="1"/>
        <v>-2.9303849785505862E-2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175.62</v>
      </c>
      <c r="C31" s="88">
        <v>39.44</v>
      </c>
      <c r="D31" s="89">
        <f t="shared" si="0"/>
        <v>136.18</v>
      </c>
      <c r="E31" s="85">
        <f t="shared" si="1"/>
        <v>-0.1101352962893988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188.59</v>
      </c>
      <c r="C32" s="88">
        <v>40.78</v>
      </c>
      <c r="D32" s="89">
        <f t="shared" si="0"/>
        <v>147.81</v>
      </c>
      <c r="E32" s="85">
        <f t="shared" si="1"/>
        <v>-3.4139360732383911E-2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192.88</v>
      </c>
      <c r="C33" s="88">
        <v>40.03</v>
      </c>
      <c r="D33" s="89">
        <f t="shared" si="0"/>
        <v>152.85</v>
      </c>
      <c r="E33" s="85">
        <f t="shared" si="1"/>
        <v>-1.2056104995933211E-3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194.09</v>
      </c>
      <c r="C34" s="88">
        <v>38.4</v>
      </c>
      <c r="D34" s="89">
        <f t="shared" si="0"/>
        <v>155.69</v>
      </c>
      <c r="E34" s="85">
        <f t="shared" si="1"/>
        <v>1.7352296377614127E-2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193.56</v>
      </c>
      <c r="C35" s="88">
        <v>40.630000000000003</v>
      </c>
      <c r="D35" s="89">
        <f t="shared" si="0"/>
        <v>152.93</v>
      </c>
      <c r="E35" s="85">
        <f t="shared" si="1"/>
        <v>-6.8285255939021326E-4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198.11</v>
      </c>
      <c r="C36" s="88">
        <v>41.45</v>
      </c>
      <c r="D36" s="89">
        <f t="shared" si="0"/>
        <v>156.66000000000003</v>
      </c>
      <c r="E36" s="85">
        <f t="shared" si="1"/>
        <v>2.3690736402575997E-2</v>
      </c>
      <c r="G36" s="66"/>
      <c r="H36" s="66"/>
    </row>
    <row r="37" spans="1:15" ht="15" x14ac:dyDescent="0.3">
      <c r="A37" s="86">
        <v>17</v>
      </c>
      <c r="B37" s="90">
        <v>186.93</v>
      </c>
      <c r="C37" s="88">
        <v>39.36</v>
      </c>
      <c r="D37" s="89">
        <f t="shared" si="0"/>
        <v>147.57</v>
      </c>
      <c r="E37" s="85">
        <f t="shared" si="1"/>
        <v>-3.5707634552993049E-2</v>
      </c>
    </row>
    <row r="38" spans="1:15" ht="15" x14ac:dyDescent="0.3">
      <c r="A38" s="86">
        <v>18</v>
      </c>
      <c r="B38" s="90">
        <v>186.31</v>
      </c>
      <c r="C38" s="88">
        <v>40.700000000000003</v>
      </c>
      <c r="D38" s="89">
        <f t="shared" si="0"/>
        <v>145.61000000000001</v>
      </c>
      <c r="E38" s="85">
        <f t="shared" si="1"/>
        <v>-4.8515204087967057E-2</v>
      </c>
    </row>
    <row r="39" spans="1:15" ht="15" x14ac:dyDescent="0.3">
      <c r="A39" s="86">
        <v>19</v>
      </c>
      <c r="B39" s="90">
        <v>193.36</v>
      </c>
      <c r="C39" s="88">
        <v>39.07</v>
      </c>
      <c r="D39" s="89">
        <f t="shared" si="0"/>
        <v>154.29000000000002</v>
      </c>
      <c r="E39" s="85">
        <f t="shared" si="1"/>
        <v>8.204032424061319E-3</v>
      </c>
    </row>
    <row r="40" spans="1:15" ht="14.25" customHeight="1" x14ac:dyDescent="0.3">
      <c r="A40" s="91">
        <v>20</v>
      </c>
      <c r="B40" s="92">
        <v>199.62</v>
      </c>
      <c r="C40" s="93">
        <v>37.090000000000003</v>
      </c>
      <c r="D40" s="94">
        <f t="shared" si="0"/>
        <v>162.53</v>
      </c>
      <c r="E40" s="95">
        <f t="shared" si="1"/>
        <v>6.2048100264972879E-2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45</v>
      </c>
      <c r="B42" s="97">
        <f>SUM(B21:B40)</f>
        <v>3842.3700000000003</v>
      </c>
      <c r="C42" s="98">
        <f>SUM(C21:C40)</f>
        <v>781.68000000000018</v>
      </c>
      <c r="D42" s="99">
        <f>SUM(D21:D40)</f>
        <v>3060.69</v>
      </c>
    </row>
    <row r="43" spans="1:15" ht="15.75" customHeight="1" x14ac:dyDescent="0.3">
      <c r="A43" s="100" t="s">
        <v>46</v>
      </c>
      <c r="B43" s="101">
        <f>AVERAGE(B21:B40)</f>
        <v>192.11850000000001</v>
      </c>
      <c r="C43" s="102">
        <f>AVERAGE(C21:C40)</f>
        <v>39.08400000000001</v>
      </c>
      <c r="D43" s="103">
        <f>AVERAGE(D21:D40)</f>
        <v>153.03450000000001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46</v>
      </c>
      <c r="C46" s="106" t="s">
        <v>47</v>
      </c>
    </row>
    <row r="47" spans="1:15" ht="15.75" customHeight="1" x14ac:dyDescent="0.3">
      <c r="B47" s="536">
        <f>D43</f>
        <v>153.03450000000001</v>
      </c>
      <c r="C47" s="107">
        <f>-(IF(D43&gt;300, 7.5%, 10%))</f>
        <v>-0.1</v>
      </c>
      <c r="D47" s="108">
        <f>IF(D43&lt;300, D43*0.9, D43*0.925)</f>
        <v>137.73105000000001</v>
      </c>
    </row>
    <row r="48" spans="1:15" ht="15.75" customHeight="1" x14ac:dyDescent="0.3">
      <c r="B48" s="537"/>
      <c r="C48" s="109">
        <f>+(IF(D43&gt;300, 7.5%, 10%))</f>
        <v>0.1</v>
      </c>
      <c r="D48" s="108">
        <f>IF(D43&lt;300, D43*1.1, D43*1.075)</f>
        <v>168.33795000000003</v>
      </c>
    </row>
    <row r="49" spans="1:7" ht="14.25" customHeight="1" x14ac:dyDescent="0.3">
      <c r="A49" s="110"/>
      <c r="D49" s="111"/>
    </row>
    <row r="50" spans="1:7" ht="15" customHeight="1" x14ac:dyDescent="0.3">
      <c r="B50" s="533" t="s">
        <v>25</v>
      </c>
      <c r="C50" s="533"/>
      <c r="D50" s="73"/>
      <c r="E50" s="112" t="s">
        <v>26</v>
      </c>
      <c r="F50" s="113"/>
      <c r="G50" s="112" t="s">
        <v>27</v>
      </c>
    </row>
    <row r="51" spans="1:7" ht="15" customHeight="1" x14ac:dyDescent="0.3">
      <c r="A51" s="114" t="s">
        <v>28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29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31" priority="1" operator="notBetween">
      <formula>IF(+$D$43&lt;300, -10.5%, -7.5%)</formula>
      <formula>IF(+$D$43&lt;300, 10.5%, 7.5%)</formula>
    </cfRule>
  </conditionalFormatting>
  <conditionalFormatting sqref="E22">
    <cfRule type="cellIs" dxfId="30" priority="2" operator="notBetween">
      <formula>IF(+$D$43&lt;300, -10.5%, -7.5%)</formula>
      <formula>IF(+$D$43&lt;300, 10.5%, 7.5%)</formula>
    </cfRule>
  </conditionalFormatting>
  <conditionalFormatting sqref="E23">
    <cfRule type="cellIs" dxfId="29" priority="3" operator="notBetween">
      <formula>IF(+$D$43&lt;300, -10.5%, -7.5%)</formula>
      <formula>IF(+$D$43&lt;300, 10.5%, 7.5%)</formula>
    </cfRule>
  </conditionalFormatting>
  <conditionalFormatting sqref="E24">
    <cfRule type="cellIs" dxfId="28" priority="4" operator="notBetween">
      <formula>IF(+$D$43&lt;300, -10.5%, -7.5%)</formula>
      <formula>IF(+$D$43&lt;300, 10.5%, 7.5%)</formula>
    </cfRule>
  </conditionalFormatting>
  <conditionalFormatting sqref="E25">
    <cfRule type="cellIs" dxfId="27" priority="5" operator="notBetween">
      <formula>IF(+$D$43&lt;300, -10.5%, -7.5%)</formula>
      <formula>IF(+$D$43&lt;300, 10.5%, 7.5%)</formula>
    </cfRule>
  </conditionalFormatting>
  <conditionalFormatting sqref="E26">
    <cfRule type="cellIs" dxfId="26" priority="6" operator="notBetween">
      <formula>IF(+$D$43&lt;300, -10.5%, -7.5%)</formula>
      <formula>IF(+$D$43&lt;300, 10.5%, 7.5%)</formula>
    </cfRule>
  </conditionalFormatting>
  <conditionalFormatting sqref="E27">
    <cfRule type="cellIs" dxfId="25" priority="7" operator="notBetween">
      <formula>IF(+$D$43&lt;300, -10.5%, -7.5%)</formula>
      <formula>IF(+$D$43&lt;300, 10.5%, 7.5%)</formula>
    </cfRule>
  </conditionalFormatting>
  <conditionalFormatting sqref="E28">
    <cfRule type="cellIs" dxfId="24" priority="8" operator="notBetween">
      <formula>IF(+$D$43&lt;300, -10.5%, -7.5%)</formula>
      <formula>IF(+$D$43&lt;300, 10.5%, 7.5%)</formula>
    </cfRule>
  </conditionalFormatting>
  <conditionalFormatting sqref="E29">
    <cfRule type="cellIs" dxfId="23" priority="9" operator="notBetween">
      <formula>IF(+$D$43&lt;300, -10.5%, -7.5%)</formula>
      <formula>IF(+$D$43&lt;300, 10.5%, 7.5%)</formula>
    </cfRule>
  </conditionalFormatting>
  <conditionalFormatting sqref="E30">
    <cfRule type="cellIs" dxfId="22" priority="10" operator="notBetween">
      <formula>IF(+$D$43&lt;300, -10.5%, -7.5%)</formula>
      <formula>IF(+$D$43&lt;300, 10.5%, 7.5%)</formula>
    </cfRule>
  </conditionalFormatting>
  <conditionalFormatting sqref="E31">
    <cfRule type="cellIs" dxfId="21" priority="11" operator="notBetween">
      <formula>IF(+$D$43&lt;300, -10.5%, -7.5%)</formula>
      <formula>IF(+$D$43&lt;300, 10.5%, 7.5%)</formula>
    </cfRule>
  </conditionalFormatting>
  <conditionalFormatting sqref="E32">
    <cfRule type="cellIs" dxfId="20" priority="12" operator="notBetween">
      <formula>IF(+$D$43&lt;300, -10.5%, -7.5%)</formula>
      <formula>IF(+$D$43&lt;300, 10.5%, 7.5%)</formula>
    </cfRule>
  </conditionalFormatting>
  <conditionalFormatting sqref="E33">
    <cfRule type="cellIs" dxfId="19" priority="13" operator="notBetween">
      <formula>IF(+$D$43&lt;300, -10.5%, -7.5%)</formula>
      <formula>IF(+$D$43&lt;300, 10.5%, 7.5%)</formula>
    </cfRule>
  </conditionalFormatting>
  <conditionalFormatting sqref="E34">
    <cfRule type="cellIs" dxfId="18" priority="14" operator="notBetween">
      <formula>IF(+$D$43&lt;300, -10.5%, -7.5%)</formula>
      <formula>IF(+$D$43&lt;300, 10.5%, 7.5%)</formula>
    </cfRule>
  </conditionalFormatting>
  <conditionalFormatting sqref="E35">
    <cfRule type="cellIs" dxfId="17" priority="15" operator="notBetween">
      <formula>IF(+$D$43&lt;300, -10.5%, -7.5%)</formula>
      <formula>IF(+$D$43&lt;300, 10.5%, 7.5%)</formula>
    </cfRule>
  </conditionalFormatting>
  <conditionalFormatting sqref="E36">
    <cfRule type="cellIs" dxfId="16" priority="16" operator="notBetween">
      <formula>IF(+$D$43&lt;300, -10.5%, -7.5%)</formula>
      <formula>IF(+$D$43&lt;300, 10.5%, 7.5%)</formula>
    </cfRule>
  </conditionalFormatting>
  <conditionalFormatting sqref="E37">
    <cfRule type="cellIs" dxfId="15" priority="17" operator="notBetween">
      <formula>IF(+$D$43&lt;300, -10.5%, -7.5%)</formula>
      <formula>IF(+$D$43&lt;300, 10.5%, 7.5%)</formula>
    </cfRule>
  </conditionalFormatting>
  <conditionalFormatting sqref="E38">
    <cfRule type="cellIs" dxfId="14" priority="18" operator="notBetween">
      <formula>IF(+$D$43&lt;300, -10.5%, -7.5%)</formula>
      <formula>IF(+$D$43&lt;300, 10.5%, 7.5%)</formula>
    </cfRule>
  </conditionalFormatting>
  <conditionalFormatting sqref="E39">
    <cfRule type="cellIs" dxfId="13" priority="19" operator="notBetween">
      <formula>IF(+$D$43&lt;300, -10.5%, -7.5%)</formula>
      <formula>IF(+$D$43&lt;300, 10.5%, 7.5%)</formula>
    </cfRule>
  </conditionalFormatting>
  <conditionalFormatting sqref="E40">
    <cfRule type="cellIs" dxfId="1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78" zoomScale="60" zoomScaleNormal="40" zoomScalePageLayoutView="60" workbookViewId="0">
      <selection activeCell="H44" sqref="H44"/>
    </sheetView>
  </sheetViews>
  <sheetFormatPr defaultColWidth="9.140625" defaultRowHeight="13.5" x14ac:dyDescent="0.25"/>
  <cols>
    <col min="1" max="1" width="55.42578125" style="366" customWidth="1"/>
    <col min="2" max="2" width="33.7109375" style="366" customWidth="1"/>
    <col min="3" max="3" width="42.28515625" style="366" customWidth="1"/>
    <col min="4" max="4" width="30.5703125" style="366" customWidth="1"/>
    <col min="5" max="5" width="39.85546875" style="366" customWidth="1"/>
    <col min="6" max="6" width="30.7109375" style="366" customWidth="1"/>
    <col min="7" max="7" width="39.85546875" style="366" customWidth="1"/>
    <col min="8" max="8" width="30" style="366" customWidth="1"/>
    <col min="9" max="9" width="30.28515625" style="366" hidden="1" customWidth="1"/>
    <col min="10" max="10" width="30.42578125" style="366" customWidth="1"/>
    <col min="11" max="11" width="21.28515625" style="366" customWidth="1"/>
    <col min="12" max="12" width="9.140625" style="366"/>
    <col min="13" max="16384" width="9.140625" style="368"/>
  </cols>
  <sheetData>
    <row r="1" spans="1:9" ht="18.75" customHeight="1" x14ac:dyDescent="0.25">
      <c r="A1" s="544" t="s">
        <v>48</v>
      </c>
      <c r="B1" s="544"/>
      <c r="C1" s="544"/>
      <c r="D1" s="544"/>
      <c r="E1" s="544"/>
      <c r="F1" s="544"/>
      <c r="G1" s="544"/>
      <c r="H1" s="544"/>
      <c r="I1" s="544"/>
    </row>
    <row r="2" spans="1:9" ht="18.75" customHeight="1" x14ac:dyDescent="0.25">
      <c r="A2" s="544"/>
      <c r="B2" s="544"/>
      <c r="C2" s="544"/>
      <c r="D2" s="544"/>
      <c r="E2" s="544"/>
      <c r="F2" s="544"/>
      <c r="G2" s="544"/>
      <c r="H2" s="544"/>
      <c r="I2" s="544"/>
    </row>
    <row r="3" spans="1:9" ht="18.75" customHeight="1" x14ac:dyDescent="0.25">
      <c r="A3" s="544"/>
      <c r="B3" s="544"/>
      <c r="C3" s="544"/>
      <c r="D3" s="544"/>
      <c r="E3" s="544"/>
      <c r="F3" s="544"/>
      <c r="G3" s="544"/>
      <c r="H3" s="544"/>
      <c r="I3" s="544"/>
    </row>
    <row r="4" spans="1:9" ht="18.75" customHeight="1" x14ac:dyDescent="0.25">
      <c r="A4" s="544"/>
      <c r="B4" s="544"/>
      <c r="C4" s="544"/>
      <c r="D4" s="544"/>
      <c r="E4" s="544"/>
      <c r="F4" s="544"/>
      <c r="G4" s="544"/>
      <c r="H4" s="544"/>
      <c r="I4" s="544"/>
    </row>
    <row r="5" spans="1:9" ht="18.75" customHeight="1" x14ac:dyDescent="0.25">
      <c r="A5" s="544"/>
      <c r="B5" s="544"/>
      <c r="C5" s="544"/>
      <c r="D5" s="544"/>
      <c r="E5" s="544"/>
      <c r="F5" s="544"/>
      <c r="G5" s="544"/>
      <c r="H5" s="544"/>
      <c r="I5" s="544"/>
    </row>
    <row r="6" spans="1:9" ht="18.75" customHeight="1" x14ac:dyDescent="0.25">
      <c r="A6" s="544"/>
      <c r="B6" s="544"/>
      <c r="C6" s="544"/>
      <c r="D6" s="544"/>
      <c r="E6" s="544"/>
      <c r="F6" s="544"/>
      <c r="G6" s="544"/>
      <c r="H6" s="544"/>
      <c r="I6" s="544"/>
    </row>
    <row r="7" spans="1:9" ht="18.75" customHeight="1" x14ac:dyDescent="0.25">
      <c r="A7" s="544"/>
      <c r="B7" s="544"/>
      <c r="C7" s="544"/>
      <c r="D7" s="544"/>
      <c r="E7" s="544"/>
      <c r="F7" s="544"/>
      <c r="G7" s="544"/>
      <c r="H7" s="544"/>
      <c r="I7" s="544"/>
    </row>
    <row r="8" spans="1:9" x14ac:dyDescent="0.25">
      <c r="A8" s="545" t="s">
        <v>49</v>
      </c>
      <c r="B8" s="545"/>
      <c r="C8" s="545"/>
      <c r="D8" s="545"/>
      <c r="E8" s="545"/>
      <c r="F8" s="545"/>
      <c r="G8" s="545"/>
      <c r="H8" s="545"/>
      <c r="I8" s="545"/>
    </row>
    <row r="9" spans="1:9" x14ac:dyDescent="0.25">
      <c r="A9" s="545"/>
      <c r="B9" s="545"/>
      <c r="C9" s="545"/>
      <c r="D9" s="545"/>
      <c r="E9" s="545"/>
      <c r="F9" s="545"/>
      <c r="G9" s="545"/>
      <c r="H9" s="545"/>
      <c r="I9" s="545"/>
    </row>
    <row r="10" spans="1:9" x14ac:dyDescent="0.25">
      <c r="A10" s="545"/>
      <c r="B10" s="545"/>
      <c r="C10" s="545"/>
      <c r="D10" s="545"/>
      <c r="E10" s="545"/>
      <c r="F10" s="545"/>
      <c r="G10" s="545"/>
      <c r="H10" s="545"/>
      <c r="I10" s="545"/>
    </row>
    <row r="11" spans="1:9" x14ac:dyDescent="0.25">
      <c r="A11" s="545"/>
      <c r="B11" s="545"/>
      <c r="C11" s="545"/>
      <c r="D11" s="545"/>
      <c r="E11" s="545"/>
      <c r="F11" s="545"/>
      <c r="G11" s="545"/>
      <c r="H11" s="545"/>
      <c r="I11" s="545"/>
    </row>
    <row r="12" spans="1:9" x14ac:dyDescent="0.25">
      <c r="A12" s="545"/>
      <c r="B12" s="545"/>
      <c r="C12" s="545"/>
      <c r="D12" s="545"/>
      <c r="E12" s="545"/>
      <c r="F12" s="545"/>
      <c r="G12" s="545"/>
      <c r="H12" s="545"/>
      <c r="I12" s="545"/>
    </row>
    <row r="13" spans="1:9" x14ac:dyDescent="0.25">
      <c r="A13" s="545"/>
      <c r="B13" s="545"/>
      <c r="C13" s="545"/>
      <c r="D13" s="545"/>
      <c r="E13" s="545"/>
      <c r="F13" s="545"/>
      <c r="G13" s="545"/>
      <c r="H13" s="545"/>
      <c r="I13" s="545"/>
    </row>
    <row r="14" spans="1:9" x14ac:dyDescent="0.25">
      <c r="A14" s="545"/>
      <c r="B14" s="545"/>
      <c r="C14" s="545"/>
      <c r="D14" s="545"/>
      <c r="E14" s="545"/>
      <c r="F14" s="545"/>
      <c r="G14" s="545"/>
      <c r="H14" s="545"/>
      <c r="I14" s="545"/>
    </row>
    <row r="15" spans="1:9" ht="19.5" customHeight="1" thickBot="1" x14ac:dyDescent="0.35">
      <c r="A15" s="367"/>
    </row>
    <row r="16" spans="1:9" ht="19.5" customHeight="1" thickBot="1" x14ac:dyDescent="0.35">
      <c r="A16" s="546" t="s">
        <v>30</v>
      </c>
      <c r="B16" s="547"/>
      <c r="C16" s="547"/>
      <c r="D16" s="547"/>
      <c r="E16" s="547"/>
      <c r="F16" s="547"/>
      <c r="G16" s="547"/>
      <c r="H16" s="548"/>
    </row>
    <row r="17" spans="1:14" ht="20.25" customHeight="1" x14ac:dyDescent="0.25">
      <c r="A17" s="549" t="s">
        <v>50</v>
      </c>
      <c r="B17" s="549"/>
      <c r="C17" s="549"/>
      <c r="D17" s="549"/>
      <c r="E17" s="549"/>
      <c r="F17" s="549"/>
      <c r="G17" s="549"/>
      <c r="H17" s="549"/>
    </row>
    <row r="18" spans="1:14" ht="26.25" customHeight="1" x14ac:dyDescent="0.4">
      <c r="A18" s="369" t="s">
        <v>32</v>
      </c>
      <c r="B18" s="550" t="s">
        <v>5</v>
      </c>
      <c r="C18" s="550"/>
      <c r="D18" s="370"/>
      <c r="E18" s="371"/>
      <c r="F18" s="372"/>
      <c r="G18" s="372"/>
      <c r="H18" s="372"/>
    </row>
    <row r="19" spans="1:14" ht="26.25" customHeight="1" x14ac:dyDescent="0.4">
      <c r="A19" s="369" t="s">
        <v>33</v>
      </c>
      <c r="B19" s="373" t="s">
        <v>7</v>
      </c>
      <c r="C19" s="372">
        <v>29</v>
      </c>
      <c r="D19" s="372"/>
      <c r="E19" s="372"/>
      <c r="F19" s="372"/>
      <c r="G19" s="372"/>
      <c r="H19" s="372"/>
    </row>
    <row r="20" spans="1:14" ht="26.25" customHeight="1" x14ac:dyDescent="0.4">
      <c r="A20" s="369" t="s">
        <v>34</v>
      </c>
      <c r="B20" s="551" t="s">
        <v>9</v>
      </c>
      <c r="C20" s="551"/>
      <c r="D20" s="372"/>
      <c r="E20" s="372"/>
      <c r="F20" s="372"/>
      <c r="G20" s="372"/>
      <c r="H20" s="372"/>
    </row>
    <row r="21" spans="1:14" ht="26.25" customHeight="1" x14ac:dyDescent="0.4">
      <c r="A21" s="369" t="s">
        <v>35</v>
      </c>
      <c r="B21" s="551" t="s">
        <v>11</v>
      </c>
      <c r="C21" s="551"/>
      <c r="D21" s="551"/>
      <c r="E21" s="551"/>
      <c r="F21" s="551"/>
      <c r="G21" s="551"/>
      <c r="H21" s="551"/>
      <c r="I21" s="374"/>
    </row>
    <row r="22" spans="1:14" ht="26.25" customHeight="1" x14ac:dyDescent="0.4">
      <c r="A22" s="369" t="s">
        <v>36</v>
      </c>
      <c r="B22" s="375">
        <v>42577</v>
      </c>
      <c r="C22" s="372"/>
      <c r="D22" s="372"/>
      <c r="E22" s="372"/>
      <c r="F22" s="372"/>
      <c r="G22" s="372"/>
      <c r="H22" s="372"/>
    </row>
    <row r="23" spans="1:14" ht="26.25" customHeight="1" x14ac:dyDescent="0.4">
      <c r="A23" s="369" t="s">
        <v>37</v>
      </c>
      <c r="B23" s="375">
        <v>42578</v>
      </c>
      <c r="C23" s="372"/>
      <c r="D23" s="372"/>
      <c r="E23" s="372"/>
      <c r="F23" s="372"/>
      <c r="G23" s="372"/>
      <c r="H23" s="372"/>
    </row>
    <row r="24" spans="1:14" ht="18.75" x14ac:dyDescent="0.3">
      <c r="A24" s="369"/>
      <c r="B24" s="376"/>
    </row>
    <row r="25" spans="1:14" ht="18.75" x14ac:dyDescent="0.3">
      <c r="A25" s="377" t="s">
        <v>1</v>
      </c>
      <c r="B25" s="376"/>
    </row>
    <row r="26" spans="1:14" ht="26.25" customHeight="1" x14ac:dyDescent="0.4">
      <c r="A26" s="378" t="s">
        <v>4</v>
      </c>
      <c r="B26" s="550" t="s">
        <v>141</v>
      </c>
      <c r="C26" s="550"/>
    </row>
    <row r="27" spans="1:14" ht="26.25" customHeight="1" x14ac:dyDescent="0.4">
      <c r="A27" s="379" t="s">
        <v>51</v>
      </c>
      <c r="B27" s="552" t="s">
        <v>142</v>
      </c>
      <c r="C27" s="552"/>
    </row>
    <row r="28" spans="1:14" ht="27" customHeight="1" thickBot="1" x14ac:dyDescent="0.45">
      <c r="A28" s="379" t="s">
        <v>6</v>
      </c>
      <c r="B28" s="380">
        <v>99.89</v>
      </c>
    </row>
    <row r="29" spans="1:14" s="382" customFormat="1" ht="27" customHeight="1" thickBot="1" x14ac:dyDescent="0.45">
      <c r="A29" s="379" t="s">
        <v>52</v>
      </c>
      <c r="B29" s="381">
        <v>0</v>
      </c>
      <c r="C29" s="553" t="s">
        <v>53</v>
      </c>
      <c r="D29" s="554"/>
      <c r="E29" s="554"/>
      <c r="F29" s="554"/>
      <c r="G29" s="555"/>
      <c r="I29" s="383"/>
      <c r="J29" s="383"/>
      <c r="K29" s="383"/>
      <c r="L29" s="383"/>
    </row>
    <row r="30" spans="1:14" s="382" customFormat="1" ht="19.5" customHeight="1" thickBot="1" x14ac:dyDescent="0.35">
      <c r="A30" s="379" t="s">
        <v>54</v>
      </c>
      <c r="B30" s="384">
        <f>B28-B29</f>
        <v>99.89</v>
      </c>
      <c r="C30" s="385"/>
      <c r="D30" s="385"/>
      <c r="E30" s="385"/>
      <c r="F30" s="385"/>
      <c r="G30" s="386"/>
      <c r="I30" s="383"/>
      <c r="J30" s="383"/>
      <c r="K30" s="383"/>
      <c r="L30" s="383"/>
    </row>
    <row r="31" spans="1:14" s="382" customFormat="1" ht="27" customHeight="1" thickBot="1" x14ac:dyDescent="0.45">
      <c r="A31" s="379" t="s">
        <v>55</v>
      </c>
      <c r="B31" s="387">
        <v>1</v>
      </c>
      <c r="C31" s="541" t="s">
        <v>56</v>
      </c>
      <c r="D31" s="542"/>
      <c r="E31" s="542"/>
      <c r="F31" s="542"/>
      <c r="G31" s="542"/>
      <c r="H31" s="543"/>
      <c r="I31" s="383"/>
      <c r="J31" s="383"/>
      <c r="K31" s="383"/>
      <c r="L31" s="383"/>
    </row>
    <row r="32" spans="1:14" s="382" customFormat="1" ht="27" customHeight="1" thickBot="1" x14ac:dyDescent="0.45">
      <c r="A32" s="379" t="s">
        <v>57</v>
      </c>
      <c r="B32" s="387">
        <v>1</v>
      </c>
      <c r="C32" s="541" t="s">
        <v>58</v>
      </c>
      <c r="D32" s="542"/>
      <c r="E32" s="542"/>
      <c r="F32" s="542"/>
      <c r="G32" s="542"/>
      <c r="H32" s="543"/>
      <c r="I32" s="383"/>
      <c r="J32" s="383"/>
      <c r="K32" s="383"/>
      <c r="L32" s="388"/>
      <c r="M32" s="388"/>
      <c r="N32" s="389"/>
    </row>
    <row r="33" spans="1:14" s="382" customFormat="1" ht="17.25" customHeight="1" x14ac:dyDescent="0.3">
      <c r="A33" s="379"/>
      <c r="B33" s="390"/>
      <c r="C33" s="391"/>
      <c r="D33" s="391"/>
      <c r="E33" s="391"/>
      <c r="F33" s="391"/>
      <c r="G33" s="391"/>
      <c r="H33" s="391"/>
      <c r="I33" s="383"/>
      <c r="J33" s="383"/>
      <c r="K33" s="383"/>
      <c r="L33" s="388"/>
      <c r="M33" s="388"/>
      <c r="N33" s="389"/>
    </row>
    <row r="34" spans="1:14" s="382" customFormat="1" ht="18.75" x14ac:dyDescent="0.3">
      <c r="A34" s="379" t="s">
        <v>59</v>
      </c>
      <c r="B34" s="392">
        <f>B31/B32</f>
        <v>1</v>
      </c>
      <c r="C34" s="367" t="s">
        <v>60</v>
      </c>
      <c r="D34" s="367"/>
      <c r="E34" s="367"/>
      <c r="F34" s="367"/>
      <c r="G34" s="367"/>
      <c r="I34" s="383"/>
      <c r="J34" s="383"/>
      <c r="K34" s="383"/>
      <c r="L34" s="388"/>
      <c r="M34" s="388"/>
      <c r="N34" s="389"/>
    </row>
    <row r="35" spans="1:14" s="382" customFormat="1" ht="19.5" customHeight="1" thickBot="1" x14ac:dyDescent="0.35">
      <c r="A35" s="379"/>
      <c r="B35" s="384"/>
      <c r="G35" s="367"/>
      <c r="I35" s="383"/>
      <c r="J35" s="383"/>
      <c r="K35" s="383"/>
      <c r="L35" s="388"/>
      <c r="M35" s="388"/>
      <c r="N35" s="389"/>
    </row>
    <row r="36" spans="1:14" s="382" customFormat="1" ht="27" customHeight="1" thickBot="1" x14ac:dyDescent="0.45">
      <c r="A36" s="393" t="s">
        <v>61</v>
      </c>
      <c r="B36" s="394">
        <v>100</v>
      </c>
      <c r="C36" s="367"/>
      <c r="D36" s="561" t="s">
        <v>62</v>
      </c>
      <c r="E36" s="562"/>
      <c r="F36" s="561" t="s">
        <v>63</v>
      </c>
      <c r="G36" s="563"/>
      <c r="J36" s="383"/>
      <c r="K36" s="383"/>
      <c r="L36" s="388"/>
      <c r="M36" s="388"/>
      <c r="N36" s="389"/>
    </row>
    <row r="37" spans="1:14" s="382" customFormat="1" ht="27" customHeight="1" thickBot="1" x14ac:dyDescent="0.45">
      <c r="A37" s="395" t="s">
        <v>64</v>
      </c>
      <c r="B37" s="396">
        <v>5</v>
      </c>
      <c r="C37" s="397" t="s">
        <v>65</v>
      </c>
      <c r="D37" s="398" t="s">
        <v>66</v>
      </c>
      <c r="E37" s="399" t="s">
        <v>67</v>
      </c>
      <c r="F37" s="398" t="s">
        <v>66</v>
      </c>
      <c r="G37" s="400" t="s">
        <v>67</v>
      </c>
      <c r="I37" s="401" t="s">
        <v>68</v>
      </c>
      <c r="J37" s="383"/>
      <c r="K37" s="383"/>
      <c r="L37" s="388"/>
      <c r="M37" s="388"/>
      <c r="N37" s="389"/>
    </row>
    <row r="38" spans="1:14" s="382" customFormat="1" ht="26.25" customHeight="1" x14ac:dyDescent="0.4">
      <c r="A38" s="395" t="s">
        <v>69</v>
      </c>
      <c r="B38" s="396">
        <v>100</v>
      </c>
      <c r="C38" s="402">
        <v>1</v>
      </c>
      <c r="D38" s="403">
        <v>4469901</v>
      </c>
      <c r="E38" s="404">
        <f>IF(ISBLANK(D38),"-",$D$48/$D$45*D38)</f>
        <v>4465891.5225910181</v>
      </c>
      <c r="F38" s="403">
        <v>5047597</v>
      </c>
      <c r="G38" s="405">
        <f>IF(ISBLANK(F38),"-",$D$48/$F$45*F38)</f>
        <v>4413236.2192297997</v>
      </c>
      <c r="I38" s="406"/>
      <c r="J38" s="383"/>
      <c r="K38" s="383"/>
      <c r="L38" s="388"/>
      <c r="M38" s="388"/>
      <c r="N38" s="389"/>
    </row>
    <row r="39" spans="1:14" s="382" customFormat="1" ht="26.25" customHeight="1" x14ac:dyDescent="0.4">
      <c r="A39" s="395" t="s">
        <v>70</v>
      </c>
      <c r="B39" s="396">
        <v>1</v>
      </c>
      <c r="C39" s="407">
        <v>2</v>
      </c>
      <c r="D39" s="408">
        <v>4475384</v>
      </c>
      <c r="E39" s="409">
        <f>IF(ISBLANK(D39),"-",$D$48/$D$45*D39)</f>
        <v>4471369.604369198</v>
      </c>
      <c r="F39" s="408">
        <v>5041030</v>
      </c>
      <c r="G39" s="410">
        <f>IF(ISBLANK(F39),"-",$D$48/$F$45*F39)</f>
        <v>4407494.5321950223</v>
      </c>
      <c r="I39" s="564">
        <f>ABS((F43/D43*D42)-F42)/D42</f>
        <v>1.4973327821824802E-2</v>
      </c>
      <c r="J39" s="383"/>
      <c r="K39" s="383"/>
      <c r="L39" s="388"/>
      <c r="M39" s="388"/>
      <c r="N39" s="389"/>
    </row>
    <row r="40" spans="1:14" ht="26.25" customHeight="1" x14ac:dyDescent="0.4">
      <c r="A40" s="395" t="s">
        <v>71</v>
      </c>
      <c r="B40" s="396">
        <v>1</v>
      </c>
      <c r="C40" s="407">
        <v>3</v>
      </c>
      <c r="D40" s="408">
        <v>4462045</v>
      </c>
      <c r="E40" s="409">
        <f>IF(ISBLANK(D40),"-",$D$48/$D$45*D40)</f>
        <v>4458042.56938121</v>
      </c>
      <c r="F40" s="408">
        <v>5031372</v>
      </c>
      <c r="G40" s="410">
        <f>IF(ISBLANK(F40),"-",$D$48/$F$45*F40)</f>
        <v>4399050.3090517474</v>
      </c>
      <c r="I40" s="564"/>
      <c r="L40" s="388"/>
      <c r="M40" s="388"/>
      <c r="N40" s="367"/>
    </row>
    <row r="41" spans="1:14" ht="27" customHeight="1" thickBot="1" x14ac:dyDescent="0.45">
      <c r="A41" s="395" t="s">
        <v>72</v>
      </c>
      <c r="B41" s="396">
        <v>1</v>
      </c>
      <c r="C41" s="411">
        <v>4</v>
      </c>
      <c r="D41" s="412"/>
      <c r="E41" s="413" t="str">
        <f>IF(ISBLANK(D41),"-",$D$48/$D$45*D41)</f>
        <v>-</v>
      </c>
      <c r="F41" s="412"/>
      <c r="G41" s="414" t="str">
        <f>IF(ISBLANK(F41),"-",$D$48/$F$45*F41)</f>
        <v>-</v>
      </c>
      <c r="I41" s="415"/>
      <c r="L41" s="388"/>
      <c r="M41" s="388"/>
      <c r="N41" s="367"/>
    </row>
    <row r="42" spans="1:14" ht="27" customHeight="1" thickBot="1" x14ac:dyDescent="0.45">
      <c r="A42" s="395" t="s">
        <v>73</v>
      </c>
      <c r="B42" s="396">
        <v>1</v>
      </c>
      <c r="C42" s="416" t="s">
        <v>74</v>
      </c>
      <c r="D42" s="417">
        <f>AVERAGE(D38:D41)</f>
        <v>4469110</v>
      </c>
      <c r="E42" s="418">
        <f>AVERAGE(E38:E41)</f>
        <v>4465101.2321138084</v>
      </c>
      <c r="F42" s="417">
        <f>AVERAGE(F38:F41)</f>
        <v>5039999.666666667</v>
      </c>
      <c r="G42" s="419">
        <f>AVERAGE(G38:G41)</f>
        <v>4406593.6868255241</v>
      </c>
      <c r="H42" s="420"/>
    </row>
    <row r="43" spans="1:14" ht="26.25" customHeight="1" x14ac:dyDescent="0.4">
      <c r="A43" s="395" t="s">
        <v>75</v>
      </c>
      <c r="B43" s="396">
        <v>1</v>
      </c>
      <c r="C43" s="421" t="s">
        <v>76</v>
      </c>
      <c r="D43" s="422">
        <v>20.04</v>
      </c>
      <c r="E43" s="367"/>
      <c r="F43" s="422">
        <v>22.9</v>
      </c>
      <c r="H43" s="420"/>
    </row>
    <row r="44" spans="1:14" ht="26.25" customHeight="1" x14ac:dyDescent="0.4">
      <c r="A44" s="395" t="s">
        <v>77</v>
      </c>
      <c r="B44" s="396">
        <v>1</v>
      </c>
      <c r="C44" s="423" t="s">
        <v>78</v>
      </c>
      <c r="D44" s="424">
        <f>D43*$B$34</f>
        <v>20.04</v>
      </c>
      <c r="E44" s="425"/>
      <c r="F44" s="424">
        <f>F43*$B$34</f>
        <v>22.9</v>
      </c>
      <c r="H44" s="420"/>
    </row>
    <row r="45" spans="1:14" ht="19.5" customHeight="1" thickBot="1" x14ac:dyDescent="0.35">
      <c r="A45" s="395" t="s">
        <v>79</v>
      </c>
      <c r="B45" s="407">
        <f>(B44/B43)*(B42/B41)*(B40/B39)*(B38/B37)*B36</f>
        <v>2000</v>
      </c>
      <c r="C45" s="423" t="s">
        <v>80</v>
      </c>
      <c r="D45" s="426">
        <f>D44*$B$30/100</f>
        <v>20.017955999999998</v>
      </c>
      <c r="E45" s="427"/>
      <c r="F45" s="426">
        <f>F44*$B$30/100</f>
        <v>22.874809999999997</v>
      </c>
      <c r="H45" s="420"/>
    </row>
    <row r="46" spans="1:14" ht="19.5" customHeight="1" thickBot="1" x14ac:dyDescent="0.35">
      <c r="A46" s="565" t="s">
        <v>81</v>
      </c>
      <c r="B46" s="566"/>
      <c r="C46" s="423" t="s">
        <v>82</v>
      </c>
      <c r="D46" s="428">
        <f>D45/$B$45</f>
        <v>1.0008977999999998E-2</v>
      </c>
      <c r="E46" s="429"/>
      <c r="F46" s="430">
        <f>F45/$B$45</f>
        <v>1.1437404999999998E-2</v>
      </c>
      <c r="H46" s="420"/>
    </row>
    <row r="47" spans="1:14" ht="27" customHeight="1" thickBot="1" x14ac:dyDescent="0.45">
      <c r="A47" s="567"/>
      <c r="B47" s="568"/>
      <c r="C47" s="431" t="s">
        <v>83</v>
      </c>
      <c r="D47" s="432">
        <v>0.01</v>
      </c>
      <c r="E47" s="433"/>
      <c r="F47" s="429"/>
      <c r="H47" s="420"/>
    </row>
    <row r="48" spans="1:14" ht="18.75" x14ac:dyDescent="0.3">
      <c r="C48" s="434" t="s">
        <v>84</v>
      </c>
      <c r="D48" s="426">
        <f>D47*$B$45</f>
        <v>20</v>
      </c>
      <c r="F48" s="435"/>
      <c r="H48" s="420"/>
    </row>
    <row r="49" spans="1:12" ht="19.5" customHeight="1" thickBot="1" x14ac:dyDescent="0.35">
      <c r="C49" s="436" t="s">
        <v>85</v>
      </c>
      <c r="D49" s="437">
        <f>D48/B34</f>
        <v>20</v>
      </c>
      <c r="F49" s="435"/>
      <c r="H49" s="420"/>
    </row>
    <row r="50" spans="1:12" ht="18.75" x14ac:dyDescent="0.3">
      <c r="C50" s="393" t="s">
        <v>86</v>
      </c>
      <c r="D50" s="438">
        <f>AVERAGE(E38:E41,G38:G41)</f>
        <v>4435847.4594696658</v>
      </c>
      <c r="F50" s="439"/>
      <c r="H50" s="420"/>
    </row>
    <row r="51" spans="1:12" ht="18.75" x14ac:dyDescent="0.3">
      <c r="C51" s="395" t="s">
        <v>87</v>
      </c>
      <c r="D51" s="440">
        <f>STDEV(E38:E41,G38:G41)/D50</f>
        <v>7.3578397434901095E-3</v>
      </c>
      <c r="F51" s="439"/>
      <c r="H51" s="420"/>
    </row>
    <row r="52" spans="1:12" ht="19.5" customHeight="1" thickBot="1" x14ac:dyDescent="0.35">
      <c r="C52" s="441" t="s">
        <v>20</v>
      </c>
      <c r="D52" s="442">
        <f>COUNT(E38:E41,G38:G41)</f>
        <v>6</v>
      </c>
      <c r="F52" s="439"/>
    </row>
    <row r="54" spans="1:12" ht="18.75" x14ac:dyDescent="0.3">
      <c r="A54" s="443" t="s">
        <v>1</v>
      </c>
      <c r="B54" s="444" t="s">
        <v>88</v>
      </c>
    </row>
    <row r="55" spans="1:12" ht="18.75" x14ac:dyDescent="0.3">
      <c r="A55" s="367" t="s">
        <v>89</v>
      </c>
      <c r="B55" s="445" t="str">
        <f>B21</f>
        <v>Each capsule contains Laperamide hydrochloride USP 2 mg</v>
      </c>
    </row>
    <row r="56" spans="1:12" ht="26.25" customHeight="1" x14ac:dyDescent="0.4">
      <c r="A56" s="445" t="s">
        <v>90</v>
      </c>
      <c r="B56" s="446">
        <v>2</v>
      </c>
      <c r="C56" s="367" t="str">
        <f>B20</f>
        <v>Loperamide</v>
      </c>
      <c r="H56" s="425"/>
    </row>
    <row r="57" spans="1:12" ht="18.75" x14ac:dyDescent="0.3">
      <c r="A57" s="445" t="s">
        <v>91</v>
      </c>
      <c r="B57" s="447">
        <f>Uniformity!D43</f>
        <v>153.03450000000001</v>
      </c>
      <c r="H57" s="425"/>
    </row>
    <row r="58" spans="1:12" ht="19.5" customHeight="1" thickBot="1" x14ac:dyDescent="0.35">
      <c r="H58" s="425"/>
    </row>
    <row r="59" spans="1:12" s="382" customFormat="1" ht="27" customHeight="1" thickBot="1" x14ac:dyDescent="0.45">
      <c r="A59" s="393" t="s">
        <v>92</v>
      </c>
      <c r="B59" s="394">
        <v>50</v>
      </c>
      <c r="C59" s="367"/>
      <c r="D59" s="448" t="s">
        <v>93</v>
      </c>
      <c r="E59" s="449" t="s">
        <v>65</v>
      </c>
      <c r="F59" s="449" t="s">
        <v>66</v>
      </c>
      <c r="G59" s="449" t="s">
        <v>94</v>
      </c>
      <c r="H59" s="397" t="s">
        <v>95</v>
      </c>
      <c r="L59" s="383"/>
    </row>
    <row r="60" spans="1:12" s="382" customFormat="1" ht="26.25" customHeight="1" x14ac:dyDescent="0.4">
      <c r="A60" s="395" t="s">
        <v>96</v>
      </c>
      <c r="B60" s="396">
        <v>5</v>
      </c>
      <c r="C60" s="569" t="s">
        <v>97</v>
      </c>
      <c r="D60" s="572">
        <v>762.33</v>
      </c>
      <c r="E60" s="450">
        <v>1</v>
      </c>
      <c r="F60" s="451">
        <v>4191830</v>
      </c>
      <c r="G60" s="452">
        <f>IF(ISBLANK(F60),"-",(F60/$D$50*$D$47*$B$68)*($B$57/$D$60))</f>
        <v>1.8970264941136465</v>
      </c>
      <c r="H60" s="453">
        <f t="shared" ref="H60:H71" si="0">IF(ISBLANK(F60),"-",G60/$B$56)</f>
        <v>0.94851324705682327</v>
      </c>
      <c r="L60" s="383"/>
    </row>
    <row r="61" spans="1:12" s="382" customFormat="1" ht="26.25" customHeight="1" x14ac:dyDescent="0.4">
      <c r="A61" s="395" t="s">
        <v>98</v>
      </c>
      <c r="B61" s="396">
        <v>100</v>
      </c>
      <c r="C61" s="570"/>
      <c r="D61" s="573"/>
      <c r="E61" s="454">
        <v>2</v>
      </c>
      <c r="F61" s="408">
        <v>4226347</v>
      </c>
      <c r="G61" s="455">
        <f>IF(ISBLANK(F61),"-",(F61/$D$50*$D$47*$B$68)*($B$57/$D$60))</f>
        <v>1.9126472763250726</v>
      </c>
      <c r="H61" s="456">
        <f t="shared" si="0"/>
        <v>0.95632363816253629</v>
      </c>
      <c r="L61" s="383"/>
    </row>
    <row r="62" spans="1:12" s="382" customFormat="1" ht="26.25" customHeight="1" x14ac:dyDescent="0.4">
      <c r="A62" s="395" t="s">
        <v>99</v>
      </c>
      <c r="B62" s="396">
        <v>1</v>
      </c>
      <c r="C62" s="570"/>
      <c r="D62" s="573"/>
      <c r="E62" s="454">
        <v>3</v>
      </c>
      <c r="F62" s="457">
        <v>4213676</v>
      </c>
      <c r="G62" s="455">
        <f>IF(ISBLANK(F62),"-",(F62/$D$50*$D$47*$B$68)*($B$57/$D$60))</f>
        <v>1.9069129734771719</v>
      </c>
      <c r="H62" s="456">
        <f t="shared" si="0"/>
        <v>0.95345648673858596</v>
      </c>
      <c r="L62" s="383"/>
    </row>
    <row r="63" spans="1:12" ht="27" customHeight="1" thickBot="1" x14ac:dyDescent="0.45">
      <c r="A63" s="395" t="s">
        <v>100</v>
      </c>
      <c r="B63" s="396">
        <v>1</v>
      </c>
      <c r="C63" s="571"/>
      <c r="D63" s="574"/>
      <c r="E63" s="458">
        <v>4</v>
      </c>
      <c r="F63" s="459"/>
      <c r="G63" s="455" t="str">
        <f>IF(ISBLANK(F63),"-",(F63/$D$50*$D$47*$B$68)*($B$57/$D$60))</f>
        <v>-</v>
      </c>
      <c r="H63" s="456" t="str">
        <f t="shared" si="0"/>
        <v>-</v>
      </c>
    </row>
    <row r="64" spans="1:12" ht="26.25" customHeight="1" x14ac:dyDescent="0.4">
      <c r="A64" s="395" t="s">
        <v>101</v>
      </c>
      <c r="B64" s="396">
        <v>1</v>
      </c>
      <c r="C64" s="569" t="s">
        <v>102</v>
      </c>
      <c r="D64" s="572">
        <v>756.34</v>
      </c>
      <c r="E64" s="450">
        <v>1</v>
      </c>
      <c r="F64" s="451">
        <v>4198681</v>
      </c>
      <c r="G64" s="460">
        <f>IF(ISBLANK(F64),"-",(F64/$D$50*$D$47*$B$68)*($B$57/$D$64))</f>
        <v>1.9151754074921312</v>
      </c>
      <c r="H64" s="461">
        <f t="shared" si="0"/>
        <v>0.95758770374606561</v>
      </c>
    </row>
    <row r="65" spans="1:8" ht="26.25" customHeight="1" x14ac:dyDescent="0.4">
      <c r="A65" s="395" t="s">
        <v>103</v>
      </c>
      <c r="B65" s="396">
        <v>1</v>
      </c>
      <c r="C65" s="570"/>
      <c r="D65" s="573"/>
      <c r="E65" s="454">
        <v>2</v>
      </c>
      <c r="F65" s="408">
        <v>4192204</v>
      </c>
      <c r="G65" s="462">
        <f>IF(ISBLANK(F65),"-",(F65/$D$50*$D$47*$B$68)*($B$57/$D$64))</f>
        <v>1.91222100559441</v>
      </c>
      <c r="H65" s="463">
        <f t="shared" si="0"/>
        <v>0.956110502797205</v>
      </c>
    </row>
    <row r="66" spans="1:8" ht="26.25" customHeight="1" x14ac:dyDescent="0.4">
      <c r="A66" s="395" t="s">
        <v>104</v>
      </c>
      <c r="B66" s="396">
        <v>1</v>
      </c>
      <c r="C66" s="570"/>
      <c r="D66" s="573"/>
      <c r="E66" s="454">
        <v>3</v>
      </c>
      <c r="F66" s="408">
        <v>4196737</v>
      </c>
      <c r="G66" s="462">
        <f>IF(ISBLANK(F66),"-",(F66/$D$50*$D$47*$B$68)*($B$57/$D$64))</f>
        <v>1.9142886763991607</v>
      </c>
      <c r="H66" s="463">
        <f t="shared" si="0"/>
        <v>0.95714433819958034</v>
      </c>
    </row>
    <row r="67" spans="1:8" ht="27" customHeight="1" thickBot="1" x14ac:dyDescent="0.45">
      <c r="A67" s="395" t="s">
        <v>105</v>
      </c>
      <c r="B67" s="396">
        <v>1</v>
      </c>
      <c r="C67" s="571"/>
      <c r="D67" s="574"/>
      <c r="E67" s="458">
        <v>4</v>
      </c>
      <c r="F67" s="459"/>
      <c r="G67" s="464" t="str">
        <f>IF(ISBLANK(F67),"-",(F67/$D$50*$D$47*$B$68)*($B$57/$D$64))</f>
        <v>-</v>
      </c>
      <c r="H67" s="465" t="str">
        <f t="shared" si="0"/>
        <v>-</v>
      </c>
    </row>
    <row r="68" spans="1:8" ht="26.25" customHeight="1" x14ac:dyDescent="0.4">
      <c r="A68" s="395" t="s">
        <v>106</v>
      </c>
      <c r="B68" s="466">
        <f>(B67/B66)*(B65/B64)*(B63/B62)*(B61/B60)*B59</f>
        <v>1000</v>
      </c>
      <c r="C68" s="569" t="s">
        <v>107</v>
      </c>
      <c r="D68" s="572">
        <v>767.31</v>
      </c>
      <c r="E68" s="450">
        <v>1</v>
      </c>
      <c r="F68" s="451">
        <v>4333302</v>
      </c>
      <c r="G68" s="460">
        <f>IF(ISBLANK(F68),"-",(F68/$D$50*$D$47*$B$68)*($B$57/$D$68))</f>
        <v>1.9483224950821882</v>
      </c>
      <c r="H68" s="456">
        <f t="shared" si="0"/>
        <v>0.97416124754109412</v>
      </c>
    </row>
    <row r="69" spans="1:8" ht="27" customHeight="1" thickBot="1" x14ac:dyDescent="0.45">
      <c r="A69" s="441" t="s">
        <v>108</v>
      </c>
      <c r="B69" s="467">
        <f>(D47*B68)/B56*B57</f>
        <v>765.17250000000001</v>
      </c>
      <c r="C69" s="570"/>
      <c r="D69" s="573"/>
      <c r="E69" s="454">
        <v>2</v>
      </c>
      <c r="F69" s="408">
        <v>4328411</v>
      </c>
      <c r="G69" s="462">
        <f>IF(ISBLANK(F69),"-",(F69/$D$50*$D$47*$B$68)*($B$57/$D$68))</f>
        <v>1.946123422568099</v>
      </c>
      <c r="H69" s="456">
        <f t="shared" si="0"/>
        <v>0.9730617112840495</v>
      </c>
    </row>
    <row r="70" spans="1:8" ht="26.25" customHeight="1" x14ac:dyDescent="0.4">
      <c r="A70" s="556" t="s">
        <v>81</v>
      </c>
      <c r="B70" s="557"/>
      <c r="C70" s="570"/>
      <c r="D70" s="573"/>
      <c r="E70" s="454">
        <v>3</v>
      </c>
      <c r="F70" s="408">
        <v>4328593</v>
      </c>
      <c r="G70" s="462">
        <f>IF(ISBLANK(F70),"-",(F70/$D$50*$D$47*$B$68)*($B$57/$D$68))</f>
        <v>1.9462052527045877</v>
      </c>
      <c r="H70" s="456">
        <f t="shared" si="0"/>
        <v>0.97310262635229383</v>
      </c>
    </row>
    <row r="71" spans="1:8" ht="27" customHeight="1" thickBot="1" x14ac:dyDescent="0.45">
      <c r="A71" s="558"/>
      <c r="B71" s="559"/>
      <c r="C71" s="575"/>
      <c r="D71" s="574"/>
      <c r="E71" s="458">
        <v>4</v>
      </c>
      <c r="F71" s="459"/>
      <c r="G71" s="464" t="str">
        <f>IF(ISBLANK(F71),"-",(F71/$D$50*$D$47*$B$68)*($B$57/$D$68))</f>
        <v>-</v>
      </c>
      <c r="H71" s="468" t="str">
        <f t="shared" si="0"/>
        <v>-</v>
      </c>
    </row>
    <row r="72" spans="1:8" ht="26.25" customHeight="1" x14ac:dyDescent="0.4">
      <c r="A72" s="425"/>
      <c r="B72" s="425"/>
      <c r="C72" s="425"/>
      <c r="D72" s="425"/>
      <c r="E72" s="425"/>
      <c r="F72" s="469" t="s">
        <v>74</v>
      </c>
      <c r="G72" s="470">
        <f>AVERAGE(G60:G71)</f>
        <v>1.9221025559729408</v>
      </c>
      <c r="H72" s="471">
        <f>AVERAGE(H60:H71)</f>
        <v>0.96105127798647039</v>
      </c>
    </row>
    <row r="73" spans="1:8" ht="26.25" customHeight="1" x14ac:dyDescent="0.4">
      <c r="C73" s="425"/>
      <c r="D73" s="425"/>
      <c r="E73" s="425"/>
      <c r="F73" s="472" t="s">
        <v>87</v>
      </c>
      <c r="G73" s="473">
        <f>STDEV(G60:G71)/G72</f>
        <v>1.0076622564057086E-2</v>
      </c>
      <c r="H73" s="473">
        <f>STDEV(H60:H71)/H72</f>
        <v>1.0076622564057086E-2</v>
      </c>
    </row>
    <row r="74" spans="1:8" ht="27" customHeight="1" thickBot="1" x14ac:dyDescent="0.45">
      <c r="A74" s="425"/>
      <c r="B74" s="425"/>
      <c r="C74" s="425"/>
      <c r="D74" s="425"/>
      <c r="E74" s="427"/>
      <c r="F74" s="474" t="s">
        <v>20</v>
      </c>
      <c r="G74" s="475">
        <f>COUNT(G60:G71)</f>
        <v>9</v>
      </c>
      <c r="H74" s="475">
        <f>COUNT(H60:H71)</f>
        <v>9</v>
      </c>
    </row>
    <row r="76" spans="1:8" ht="26.25" customHeight="1" x14ac:dyDescent="0.4">
      <c r="A76" s="378" t="s">
        <v>109</v>
      </c>
      <c r="B76" s="379" t="s">
        <v>110</v>
      </c>
      <c r="C76" s="560" t="str">
        <f>B20</f>
        <v>Loperamide</v>
      </c>
      <c r="D76" s="560"/>
      <c r="E76" s="367" t="s">
        <v>111</v>
      </c>
      <c r="F76" s="367"/>
      <c r="G76" s="476">
        <f>H72</f>
        <v>0.96105127798647039</v>
      </c>
      <c r="H76" s="384"/>
    </row>
    <row r="77" spans="1:8" ht="18.75" x14ac:dyDescent="0.3">
      <c r="A77" s="377" t="s">
        <v>112</v>
      </c>
      <c r="B77" s="377" t="s">
        <v>113</v>
      </c>
    </row>
    <row r="78" spans="1:8" ht="18.75" x14ac:dyDescent="0.3">
      <c r="A78" s="377"/>
      <c r="B78" s="377"/>
    </row>
    <row r="79" spans="1:8" ht="26.25" customHeight="1" x14ac:dyDescent="0.4">
      <c r="A79" s="378" t="s">
        <v>4</v>
      </c>
      <c r="B79" s="576" t="str">
        <f>B26</f>
        <v>Loperamide Hydrochloride</v>
      </c>
      <c r="C79" s="576"/>
    </row>
    <row r="80" spans="1:8" ht="26.25" customHeight="1" x14ac:dyDescent="0.4">
      <c r="A80" s="379" t="s">
        <v>51</v>
      </c>
      <c r="B80" s="576" t="str">
        <f>B27</f>
        <v>L38-1</v>
      </c>
      <c r="C80" s="576"/>
    </row>
    <row r="81" spans="1:12" ht="27" customHeight="1" thickBot="1" x14ac:dyDescent="0.45">
      <c r="A81" s="379" t="s">
        <v>6</v>
      </c>
      <c r="B81" s="380">
        <f>B28</f>
        <v>99.89</v>
      </c>
    </row>
    <row r="82" spans="1:12" s="382" customFormat="1" ht="27" customHeight="1" thickBot="1" x14ac:dyDescent="0.45">
      <c r="A82" s="379" t="s">
        <v>52</v>
      </c>
      <c r="B82" s="381">
        <v>0</v>
      </c>
      <c r="C82" s="553" t="s">
        <v>53</v>
      </c>
      <c r="D82" s="554"/>
      <c r="E82" s="554"/>
      <c r="F82" s="554"/>
      <c r="G82" s="555"/>
      <c r="I82" s="383"/>
      <c r="J82" s="383"/>
      <c r="K82" s="383"/>
      <c r="L82" s="383"/>
    </row>
    <row r="83" spans="1:12" s="382" customFormat="1" ht="19.5" customHeight="1" thickBot="1" x14ac:dyDescent="0.35">
      <c r="A83" s="379" t="s">
        <v>54</v>
      </c>
      <c r="B83" s="384">
        <f>B81-B82</f>
        <v>99.89</v>
      </c>
      <c r="C83" s="385"/>
      <c r="D83" s="385"/>
      <c r="E83" s="385"/>
      <c r="F83" s="385"/>
      <c r="G83" s="386"/>
      <c r="I83" s="383"/>
      <c r="J83" s="383"/>
      <c r="K83" s="383"/>
      <c r="L83" s="383"/>
    </row>
    <row r="84" spans="1:12" s="382" customFormat="1" ht="27" customHeight="1" thickBot="1" x14ac:dyDescent="0.45">
      <c r="A84" s="379" t="s">
        <v>55</v>
      </c>
      <c r="B84" s="387">
        <v>1</v>
      </c>
      <c r="C84" s="541" t="s">
        <v>114</v>
      </c>
      <c r="D84" s="542"/>
      <c r="E84" s="542"/>
      <c r="F84" s="542"/>
      <c r="G84" s="542"/>
      <c r="H84" s="543"/>
      <c r="I84" s="383"/>
      <c r="J84" s="383"/>
      <c r="K84" s="383"/>
      <c r="L84" s="383"/>
    </row>
    <row r="85" spans="1:12" s="382" customFormat="1" ht="27" customHeight="1" thickBot="1" x14ac:dyDescent="0.45">
      <c r="A85" s="379" t="s">
        <v>57</v>
      </c>
      <c r="B85" s="387">
        <v>1</v>
      </c>
      <c r="C85" s="541" t="s">
        <v>115</v>
      </c>
      <c r="D85" s="542"/>
      <c r="E85" s="542"/>
      <c r="F85" s="542"/>
      <c r="G85" s="542"/>
      <c r="H85" s="543"/>
      <c r="I85" s="383"/>
      <c r="J85" s="383"/>
      <c r="K85" s="383"/>
      <c r="L85" s="383"/>
    </row>
    <row r="86" spans="1:12" s="382" customFormat="1" ht="18.75" x14ac:dyDescent="0.3">
      <c r="A86" s="379"/>
      <c r="B86" s="390"/>
      <c r="C86" s="391"/>
      <c r="D86" s="391"/>
      <c r="E86" s="391"/>
      <c r="F86" s="391"/>
      <c r="G86" s="391"/>
      <c r="H86" s="391"/>
      <c r="I86" s="383"/>
      <c r="J86" s="383"/>
      <c r="K86" s="383"/>
      <c r="L86" s="383"/>
    </row>
    <row r="87" spans="1:12" s="382" customFormat="1" ht="18.75" x14ac:dyDescent="0.3">
      <c r="A87" s="379" t="s">
        <v>59</v>
      </c>
      <c r="B87" s="392">
        <f>B84/B85</f>
        <v>1</v>
      </c>
      <c r="C87" s="367" t="s">
        <v>60</v>
      </c>
      <c r="D87" s="367"/>
      <c r="E87" s="367"/>
      <c r="F87" s="367"/>
      <c r="G87" s="367"/>
      <c r="I87" s="383"/>
      <c r="J87" s="383"/>
      <c r="K87" s="383"/>
      <c r="L87" s="383"/>
    </row>
    <row r="88" spans="1:12" ht="19.5" customHeight="1" thickBot="1" x14ac:dyDescent="0.35">
      <c r="A88" s="377"/>
      <c r="B88" s="377"/>
    </row>
    <row r="89" spans="1:12" ht="27" customHeight="1" thickBot="1" x14ac:dyDescent="0.45">
      <c r="A89" s="393" t="s">
        <v>61</v>
      </c>
      <c r="B89" s="394">
        <v>50</v>
      </c>
      <c r="D89" s="477" t="s">
        <v>62</v>
      </c>
      <c r="E89" s="478"/>
      <c r="F89" s="561" t="s">
        <v>63</v>
      </c>
      <c r="G89" s="563"/>
    </row>
    <row r="90" spans="1:12" ht="27" customHeight="1" thickBot="1" x14ac:dyDescent="0.45">
      <c r="A90" s="395" t="s">
        <v>64</v>
      </c>
      <c r="B90" s="396">
        <v>1</v>
      </c>
      <c r="C90" s="479" t="s">
        <v>65</v>
      </c>
      <c r="D90" s="398" t="s">
        <v>66</v>
      </c>
      <c r="E90" s="399" t="s">
        <v>67</v>
      </c>
      <c r="F90" s="398" t="s">
        <v>66</v>
      </c>
      <c r="G90" s="480" t="s">
        <v>67</v>
      </c>
      <c r="I90" s="401" t="s">
        <v>68</v>
      </c>
    </row>
    <row r="91" spans="1:12" ht="26.25" customHeight="1" x14ac:dyDescent="0.4">
      <c r="A91" s="395" t="s">
        <v>69</v>
      </c>
      <c r="B91" s="396">
        <v>100</v>
      </c>
      <c r="C91" s="481">
        <v>1</v>
      </c>
      <c r="D91" s="403">
        <v>4827411</v>
      </c>
      <c r="E91" s="404">
        <f>IF(ISBLANK(D91),"-",$D$101/$D$98*D91)</f>
        <v>4737967.6467643818</v>
      </c>
      <c r="F91" s="403">
        <v>4453977</v>
      </c>
      <c r="G91" s="405">
        <f>IF(ISBLANK(F91),"-",$D$101/$F$98*F91)</f>
        <v>4683699.3381795613</v>
      </c>
      <c r="I91" s="406"/>
    </row>
    <row r="92" spans="1:12" ht="26.25" customHeight="1" x14ac:dyDescent="0.4">
      <c r="A92" s="395" t="s">
        <v>70</v>
      </c>
      <c r="B92" s="396">
        <v>1</v>
      </c>
      <c r="C92" s="425">
        <v>2</v>
      </c>
      <c r="D92" s="403">
        <v>4823164</v>
      </c>
      <c r="E92" s="409">
        <f>IF(ISBLANK(D92),"-",$D$101/$D$98*D92)</f>
        <v>4733799.336132491</v>
      </c>
      <c r="F92" s="403">
        <v>4443482</v>
      </c>
      <c r="G92" s="410">
        <f>IF(ISBLANK(F92),"-",$D$101/$F$98*F92)</f>
        <v>4672663.0385861425</v>
      </c>
      <c r="I92" s="564">
        <f>ABS((F96/D96*D95)-F95)/D95</f>
        <v>1.101048617621336E-2</v>
      </c>
    </row>
    <row r="93" spans="1:12" ht="26.25" customHeight="1" x14ac:dyDescent="0.4">
      <c r="A93" s="395" t="s">
        <v>71</v>
      </c>
      <c r="B93" s="396">
        <v>1</v>
      </c>
      <c r="C93" s="425">
        <v>3</v>
      </c>
      <c r="D93" s="403">
        <v>4814914</v>
      </c>
      <c r="E93" s="409">
        <f>IF(ISBLANK(D93),"-",$D$101/$D$98*D93)</f>
        <v>4725702.1939820079</v>
      </c>
      <c r="F93" s="403">
        <v>4444392</v>
      </c>
      <c r="G93" s="410">
        <f>IF(ISBLANK(F93),"-",$D$101/$F$98*F93)</f>
        <v>4673619.9735675631</v>
      </c>
      <c r="I93" s="564"/>
    </row>
    <row r="94" spans="1:12" ht="27" customHeight="1" thickBot="1" x14ac:dyDescent="0.45">
      <c r="A94" s="395" t="s">
        <v>72</v>
      </c>
      <c r="B94" s="396">
        <v>1</v>
      </c>
      <c r="C94" s="482">
        <v>4</v>
      </c>
      <c r="D94" s="412"/>
      <c r="E94" s="413" t="str">
        <f>IF(ISBLANK(D94),"-",$D$101/$D$98*D94)</f>
        <v>-</v>
      </c>
      <c r="F94" s="483"/>
      <c r="G94" s="414" t="str">
        <f>IF(ISBLANK(F94),"-",$D$101/$F$98*F94)</f>
        <v>-</v>
      </c>
      <c r="I94" s="415"/>
    </row>
    <row r="95" spans="1:12" ht="27" customHeight="1" thickBot="1" x14ac:dyDescent="0.45">
      <c r="A95" s="395" t="s">
        <v>73</v>
      </c>
      <c r="B95" s="396">
        <v>1</v>
      </c>
      <c r="C95" s="379" t="s">
        <v>74</v>
      </c>
      <c r="D95" s="484">
        <f>AVERAGE(D91:D94)</f>
        <v>4821829.666666667</v>
      </c>
      <c r="E95" s="418">
        <f>AVERAGE(E91:E94)</f>
        <v>4732489.7256262936</v>
      </c>
      <c r="F95" s="485">
        <f>AVERAGE(F91:F94)</f>
        <v>4447283.666666667</v>
      </c>
      <c r="G95" s="486">
        <f>AVERAGE(G91:G94)</f>
        <v>4676660.7834444223</v>
      </c>
    </row>
    <row r="96" spans="1:12" ht="26.25" customHeight="1" x14ac:dyDescent="0.4">
      <c r="A96" s="395" t="s">
        <v>75</v>
      </c>
      <c r="B96" s="380">
        <v>1</v>
      </c>
      <c r="C96" s="487" t="s">
        <v>116</v>
      </c>
      <c r="D96" s="488">
        <v>20.399999999999999</v>
      </c>
      <c r="E96" s="367"/>
      <c r="F96" s="422">
        <v>19.04</v>
      </c>
    </row>
    <row r="97" spans="1:10" ht="26.25" customHeight="1" x14ac:dyDescent="0.4">
      <c r="A97" s="395" t="s">
        <v>77</v>
      </c>
      <c r="B97" s="380">
        <v>1</v>
      </c>
      <c r="C97" s="489" t="s">
        <v>117</v>
      </c>
      <c r="D97" s="490">
        <f>D96*$B$87</f>
        <v>20.399999999999999</v>
      </c>
      <c r="E97" s="425"/>
      <c r="F97" s="424">
        <f>F96*$B$87</f>
        <v>19.04</v>
      </c>
    </row>
    <row r="98" spans="1:10" ht="19.5" customHeight="1" thickBot="1" x14ac:dyDescent="0.35">
      <c r="A98" s="395" t="s">
        <v>79</v>
      </c>
      <c r="B98" s="425">
        <f>(B97/B96)*(B95/B94)*(B93/B92)*(B91/B90)*B89</f>
        <v>5000</v>
      </c>
      <c r="C98" s="489" t="s">
        <v>118</v>
      </c>
      <c r="D98" s="491">
        <f>D97*$B$83/100</f>
        <v>20.377559999999999</v>
      </c>
      <c r="E98" s="427"/>
      <c r="F98" s="426">
        <f>F97*$B$83/100</f>
        <v>19.019055999999999</v>
      </c>
    </row>
    <row r="99" spans="1:10" ht="19.5" customHeight="1" thickBot="1" x14ac:dyDescent="0.35">
      <c r="A99" s="565" t="s">
        <v>81</v>
      </c>
      <c r="B99" s="577"/>
      <c r="C99" s="489" t="s">
        <v>119</v>
      </c>
      <c r="D99" s="492">
        <f>D98/$B$98</f>
        <v>4.0755119999999999E-3</v>
      </c>
      <c r="E99" s="427"/>
      <c r="F99" s="430">
        <f>F98/$B$98</f>
        <v>3.8038111999999999E-3</v>
      </c>
      <c r="H99" s="420"/>
    </row>
    <row r="100" spans="1:10" ht="19.5" customHeight="1" thickBot="1" x14ac:dyDescent="0.35">
      <c r="A100" s="567"/>
      <c r="B100" s="578"/>
      <c r="C100" s="489" t="s">
        <v>83</v>
      </c>
      <c r="D100" s="493">
        <f>$B$56/$B$116</f>
        <v>4.0000000000000001E-3</v>
      </c>
      <c r="F100" s="435"/>
      <c r="G100" s="494"/>
      <c r="H100" s="420"/>
    </row>
    <row r="101" spans="1:10" ht="18.75" x14ac:dyDescent="0.3">
      <c r="C101" s="489" t="s">
        <v>84</v>
      </c>
      <c r="D101" s="490">
        <f>D100*$B$98</f>
        <v>20</v>
      </c>
      <c r="F101" s="435"/>
      <c r="H101" s="420"/>
    </row>
    <row r="102" spans="1:10" ht="19.5" customHeight="1" thickBot="1" x14ac:dyDescent="0.35">
      <c r="C102" s="495" t="s">
        <v>85</v>
      </c>
      <c r="D102" s="496">
        <f>D101/B34</f>
        <v>20</v>
      </c>
      <c r="F102" s="439"/>
      <c r="H102" s="420"/>
      <c r="J102" s="497"/>
    </row>
    <row r="103" spans="1:10" ht="18.75" x14ac:dyDescent="0.3">
      <c r="C103" s="498" t="s">
        <v>120</v>
      </c>
      <c r="D103" s="499">
        <f>AVERAGE(E91:E94,G91:G94)</f>
        <v>4704575.2545353584</v>
      </c>
      <c r="F103" s="439"/>
      <c r="G103" s="494"/>
      <c r="H103" s="420"/>
      <c r="J103" s="500"/>
    </row>
    <row r="104" spans="1:10" ht="18.75" x14ac:dyDescent="0.3">
      <c r="C104" s="472" t="s">
        <v>87</v>
      </c>
      <c r="D104" s="501">
        <f>STDEV(E91:E94,G91:G94)/D103</f>
        <v>6.6049924545025394E-3</v>
      </c>
      <c r="F104" s="439"/>
      <c r="H104" s="420"/>
      <c r="J104" s="500"/>
    </row>
    <row r="105" spans="1:10" ht="19.5" customHeight="1" thickBot="1" x14ac:dyDescent="0.35">
      <c r="C105" s="474" t="s">
        <v>20</v>
      </c>
      <c r="D105" s="502">
        <f>COUNT(E91:E94,G91:G94)</f>
        <v>6</v>
      </c>
      <c r="F105" s="439"/>
      <c r="H105" s="420"/>
      <c r="J105" s="500"/>
    </row>
    <row r="106" spans="1:10" ht="19.5" customHeight="1" thickBot="1" x14ac:dyDescent="0.35">
      <c r="A106" s="443"/>
      <c r="B106" s="443"/>
      <c r="C106" s="443"/>
      <c r="D106" s="443"/>
      <c r="E106" s="443"/>
    </row>
    <row r="107" spans="1:10" ht="26.25" customHeight="1" x14ac:dyDescent="0.4">
      <c r="A107" s="393" t="s">
        <v>121</v>
      </c>
      <c r="B107" s="394">
        <v>500</v>
      </c>
      <c r="C107" s="477" t="s">
        <v>40</v>
      </c>
      <c r="D107" s="503" t="s">
        <v>66</v>
      </c>
      <c r="E107" s="504" t="s">
        <v>122</v>
      </c>
      <c r="F107" s="505" t="s">
        <v>123</v>
      </c>
    </row>
    <row r="108" spans="1:10" ht="26.25" customHeight="1" x14ac:dyDescent="0.4">
      <c r="A108" s="395" t="s">
        <v>124</v>
      </c>
      <c r="B108" s="396">
        <v>1</v>
      </c>
      <c r="C108" s="506">
        <v>1</v>
      </c>
      <c r="D108" s="507">
        <v>4201954</v>
      </c>
      <c r="E108" s="508">
        <f t="shared" ref="E108:E113" si="1">IF(ISBLANK(D108),"-",D108/$D$103*$D$100*$B$116)</f>
        <v>1.7863266172431549</v>
      </c>
      <c r="F108" s="509">
        <f t="shared" ref="F108:F113" si="2">IF(ISBLANK(D108), "-", E108/$B$56)</f>
        <v>0.89316330862157745</v>
      </c>
    </row>
    <row r="109" spans="1:10" ht="26.25" customHeight="1" x14ac:dyDescent="0.4">
      <c r="A109" s="395" t="s">
        <v>98</v>
      </c>
      <c r="B109" s="396">
        <v>1</v>
      </c>
      <c r="C109" s="506">
        <v>2</v>
      </c>
      <c r="D109" s="507">
        <v>4190512</v>
      </c>
      <c r="E109" s="510">
        <f t="shared" si="1"/>
        <v>1.7814624161703927</v>
      </c>
      <c r="F109" s="511">
        <f t="shared" si="2"/>
        <v>0.89073120808519635</v>
      </c>
    </row>
    <row r="110" spans="1:10" ht="26.25" customHeight="1" x14ac:dyDescent="0.4">
      <c r="A110" s="395" t="s">
        <v>99</v>
      </c>
      <c r="B110" s="396">
        <v>1</v>
      </c>
      <c r="C110" s="506">
        <v>3</v>
      </c>
      <c r="D110" s="507">
        <v>3995290</v>
      </c>
      <c r="E110" s="510">
        <f t="shared" si="1"/>
        <v>1.6984700143327138</v>
      </c>
      <c r="F110" s="511">
        <f t="shared" si="2"/>
        <v>0.84923500716635691</v>
      </c>
    </row>
    <row r="111" spans="1:10" ht="26.25" customHeight="1" x14ac:dyDescent="0.4">
      <c r="A111" s="395" t="s">
        <v>100</v>
      </c>
      <c r="B111" s="396">
        <v>1</v>
      </c>
      <c r="C111" s="506">
        <v>4</v>
      </c>
      <c r="D111" s="507">
        <v>4294153</v>
      </c>
      <c r="E111" s="510">
        <f t="shared" si="1"/>
        <v>1.8255220791123712</v>
      </c>
      <c r="F111" s="511">
        <f t="shared" si="2"/>
        <v>0.91276103955618559</v>
      </c>
    </row>
    <row r="112" spans="1:10" ht="26.25" customHeight="1" x14ac:dyDescent="0.4">
      <c r="A112" s="395" t="s">
        <v>101</v>
      </c>
      <c r="B112" s="396">
        <v>1</v>
      </c>
      <c r="C112" s="506">
        <v>5</v>
      </c>
      <c r="D112" s="507">
        <v>3839577</v>
      </c>
      <c r="E112" s="510">
        <f t="shared" si="1"/>
        <v>1.6322736027225953</v>
      </c>
      <c r="F112" s="511">
        <f t="shared" si="2"/>
        <v>0.81613680136129763</v>
      </c>
    </row>
    <row r="113" spans="1:10" ht="26.25" customHeight="1" x14ac:dyDescent="0.4">
      <c r="A113" s="395" t="s">
        <v>103</v>
      </c>
      <c r="B113" s="396">
        <v>1</v>
      </c>
      <c r="C113" s="512">
        <v>6</v>
      </c>
      <c r="D113" s="507">
        <v>3826151</v>
      </c>
      <c r="E113" s="513">
        <f t="shared" si="1"/>
        <v>1.6265659673788702</v>
      </c>
      <c r="F113" s="514">
        <f t="shared" si="2"/>
        <v>0.81328298368943508</v>
      </c>
    </row>
    <row r="114" spans="1:10" ht="26.25" customHeight="1" x14ac:dyDescent="0.4">
      <c r="A114" s="395" t="s">
        <v>104</v>
      </c>
      <c r="B114" s="396">
        <v>1</v>
      </c>
      <c r="C114" s="506"/>
      <c r="D114" s="425"/>
      <c r="E114" s="367"/>
      <c r="F114" s="515"/>
    </row>
    <row r="115" spans="1:10" ht="26.25" customHeight="1" x14ac:dyDescent="0.4">
      <c r="A115" s="395" t="s">
        <v>105</v>
      </c>
      <c r="B115" s="396">
        <v>1</v>
      </c>
      <c r="C115" s="506"/>
      <c r="D115" s="516" t="s">
        <v>74</v>
      </c>
      <c r="E115" s="517">
        <f>AVERAGE(E108:E113)</f>
        <v>1.7251034494933497</v>
      </c>
      <c r="F115" s="518">
        <f>AVERAGE(F108:F113)</f>
        <v>0.86255172474667485</v>
      </c>
    </row>
    <row r="116" spans="1:10" ht="27" customHeight="1" thickBot="1" x14ac:dyDescent="0.45">
      <c r="A116" s="395" t="s">
        <v>106</v>
      </c>
      <c r="B116" s="407">
        <f>(B115/B114)*(B113/B112)*(B111/B110)*(B109/B108)*B107</f>
        <v>500</v>
      </c>
      <c r="C116" s="519"/>
      <c r="D116" s="379" t="s">
        <v>87</v>
      </c>
      <c r="E116" s="520">
        <f>STDEV(E108:E113)/E115</f>
        <v>4.9217728194567885E-2</v>
      </c>
      <c r="F116" s="520">
        <f>STDEV(F108:F113)/F115</f>
        <v>4.9217728194567885E-2</v>
      </c>
      <c r="I116" s="367"/>
    </row>
    <row r="117" spans="1:10" ht="27" customHeight="1" thickBot="1" x14ac:dyDescent="0.45">
      <c r="A117" s="565" t="s">
        <v>81</v>
      </c>
      <c r="B117" s="566"/>
      <c r="C117" s="521"/>
      <c r="D117" s="522" t="s">
        <v>20</v>
      </c>
      <c r="E117" s="523">
        <f>COUNT(E108:E113)</f>
        <v>6</v>
      </c>
      <c r="F117" s="523">
        <f>COUNT(F108:F113)</f>
        <v>6</v>
      </c>
      <c r="I117" s="367"/>
      <c r="J117" s="500"/>
    </row>
    <row r="118" spans="1:10" ht="19.5" customHeight="1" thickBot="1" x14ac:dyDescent="0.35">
      <c r="A118" s="567"/>
      <c r="B118" s="568"/>
      <c r="C118" s="367"/>
      <c r="D118" s="367"/>
      <c r="E118" s="367"/>
      <c r="F118" s="425"/>
      <c r="G118" s="367"/>
      <c r="H118" s="367"/>
      <c r="I118" s="367"/>
    </row>
    <row r="119" spans="1:10" ht="18.75" x14ac:dyDescent="0.3">
      <c r="A119" s="524"/>
      <c r="B119" s="391"/>
      <c r="C119" s="367"/>
      <c r="D119" s="367"/>
      <c r="E119" s="367"/>
      <c r="F119" s="425"/>
      <c r="G119" s="367"/>
      <c r="H119" s="367"/>
      <c r="I119" s="367"/>
    </row>
    <row r="120" spans="1:10" ht="26.25" customHeight="1" x14ac:dyDescent="0.4">
      <c r="A120" s="378" t="s">
        <v>109</v>
      </c>
      <c r="B120" s="379" t="s">
        <v>125</v>
      </c>
      <c r="C120" s="560" t="str">
        <f>B20</f>
        <v>Loperamide</v>
      </c>
      <c r="D120" s="560"/>
      <c r="E120" s="367" t="s">
        <v>126</v>
      </c>
      <c r="F120" s="367"/>
      <c r="G120" s="476">
        <f>F115</f>
        <v>0.86255172474667485</v>
      </c>
      <c r="H120" s="367"/>
      <c r="I120" s="367"/>
    </row>
    <row r="121" spans="1:10" ht="19.5" customHeight="1" thickBot="1" x14ac:dyDescent="0.35">
      <c r="A121" s="525"/>
      <c r="B121" s="525"/>
      <c r="C121" s="526"/>
      <c r="D121" s="526"/>
      <c r="E121" s="526"/>
      <c r="F121" s="526"/>
      <c r="G121" s="526"/>
      <c r="H121" s="526"/>
    </row>
    <row r="122" spans="1:10" ht="18.75" x14ac:dyDescent="0.3">
      <c r="B122" s="579" t="s">
        <v>25</v>
      </c>
      <c r="C122" s="579"/>
      <c r="E122" s="479" t="s">
        <v>26</v>
      </c>
      <c r="F122" s="527"/>
      <c r="G122" s="579" t="s">
        <v>27</v>
      </c>
      <c r="H122" s="579"/>
    </row>
    <row r="123" spans="1:10" ht="69.95" customHeight="1" x14ac:dyDescent="0.3">
      <c r="A123" s="378" t="s">
        <v>28</v>
      </c>
      <c r="B123" s="528"/>
      <c r="C123" s="528"/>
      <c r="E123" s="528"/>
      <c r="F123" s="367"/>
      <c r="G123" s="528"/>
      <c r="H123" s="528"/>
    </row>
    <row r="124" spans="1:10" ht="69.95" customHeight="1" x14ac:dyDescent="0.3">
      <c r="A124" s="378" t="s">
        <v>29</v>
      </c>
      <c r="B124" s="529"/>
      <c r="C124" s="529"/>
      <c r="E124" s="529"/>
      <c r="F124" s="367"/>
      <c r="G124" s="530"/>
      <c r="H124" s="530"/>
    </row>
    <row r="125" spans="1:10" ht="18.75" x14ac:dyDescent="0.3">
      <c r="A125" s="425"/>
      <c r="B125" s="425"/>
      <c r="C125" s="425"/>
      <c r="D125" s="425"/>
      <c r="E125" s="425"/>
      <c r="F125" s="427"/>
      <c r="G125" s="425"/>
      <c r="H125" s="425"/>
      <c r="I125" s="367"/>
    </row>
    <row r="126" spans="1:10" ht="18.75" x14ac:dyDescent="0.3">
      <c r="A126" s="425"/>
      <c r="B126" s="425"/>
      <c r="C126" s="425"/>
      <c r="D126" s="425"/>
      <c r="E126" s="425"/>
      <c r="F126" s="427"/>
      <c r="G126" s="425"/>
      <c r="H126" s="425"/>
      <c r="I126" s="367"/>
    </row>
    <row r="127" spans="1:10" ht="18.75" x14ac:dyDescent="0.3">
      <c r="A127" s="425"/>
      <c r="B127" s="425"/>
      <c r="C127" s="425"/>
      <c r="D127" s="425"/>
      <c r="E127" s="425"/>
      <c r="F127" s="427"/>
      <c r="G127" s="425"/>
      <c r="H127" s="425"/>
      <c r="I127" s="367"/>
    </row>
    <row r="128" spans="1:10" ht="18.75" x14ac:dyDescent="0.3">
      <c r="A128" s="425"/>
      <c r="B128" s="425"/>
      <c r="C128" s="425"/>
      <c r="D128" s="425"/>
      <c r="E128" s="425"/>
      <c r="F128" s="427"/>
      <c r="G128" s="425"/>
      <c r="H128" s="425"/>
      <c r="I128" s="367"/>
    </row>
    <row r="129" spans="1:9" ht="18.75" x14ac:dyDescent="0.3">
      <c r="A129" s="425"/>
      <c r="B129" s="425"/>
      <c r="C129" s="425"/>
      <c r="D129" s="425"/>
      <c r="E129" s="425"/>
      <c r="F129" s="427"/>
      <c r="G129" s="425"/>
      <c r="H129" s="425"/>
      <c r="I129" s="367"/>
    </row>
    <row r="130" spans="1:9" ht="18.75" x14ac:dyDescent="0.3">
      <c r="A130" s="425"/>
      <c r="B130" s="425"/>
      <c r="C130" s="425"/>
      <c r="D130" s="425"/>
      <c r="E130" s="425"/>
      <c r="F130" s="427"/>
      <c r="G130" s="425"/>
      <c r="H130" s="425"/>
      <c r="I130" s="367"/>
    </row>
    <row r="131" spans="1:9" ht="18.75" x14ac:dyDescent="0.3">
      <c r="A131" s="425"/>
      <c r="B131" s="425"/>
      <c r="C131" s="425"/>
      <c r="D131" s="425"/>
      <c r="E131" s="425"/>
      <c r="F131" s="427"/>
      <c r="G131" s="425"/>
      <c r="H131" s="425"/>
      <c r="I131" s="367"/>
    </row>
    <row r="132" spans="1:9" ht="18.75" x14ac:dyDescent="0.3">
      <c r="A132" s="425"/>
      <c r="B132" s="425"/>
      <c r="C132" s="425"/>
      <c r="D132" s="425"/>
      <c r="E132" s="425"/>
      <c r="F132" s="427"/>
      <c r="G132" s="425"/>
      <c r="H132" s="425"/>
      <c r="I132" s="367"/>
    </row>
    <row r="133" spans="1:9" ht="18.75" x14ac:dyDescent="0.3">
      <c r="A133" s="425"/>
      <c r="B133" s="425"/>
      <c r="C133" s="425"/>
      <c r="D133" s="425"/>
      <c r="E133" s="425"/>
      <c r="F133" s="427"/>
      <c r="G133" s="425"/>
      <c r="H133" s="425"/>
      <c r="I133" s="367"/>
    </row>
    <row r="250" spans="1:1" x14ac:dyDescent="0.25">
      <c r="A250" s="366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topLeftCell="B144" zoomScale="60" zoomScaleNormal="75" workbookViewId="0">
      <selection activeCell="G45" sqref="G45"/>
    </sheetView>
  </sheetViews>
  <sheetFormatPr defaultRowHeight="16.5" x14ac:dyDescent="0.3"/>
  <cols>
    <col min="1" max="1" width="55.42578125" style="124" customWidth="1"/>
    <col min="2" max="2" width="33.7109375" style="124" customWidth="1"/>
    <col min="3" max="3" width="42.28515625" style="124" customWidth="1"/>
    <col min="4" max="4" width="30.5703125" style="124" customWidth="1"/>
    <col min="5" max="5" width="39.85546875" style="124" customWidth="1"/>
    <col min="6" max="6" width="30.7109375" style="124" customWidth="1"/>
    <col min="7" max="7" width="36.42578125" style="124" customWidth="1"/>
    <col min="8" max="8" width="41.140625" style="124" customWidth="1"/>
    <col min="9" max="9" width="30.42578125" style="123" customWidth="1"/>
    <col min="10" max="10" width="21.28515625" style="123" customWidth="1"/>
    <col min="11" max="11" width="9.140625" style="123" customWidth="1"/>
    <col min="12" max="16384" width="9.140625" style="125"/>
  </cols>
  <sheetData>
    <row r="1" spans="1:8" ht="15" x14ac:dyDescent="0.3">
      <c r="A1" s="606" t="s">
        <v>48</v>
      </c>
      <c r="B1" s="606"/>
      <c r="C1" s="606"/>
      <c r="D1" s="606"/>
      <c r="E1" s="606"/>
      <c r="F1" s="606"/>
      <c r="G1" s="606"/>
      <c r="H1" s="606"/>
    </row>
    <row r="2" spans="1:8" ht="15" x14ac:dyDescent="0.3">
      <c r="A2" s="606"/>
      <c r="B2" s="606"/>
      <c r="C2" s="606"/>
      <c r="D2" s="606"/>
      <c r="E2" s="606"/>
      <c r="F2" s="606"/>
      <c r="G2" s="606"/>
      <c r="H2" s="606"/>
    </row>
    <row r="3" spans="1:8" ht="15" x14ac:dyDescent="0.3">
      <c r="A3" s="606"/>
      <c r="B3" s="606"/>
      <c r="C3" s="606"/>
      <c r="D3" s="606"/>
      <c r="E3" s="606"/>
      <c r="F3" s="606"/>
      <c r="G3" s="606"/>
      <c r="H3" s="606"/>
    </row>
    <row r="4" spans="1:8" ht="15" x14ac:dyDescent="0.3">
      <c r="A4" s="606"/>
      <c r="B4" s="606"/>
      <c r="C4" s="606"/>
      <c r="D4" s="606"/>
      <c r="E4" s="606"/>
      <c r="F4" s="606"/>
      <c r="G4" s="606"/>
      <c r="H4" s="606"/>
    </row>
    <row r="5" spans="1:8" ht="15" x14ac:dyDescent="0.3">
      <c r="A5" s="606"/>
      <c r="B5" s="606"/>
      <c r="C5" s="606"/>
      <c r="D5" s="606"/>
      <c r="E5" s="606"/>
      <c r="F5" s="606"/>
      <c r="G5" s="606"/>
      <c r="H5" s="606"/>
    </row>
    <row r="6" spans="1:8" ht="15" x14ac:dyDescent="0.3">
      <c r="A6" s="606"/>
      <c r="B6" s="606"/>
      <c r="C6" s="606"/>
      <c r="D6" s="606"/>
      <c r="E6" s="606"/>
      <c r="F6" s="606"/>
      <c r="G6" s="606"/>
      <c r="H6" s="606"/>
    </row>
    <row r="7" spans="1:8" ht="15" x14ac:dyDescent="0.3">
      <c r="A7" s="606"/>
      <c r="B7" s="606"/>
      <c r="C7" s="606"/>
      <c r="D7" s="606"/>
      <c r="E7" s="606"/>
      <c r="F7" s="606"/>
      <c r="G7" s="606"/>
      <c r="H7" s="606"/>
    </row>
    <row r="8" spans="1:8" ht="15" x14ac:dyDescent="0.3">
      <c r="A8" s="607" t="s">
        <v>49</v>
      </c>
      <c r="B8" s="607"/>
      <c r="C8" s="607"/>
      <c r="D8" s="607"/>
      <c r="E8" s="607"/>
      <c r="F8" s="607"/>
      <c r="G8" s="607"/>
      <c r="H8" s="607"/>
    </row>
    <row r="9" spans="1:8" ht="15" x14ac:dyDescent="0.3">
      <c r="A9" s="607"/>
      <c r="B9" s="607"/>
      <c r="C9" s="607"/>
      <c r="D9" s="607"/>
      <c r="E9" s="607"/>
      <c r="F9" s="607"/>
      <c r="G9" s="607"/>
      <c r="H9" s="607"/>
    </row>
    <row r="10" spans="1:8" ht="15" x14ac:dyDescent="0.3">
      <c r="A10" s="607"/>
      <c r="B10" s="607"/>
      <c r="C10" s="607"/>
      <c r="D10" s="607"/>
      <c r="E10" s="607"/>
      <c r="F10" s="607"/>
      <c r="G10" s="607"/>
      <c r="H10" s="607"/>
    </row>
    <row r="11" spans="1:8" ht="15" x14ac:dyDescent="0.3">
      <c r="A11" s="607"/>
      <c r="B11" s="607"/>
      <c r="C11" s="607"/>
      <c r="D11" s="607"/>
      <c r="E11" s="607"/>
      <c r="F11" s="607"/>
      <c r="G11" s="607"/>
      <c r="H11" s="607"/>
    </row>
    <row r="12" spans="1:8" ht="15" x14ac:dyDescent="0.3">
      <c r="A12" s="607"/>
      <c r="B12" s="607"/>
      <c r="C12" s="607"/>
      <c r="D12" s="607"/>
      <c r="E12" s="607"/>
      <c r="F12" s="607"/>
      <c r="G12" s="607"/>
      <c r="H12" s="607"/>
    </row>
    <row r="13" spans="1:8" ht="15" x14ac:dyDescent="0.3">
      <c r="A13" s="607"/>
      <c r="B13" s="607"/>
      <c r="C13" s="607"/>
      <c r="D13" s="607"/>
      <c r="E13" s="607"/>
      <c r="F13" s="607"/>
      <c r="G13" s="607"/>
      <c r="H13" s="607"/>
    </row>
    <row r="14" spans="1:8" ht="15" x14ac:dyDescent="0.3">
      <c r="A14" s="607"/>
      <c r="B14" s="607"/>
      <c r="C14" s="607"/>
      <c r="D14" s="607"/>
      <c r="E14" s="607"/>
      <c r="F14" s="607"/>
      <c r="G14" s="607"/>
      <c r="H14" s="607"/>
    </row>
    <row r="15" spans="1:8" ht="19.5" customHeight="1" thickBot="1" x14ac:dyDescent="0.35"/>
    <row r="16" spans="1:8" ht="19.5" customHeight="1" thickBot="1" x14ac:dyDescent="0.35">
      <c r="A16" s="608" t="s">
        <v>30</v>
      </c>
      <c r="B16" s="609"/>
      <c r="C16" s="609"/>
      <c r="D16" s="609"/>
      <c r="E16" s="609"/>
      <c r="F16" s="609"/>
      <c r="G16" s="609"/>
      <c r="H16" s="610"/>
    </row>
    <row r="17" spans="1:13" ht="20.25" customHeight="1" x14ac:dyDescent="0.3">
      <c r="A17" s="611" t="s">
        <v>50</v>
      </c>
      <c r="B17" s="611"/>
      <c r="C17" s="611"/>
      <c r="D17" s="611"/>
      <c r="E17" s="611"/>
      <c r="F17" s="611"/>
      <c r="G17" s="611"/>
      <c r="H17" s="611"/>
    </row>
    <row r="18" spans="1:13" ht="26.25" customHeight="1" x14ac:dyDescent="0.4">
      <c r="A18" s="126" t="s">
        <v>32</v>
      </c>
      <c r="B18" s="550" t="s">
        <v>5</v>
      </c>
      <c r="C18" s="550"/>
      <c r="D18" s="127"/>
      <c r="E18" s="127"/>
    </row>
    <row r="19" spans="1:13" ht="26.25" customHeight="1" x14ac:dyDescent="0.4">
      <c r="A19" s="126" t="s">
        <v>33</v>
      </c>
      <c r="B19" s="128" t="s">
        <v>7</v>
      </c>
      <c r="C19" s="129">
        <v>11</v>
      </c>
    </row>
    <row r="20" spans="1:13" ht="26.25" customHeight="1" x14ac:dyDescent="0.4">
      <c r="A20" s="126" t="s">
        <v>34</v>
      </c>
      <c r="B20" s="551" t="s">
        <v>9</v>
      </c>
      <c r="C20" s="551"/>
    </row>
    <row r="21" spans="1:13" ht="26.25" customHeight="1" x14ac:dyDescent="0.4">
      <c r="A21" s="126" t="s">
        <v>35</v>
      </c>
      <c r="B21" s="551" t="s">
        <v>11</v>
      </c>
      <c r="C21" s="551"/>
      <c r="D21" s="551"/>
      <c r="E21" s="551"/>
      <c r="F21" s="551"/>
      <c r="G21" s="551"/>
      <c r="H21" s="551"/>
    </row>
    <row r="22" spans="1:13" ht="26.25" customHeight="1" x14ac:dyDescent="0.3">
      <c r="A22" s="126" t="s">
        <v>36</v>
      </c>
      <c r="B22" s="130">
        <v>42577</v>
      </c>
    </row>
    <row r="23" spans="1:13" ht="26.25" customHeight="1" x14ac:dyDescent="0.3">
      <c r="A23" s="126" t="s">
        <v>37</v>
      </c>
      <c r="B23" s="130">
        <v>42578</v>
      </c>
    </row>
    <row r="24" spans="1:13" ht="18.75" x14ac:dyDescent="0.3">
      <c r="A24" s="126"/>
      <c r="B24" s="131"/>
    </row>
    <row r="25" spans="1:13" ht="18.75" x14ac:dyDescent="0.3">
      <c r="A25" s="132" t="s">
        <v>1</v>
      </c>
      <c r="B25" s="131"/>
    </row>
    <row r="26" spans="1:13" ht="26.25" customHeight="1" x14ac:dyDescent="0.3">
      <c r="A26" s="133" t="s">
        <v>4</v>
      </c>
      <c r="B26" s="600" t="s">
        <v>141</v>
      </c>
      <c r="C26" s="600"/>
    </row>
    <row r="27" spans="1:13" ht="26.25" customHeight="1" x14ac:dyDescent="0.3">
      <c r="A27" s="134" t="s">
        <v>51</v>
      </c>
      <c r="B27" s="601" t="s">
        <v>142</v>
      </c>
      <c r="C27" s="601"/>
    </row>
    <row r="28" spans="1:13" ht="27" customHeight="1" thickBot="1" x14ac:dyDescent="0.35">
      <c r="A28" s="134" t="s">
        <v>6</v>
      </c>
      <c r="B28" s="135">
        <v>99.89</v>
      </c>
    </row>
    <row r="29" spans="1:13" s="139" customFormat="1" ht="15.75" customHeight="1" thickBot="1" x14ac:dyDescent="0.3">
      <c r="A29" s="134" t="s">
        <v>52</v>
      </c>
      <c r="B29" s="136">
        <v>0</v>
      </c>
      <c r="C29" s="586" t="s">
        <v>127</v>
      </c>
      <c r="D29" s="587"/>
      <c r="E29" s="587"/>
      <c r="F29" s="587"/>
      <c r="G29" s="588"/>
      <c r="H29" s="137"/>
      <c r="I29" s="138"/>
      <c r="J29" s="138"/>
      <c r="K29" s="138"/>
    </row>
    <row r="30" spans="1:13" s="139" customFormat="1" ht="19.5" customHeight="1" thickBot="1" x14ac:dyDescent="0.3">
      <c r="A30" s="134" t="s">
        <v>54</v>
      </c>
      <c r="B30" s="140">
        <f>B28-B29</f>
        <v>99.89</v>
      </c>
      <c r="C30" s="141"/>
      <c r="D30" s="141"/>
      <c r="E30" s="141"/>
      <c r="F30" s="141"/>
      <c r="G30" s="142"/>
      <c r="H30" s="137"/>
      <c r="I30" s="138"/>
      <c r="J30" s="138"/>
      <c r="K30" s="138"/>
    </row>
    <row r="31" spans="1:13" s="139" customFormat="1" ht="27" customHeight="1" thickBot="1" x14ac:dyDescent="0.3">
      <c r="A31" s="134" t="s">
        <v>55</v>
      </c>
      <c r="B31" s="143">
        <v>1</v>
      </c>
      <c r="C31" s="589" t="s">
        <v>56</v>
      </c>
      <c r="D31" s="590"/>
      <c r="E31" s="590"/>
      <c r="F31" s="590"/>
      <c r="G31" s="590"/>
      <c r="H31" s="591"/>
      <c r="I31" s="138"/>
      <c r="J31" s="138"/>
      <c r="K31" s="138"/>
    </row>
    <row r="32" spans="1:13" s="139" customFormat="1" ht="27" customHeight="1" thickBot="1" x14ac:dyDescent="0.3">
      <c r="A32" s="134" t="s">
        <v>57</v>
      </c>
      <c r="B32" s="143">
        <v>1</v>
      </c>
      <c r="C32" s="589" t="s">
        <v>58</v>
      </c>
      <c r="D32" s="590"/>
      <c r="E32" s="590"/>
      <c r="F32" s="590"/>
      <c r="G32" s="590"/>
      <c r="H32" s="591"/>
      <c r="I32" s="138"/>
      <c r="J32" s="138"/>
      <c r="K32" s="144"/>
      <c r="L32" s="144"/>
      <c r="M32" s="145"/>
    </row>
    <row r="33" spans="1:13" s="139" customFormat="1" ht="17.25" customHeight="1" x14ac:dyDescent="0.25">
      <c r="A33" s="134"/>
      <c r="B33" s="146"/>
      <c r="C33" s="147"/>
      <c r="D33" s="147"/>
      <c r="E33" s="147"/>
      <c r="F33" s="147"/>
      <c r="G33" s="147"/>
      <c r="H33" s="147"/>
      <c r="I33" s="138"/>
      <c r="J33" s="138"/>
      <c r="K33" s="144"/>
      <c r="L33" s="144"/>
      <c r="M33" s="145"/>
    </row>
    <row r="34" spans="1:13" s="139" customFormat="1" ht="18.75" x14ac:dyDescent="0.25">
      <c r="A34" s="134" t="s">
        <v>59</v>
      </c>
      <c r="B34" s="148">
        <f>B31/B32</f>
        <v>1</v>
      </c>
      <c r="C34" s="129" t="s">
        <v>60</v>
      </c>
      <c r="D34" s="129"/>
      <c r="E34" s="129"/>
      <c r="F34" s="129"/>
      <c r="G34" s="129"/>
      <c r="H34" s="137"/>
      <c r="I34" s="138"/>
      <c r="J34" s="138"/>
      <c r="K34" s="144"/>
      <c r="L34" s="144"/>
      <c r="M34" s="145"/>
    </row>
    <row r="35" spans="1:13" s="139" customFormat="1" ht="19.5" customHeight="1" thickBot="1" x14ac:dyDescent="0.3">
      <c r="A35" s="134"/>
      <c r="B35" s="140"/>
      <c r="C35" s="137"/>
      <c r="D35" s="137"/>
      <c r="E35" s="137"/>
      <c r="F35" s="137"/>
      <c r="G35" s="129"/>
      <c r="H35" s="137"/>
      <c r="I35" s="138"/>
      <c r="J35" s="138"/>
      <c r="K35" s="144"/>
      <c r="L35" s="144"/>
      <c r="M35" s="145"/>
    </row>
    <row r="36" spans="1:13" s="139" customFormat="1" ht="27" customHeight="1" thickBot="1" x14ac:dyDescent="0.3">
      <c r="A36" s="149" t="s">
        <v>128</v>
      </c>
      <c r="B36" s="150">
        <v>100</v>
      </c>
      <c r="C36" s="129"/>
      <c r="D36" s="602" t="s">
        <v>62</v>
      </c>
      <c r="E36" s="605"/>
      <c r="F36" s="602" t="s">
        <v>63</v>
      </c>
      <c r="G36" s="603"/>
      <c r="H36" s="137"/>
      <c r="I36" s="138"/>
      <c r="J36" s="138"/>
      <c r="K36" s="144"/>
      <c r="L36" s="144"/>
      <c r="M36" s="145"/>
    </row>
    <row r="37" spans="1:13" s="139" customFormat="1" ht="26.25" customHeight="1" x14ac:dyDescent="0.25">
      <c r="A37" s="151" t="s">
        <v>64</v>
      </c>
      <c r="B37" s="152">
        <v>5</v>
      </c>
      <c r="C37" s="153" t="s">
        <v>65</v>
      </c>
      <c r="D37" s="154" t="s">
        <v>66</v>
      </c>
      <c r="E37" s="155" t="s">
        <v>67</v>
      </c>
      <c r="F37" s="154" t="s">
        <v>66</v>
      </c>
      <c r="G37" s="156" t="s">
        <v>67</v>
      </c>
      <c r="H37" s="137"/>
      <c r="I37" s="138"/>
      <c r="J37" s="138"/>
      <c r="K37" s="144"/>
      <c r="L37" s="144"/>
      <c r="M37" s="145"/>
    </row>
    <row r="38" spans="1:13" s="139" customFormat="1" ht="26.25" customHeight="1" x14ac:dyDescent="0.25">
      <c r="A38" s="151" t="s">
        <v>69</v>
      </c>
      <c r="B38" s="152">
        <v>100</v>
      </c>
      <c r="C38" s="157">
        <v>1</v>
      </c>
      <c r="D38" s="158">
        <v>4469901</v>
      </c>
      <c r="E38" s="159">
        <f>IF(ISBLANK(D38),"-",$D$48/$D$45*D38)</f>
        <v>4465891.5225910181</v>
      </c>
      <c r="F38" s="158">
        <v>5047597</v>
      </c>
      <c r="G38" s="160">
        <f>IF(ISBLANK(F38),"-",$D$48/$F$45*F38)</f>
        <v>4413236.2192297997</v>
      </c>
      <c r="H38" s="137"/>
      <c r="I38" s="138"/>
      <c r="J38" s="138"/>
      <c r="K38" s="144"/>
      <c r="L38" s="144"/>
      <c r="M38" s="145"/>
    </row>
    <row r="39" spans="1:13" s="139" customFormat="1" ht="26.25" customHeight="1" x14ac:dyDescent="0.25">
      <c r="A39" s="151" t="s">
        <v>70</v>
      </c>
      <c r="B39" s="152">
        <v>1</v>
      </c>
      <c r="C39" s="161">
        <v>2</v>
      </c>
      <c r="D39" s="162">
        <v>4475384</v>
      </c>
      <c r="E39" s="163">
        <f>IF(ISBLANK(D39),"-",$D$48/$D$45*D39)</f>
        <v>4471369.604369198</v>
      </c>
      <c r="F39" s="162">
        <v>5041030</v>
      </c>
      <c r="G39" s="164">
        <f>IF(ISBLANK(F39),"-",$D$48/$F$45*F39)</f>
        <v>4407494.5321950223</v>
      </c>
      <c r="H39" s="137"/>
      <c r="I39" s="138"/>
      <c r="J39" s="138"/>
      <c r="K39" s="144"/>
      <c r="L39" s="144"/>
      <c r="M39" s="145"/>
    </row>
    <row r="40" spans="1:13" ht="26.25" customHeight="1" x14ac:dyDescent="0.3">
      <c r="A40" s="151" t="s">
        <v>71</v>
      </c>
      <c r="B40" s="152">
        <v>1</v>
      </c>
      <c r="C40" s="161">
        <v>3</v>
      </c>
      <c r="D40" s="162">
        <v>4462045</v>
      </c>
      <c r="E40" s="163">
        <f>IF(ISBLANK(D40),"-",$D$48/$D$45*D40)</f>
        <v>4458042.56938121</v>
      </c>
      <c r="F40" s="162">
        <v>5031372</v>
      </c>
      <c r="G40" s="164">
        <f>IF(ISBLANK(F40),"-",$D$48/$F$45*F40)</f>
        <v>4399050.3090517474</v>
      </c>
      <c r="K40" s="144"/>
      <c r="L40" s="144"/>
      <c r="M40" s="165"/>
    </row>
    <row r="41" spans="1:13" ht="26.25" customHeight="1" x14ac:dyDescent="0.3">
      <c r="A41" s="151" t="s">
        <v>72</v>
      </c>
      <c r="B41" s="152">
        <v>1</v>
      </c>
      <c r="C41" s="166">
        <v>4</v>
      </c>
      <c r="D41" s="167"/>
      <c r="E41" s="168" t="str">
        <f>IF(ISBLANK(D41),"-",$D$48/$D$45*D41)</f>
        <v>-</v>
      </c>
      <c r="F41" s="167"/>
      <c r="G41" s="169" t="str">
        <f>IF(ISBLANK(F41),"-",$D$48/$F$45*F41)</f>
        <v>-</v>
      </c>
      <c r="K41" s="144"/>
      <c r="L41" s="144"/>
      <c r="M41" s="165"/>
    </row>
    <row r="42" spans="1:13" ht="27" customHeight="1" thickBot="1" x14ac:dyDescent="0.35">
      <c r="A42" s="151" t="s">
        <v>73</v>
      </c>
      <c r="B42" s="152">
        <v>1</v>
      </c>
      <c r="C42" s="134" t="s">
        <v>74</v>
      </c>
      <c r="D42" s="170">
        <f>AVERAGE(D38:D41)</f>
        <v>4469110</v>
      </c>
      <c r="E42" s="171">
        <f>AVERAGE(E38:E41)</f>
        <v>4465101.2321138084</v>
      </c>
      <c r="F42" s="172">
        <f>AVERAGE(F38:F41)</f>
        <v>5039999.666666667</v>
      </c>
      <c r="G42" s="173">
        <f>AVERAGE(G38:G41)</f>
        <v>4406593.6868255241</v>
      </c>
      <c r="H42" s="174"/>
    </row>
    <row r="43" spans="1:13" ht="26.25" customHeight="1" x14ac:dyDescent="0.3">
      <c r="A43" s="151" t="s">
        <v>75</v>
      </c>
      <c r="B43" s="152">
        <v>1</v>
      </c>
      <c r="C43" s="175" t="s">
        <v>76</v>
      </c>
      <c r="D43" s="176">
        <v>20.04</v>
      </c>
      <c r="E43" s="129"/>
      <c r="F43" s="177">
        <v>22.9</v>
      </c>
      <c r="H43" s="174"/>
    </row>
    <row r="44" spans="1:13" ht="26.25" customHeight="1" x14ac:dyDescent="0.3">
      <c r="A44" s="151" t="s">
        <v>77</v>
      </c>
      <c r="B44" s="152">
        <v>1</v>
      </c>
      <c r="C44" s="178" t="s">
        <v>78</v>
      </c>
      <c r="D44" s="179">
        <f>D43*$B$34</f>
        <v>20.04</v>
      </c>
      <c r="E44" s="161"/>
      <c r="F44" s="180">
        <f>F43*$B$34</f>
        <v>22.9</v>
      </c>
      <c r="H44" s="174"/>
    </row>
    <row r="45" spans="1:13" ht="19.5" customHeight="1" thickBot="1" x14ac:dyDescent="0.35">
      <c r="A45" s="151" t="s">
        <v>79</v>
      </c>
      <c r="B45" s="181">
        <f>(B44/B43)*(B42/B41)*(B40/B39)*(B38/B37)*B36</f>
        <v>2000</v>
      </c>
      <c r="C45" s="178" t="s">
        <v>80</v>
      </c>
      <c r="D45" s="182">
        <f>D44*$B$30/100</f>
        <v>20.017955999999998</v>
      </c>
      <c r="E45" s="183"/>
      <c r="F45" s="184">
        <f>F44*$B$30/100</f>
        <v>22.874809999999997</v>
      </c>
      <c r="H45" s="174"/>
    </row>
    <row r="46" spans="1:13" ht="19.5" customHeight="1" thickBot="1" x14ac:dyDescent="0.35">
      <c r="A46" s="580" t="s">
        <v>81</v>
      </c>
      <c r="B46" s="581"/>
      <c r="C46" s="178" t="s">
        <v>82</v>
      </c>
      <c r="D46" s="179">
        <f>D45/$B$45</f>
        <v>1.0008977999999998E-2</v>
      </c>
      <c r="E46" s="183"/>
      <c r="F46" s="185">
        <f>F45/$B$45</f>
        <v>1.1437404999999998E-2</v>
      </c>
      <c r="H46" s="174"/>
    </row>
    <row r="47" spans="1:13" ht="27" customHeight="1" thickBot="1" x14ac:dyDescent="0.35">
      <c r="A47" s="582"/>
      <c r="B47" s="583"/>
      <c r="C47" s="186" t="s">
        <v>129</v>
      </c>
      <c r="D47" s="187">
        <v>0.01</v>
      </c>
      <c r="F47" s="188"/>
      <c r="H47" s="174"/>
    </row>
    <row r="48" spans="1:13" ht="18.75" x14ac:dyDescent="0.3">
      <c r="C48" s="189" t="s">
        <v>84</v>
      </c>
      <c r="D48" s="182">
        <f>D47*$B$45</f>
        <v>20</v>
      </c>
      <c r="F48" s="188"/>
      <c r="H48" s="174"/>
    </row>
    <row r="49" spans="1:11" ht="19.5" customHeight="1" thickBot="1" x14ac:dyDescent="0.35">
      <c r="C49" s="190" t="s">
        <v>85</v>
      </c>
      <c r="D49" s="191">
        <f>D48/B34</f>
        <v>20</v>
      </c>
      <c r="F49" s="163"/>
      <c r="H49" s="174"/>
    </row>
    <row r="50" spans="1:11" ht="18.75" x14ac:dyDescent="0.3">
      <c r="C50" s="192" t="s">
        <v>86</v>
      </c>
      <c r="D50" s="193">
        <f>AVERAGE(E38:E41,G38:G41)</f>
        <v>4435847.4594696658</v>
      </c>
      <c r="F50" s="163"/>
      <c r="H50" s="174"/>
    </row>
    <row r="51" spans="1:11" ht="18.75" x14ac:dyDescent="0.3">
      <c r="C51" s="194" t="s">
        <v>87</v>
      </c>
      <c r="D51" s="195">
        <f>STDEV(E38:E41,G38:G41)/D50</f>
        <v>7.3578397434901095E-3</v>
      </c>
      <c r="F51" s="163"/>
    </row>
    <row r="52" spans="1:11" ht="19.5" customHeight="1" thickBot="1" x14ac:dyDescent="0.35">
      <c r="C52" s="196" t="s">
        <v>20</v>
      </c>
      <c r="D52" s="197">
        <f>COUNT(E38:E41,G38:G41)</f>
        <v>6</v>
      </c>
      <c r="F52" s="163"/>
    </row>
    <row r="54" spans="1:11" ht="18.75" x14ac:dyDescent="0.3">
      <c r="A54" s="198" t="s">
        <v>1</v>
      </c>
      <c r="B54" s="199" t="s">
        <v>88</v>
      </c>
    </row>
    <row r="55" spans="1:11" ht="18.75" x14ac:dyDescent="0.3">
      <c r="A55" s="129" t="s">
        <v>89</v>
      </c>
      <c r="B55" s="200" t="str">
        <f>B21</f>
        <v>Each capsule contains Laperamide hydrochloride USP 2 mg</v>
      </c>
    </row>
    <row r="56" spans="1:11" ht="26.25" customHeight="1" x14ac:dyDescent="0.3">
      <c r="A56" s="200" t="s">
        <v>138</v>
      </c>
      <c r="B56" s="135">
        <v>2</v>
      </c>
      <c r="C56" s="129" t="str">
        <f>B20</f>
        <v>Loperamide</v>
      </c>
      <c r="H56" s="161"/>
    </row>
    <row r="57" spans="1:11" ht="18.75" x14ac:dyDescent="0.3">
      <c r="A57" s="200" t="s">
        <v>139</v>
      </c>
      <c r="B57" s="201">
        <f>Uniformity!D43</f>
        <v>153.03450000000001</v>
      </c>
      <c r="H57" s="161"/>
    </row>
    <row r="58" spans="1:11" ht="19.5" customHeight="1" thickBot="1" x14ac:dyDescent="0.35">
      <c r="H58" s="161"/>
    </row>
    <row r="59" spans="1:11" s="139" customFormat="1" ht="27" customHeight="1" thickBot="1" x14ac:dyDescent="0.3">
      <c r="A59" s="149" t="s">
        <v>130</v>
      </c>
      <c r="B59" s="150">
        <v>50</v>
      </c>
      <c r="C59" s="129"/>
      <c r="D59" s="202" t="s">
        <v>93</v>
      </c>
      <c r="E59" s="203" t="s">
        <v>65</v>
      </c>
      <c r="F59" s="203" t="s">
        <v>66</v>
      </c>
      <c r="G59" s="203" t="s">
        <v>94</v>
      </c>
      <c r="H59" s="204" t="s">
        <v>95</v>
      </c>
      <c r="K59" s="138"/>
    </row>
    <row r="60" spans="1:11" s="139" customFormat="1" ht="26.25" customHeight="1" x14ac:dyDescent="0.25">
      <c r="A60" s="151" t="s">
        <v>124</v>
      </c>
      <c r="B60" s="152">
        <v>5</v>
      </c>
      <c r="C60" s="585" t="s">
        <v>97</v>
      </c>
      <c r="D60" s="597">
        <v>762.33</v>
      </c>
      <c r="E60" s="205">
        <v>1</v>
      </c>
      <c r="F60" s="206">
        <v>4191830</v>
      </c>
      <c r="G60" s="207">
        <f>IF(ISBLANK(F60),"-",(F60/$D$50*$D$47*$B$68)*($B$57/$D$60))</f>
        <v>1.8970264941136465</v>
      </c>
      <c r="H60" s="208">
        <f t="shared" ref="H60:H71" si="0">IF(ISBLANK(F60),"-",G60/$B$56)</f>
        <v>0.94851324705682327</v>
      </c>
      <c r="K60" s="138"/>
    </row>
    <row r="61" spans="1:11" s="139" customFormat="1" ht="26.25" customHeight="1" x14ac:dyDescent="0.25">
      <c r="A61" s="151" t="s">
        <v>98</v>
      </c>
      <c r="B61" s="152">
        <v>100</v>
      </c>
      <c r="C61" s="584"/>
      <c r="D61" s="598"/>
      <c r="E61" s="209">
        <v>2</v>
      </c>
      <c r="F61" s="210">
        <v>4226347</v>
      </c>
      <c r="G61" s="211">
        <f>IF(ISBLANK(F61),"-",(F61/$D$50*$D$47*$B$68)*($B$57/$D$60))</f>
        <v>1.9126472763250726</v>
      </c>
      <c r="H61" s="212">
        <f t="shared" si="0"/>
        <v>0.95632363816253629</v>
      </c>
      <c r="K61" s="138"/>
    </row>
    <row r="62" spans="1:11" s="139" customFormat="1" ht="26.25" customHeight="1" x14ac:dyDescent="0.25">
      <c r="A62" s="151" t="s">
        <v>99</v>
      </c>
      <c r="B62" s="152">
        <v>1</v>
      </c>
      <c r="C62" s="584"/>
      <c r="D62" s="598"/>
      <c r="E62" s="209">
        <v>3</v>
      </c>
      <c r="F62" s="210">
        <v>4213676</v>
      </c>
      <c r="G62" s="211">
        <f>IF(ISBLANK(F62),"-",(F62/$D$50*$D$47*$B$68)*($B$57/$D$60))</f>
        <v>1.9069129734771719</v>
      </c>
      <c r="H62" s="212">
        <f t="shared" si="0"/>
        <v>0.95345648673858596</v>
      </c>
      <c r="K62" s="138"/>
    </row>
    <row r="63" spans="1:11" ht="27" customHeight="1" thickBot="1" x14ac:dyDescent="0.35">
      <c r="A63" s="151" t="s">
        <v>100</v>
      </c>
      <c r="B63" s="152">
        <v>1</v>
      </c>
      <c r="C63" s="604"/>
      <c r="D63" s="599"/>
      <c r="E63" s="213">
        <v>4</v>
      </c>
      <c r="F63" s="214"/>
      <c r="G63" s="211" t="str">
        <f>IF(ISBLANK(F63),"-",(F63/$D$50*$D$47*$B$68)*($B$57/$D$60))</f>
        <v>-</v>
      </c>
      <c r="H63" s="212" t="str">
        <f t="shared" si="0"/>
        <v>-</v>
      </c>
    </row>
    <row r="64" spans="1:11" ht="26.25" customHeight="1" x14ac:dyDescent="0.3">
      <c r="A64" s="151" t="s">
        <v>101</v>
      </c>
      <c r="B64" s="152">
        <v>1</v>
      </c>
      <c r="C64" s="585" t="s">
        <v>102</v>
      </c>
      <c r="D64" s="597">
        <v>756.34</v>
      </c>
      <c r="E64" s="205">
        <v>1</v>
      </c>
      <c r="F64" s="206">
        <v>4198681</v>
      </c>
      <c r="G64" s="215">
        <f>IF(ISBLANK(F64),"-",(F64/$D$50*$D$47*$B$68)*($B$57/$D$64))</f>
        <v>1.9151754074921312</v>
      </c>
      <c r="H64" s="216">
        <f t="shared" si="0"/>
        <v>0.95758770374606561</v>
      </c>
    </row>
    <row r="65" spans="1:8" ht="26.25" customHeight="1" x14ac:dyDescent="0.3">
      <c r="A65" s="151" t="s">
        <v>103</v>
      </c>
      <c r="B65" s="152">
        <v>1</v>
      </c>
      <c r="C65" s="584"/>
      <c r="D65" s="598"/>
      <c r="E65" s="209">
        <v>2</v>
      </c>
      <c r="F65" s="210">
        <v>4192204</v>
      </c>
      <c r="G65" s="217">
        <f>IF(ISBLANK(F65),"-",(F65/$D$50*$D$47*$B$68)*($B$57/$D$64))</f>
        <v>1.91222100559441</v>
      </c>
      <c r="H65" s="218">
        <f t="shared" si="0"/>
        <v>0.956110502797205</v>
      </c>
    </row>
    <row r="66" spans="1:8" ht="26.25" customHeight="1" x14ac:dyDescent="0.3">
      <c r="A66" s="151" t="s">
        <v>104</v>
      </c>
      <c r="B66" s="152">
        <v>1</v>
      </c>
      <c r="C66" s="584"/>
      <c r="D66" s="598"/>
      <c r="E66" s="209">
        <v>3</v>
      </c>
      <c r="F66" s="210">
        <v>4196737</v>
      </c>
      <c r="G66" s="217">
        <f>IF(ISBLANK(F66),"-",(F66/$D$50*$D$47*$B$68)*($B$57/$D$64))</f>
        <v>1.9142886763991607</v>
      </c>
      <c r="H66" s="218">
        <f t="shared" si="0"/>
        <v>0.95714433819958034</v>
      </c>
    </row>
    <row r="67" spans="1:8" ht="27" customHeight="1" thickBot="1" x14ac:dyDescent="0.35">
      <c r="A67" s="151" t="s">
        <v>105</v>
      </c>
      <c r="B67" s="152">
        <v>1</v>
      </c>
      <c r="C67" s="604"/>
      <c r="D67" s="599"/>
      <c r="E67" s="213">
        <v>4</v>
      </c>
      <c r="F67" s="214"/>
      <c r="G67" s="219" t="str">
        <f>IF(ISBLANK(F67),"-",(F67/$D$50*$D$47*$B$68)*($B$57/$D$64))</f>
        <v>-</v>
      </c>
      <c r="H67" s="220" t="str">
        <f t="shared" si="0"/>
        <v>-</v>
      </c>
    </row>
    <row r="68" spans="1:8" ht="21.75" customHeight="1" x14ac:dyDescent="0.3">
      <c r="A68" s="151" t="s">
        <v>106</v>
      </c>
      <c r="B68" s="181">
        <f>(B67/B66)*(B65/B64)*(B63/B62)*(B61/B60)*B59</f>
        <v>1000</v>
      </c>
      <c r="C68" s="585" t="s">
        <v>107</v>
      </c>
      <c r="D68" s="597">
        <v>767.31</v>
      </c>
      <c r="E68" s="205">
        <v>1</v>
      </c>
      <c r="F68" s="206">
        <v>4333302</v>
      </c>
      <c r="G68" s="215">
        <f>IF(ISBLANK(F68),"-",(F68/$D$50*$D$47*$B$68)*($B$57/$D$68))</f>
        <v>1.9483224950821882</v>
      </c>
      <c r="H68" s="212">
        <f t="shared" si="0"/>
        <v>0.97416124754109412</v>
      </c>
    </row>
    <row r="69" spans="1:8" ht="21.75" customHeight="1" thickBot="1" x14ac:dyDescent="0.35">
      <c r="A69" s="221" t="s">
        <v>131</v>
      </c>
      <c r="B69" s="222">
        <f>D47*B68/B56*B57</f>
        <v>765.17250000000001</v>
      </c>
      <c r="C69" s="584"/>
      <c r="D69" s="598"/>
      <c r="E69" s="209">
        <v>2</v>
      </c>
      <c r="F69" s="210">
        <v>4328411</v>
      </c>
      <c r="G69" s="217">
        <f>IF(ISBLANK(F69),"-",(F69/$D$50*$D$47*$B$68)*($B$57/$D$68))</f>
        <v>1.946123422568099</v>
      </c>
      <c r="H69" s="212">
        <f t="shared" si="0"/>
        <v>0.9730617112840495</v>
      </c>
    </row>
    <row r="70" spans="1:8" ht="22.5" customHeight="1" x14ac:dyDescent="0.3">
      <c r="A70" s="580" t="s">
        <v>81</v>
      </c>
      <c r="B70" s="581"/>
      <c r="C70" s="584"/>
      <c r="D70" s="598"/>
      <c r="E70" s="209">
        <v>3</v>
      </c>
      <c r="F70" s="210">
        <v>4328593</v>
      </c>
      <c r="G70" s="217">
        <f>IF(ISBLANK(F70),"-",(F70/$D$50*$D$47*$B$68)*($B$57/$D$68))</f>
        <v>1.9462052527045877</v>
      </c>
      <c r="H70" s="212">
        <f t="shared" si="0"/>
        <v>0.97310262635229383</v>
      </c>
    </row>
    <row r="71" spans="1:8" ht="21.75" customHeight="1" thickBot="1" x14ac:dyDescent="0.35">
      <c r="A71" s="582"/>
      <c r="B71" s="583"/>
      <c r="C71" s="596"/>
      <c r="D71" s="599"/>
      <c r="E71" s="213">
        <v>4</v>
      </c>
      <c r="F71" s="214"/>
      <c r="G71" s="219" t="str">
        <f>IF(ISBLANK(F71),"-",(F71/$D$50*$D$47*$B$68)*($B$57/$D$68))</f>
        <v>-</v>
      </c>
      <c r="H71" s="223" t="str">
        <f t="shared" si="0"/>
        <v>-</v>
      </c>
    </row>
    <row r="72" spans="1:8" ht="26.25" customHeight="1" x14ac:dyDescent="0.3">
      <c r="A72" s="161"/>
      <c r="B72" s="161"/>
      <c r="C72" s="161"/>
      <c r="D72" s="161"/>
      <c r="E72" s="161"/>
      <c r="F72" s="161"/>
      <c r="G72" s="224" t="s">
        <v>74</v>
      </c>
      <c r="H72" s="225">
        <f>AVERAGE(H60:H71)</f>
        <v>0.96105127798647039</v>
      </c>
    </row>
    <row r="73" spans="1:8" ht="26.25" customHeight="1" x14ac:dyDescent="0.3">
      <c r="C73" s="161"/>
      <c r="D73" s="161"/>
      <c r="E73" s="161"/>
      <c r="F73" s="161"/>
      <c r="G73" s="194" t="s">
        <v>87</v>
      </c>
      <c r="H73" s="226">
        <f>STDEV(H60:H71)/H72</f>
        <v>1.0076622564057086E-2</v>
      </c>
    </row>
    <row r="74" spans="1:8" ht="27" customHeight="1" thickBot="1" x14ac:dyDescent="0.35">
      <c r="A74" s="161"/>
      <c r="B74" s="161"/>
      <c r="C74" s="161"/>
      <c r="D74" s="161"/>
      <c r="E74" s="183"/>
      <c r="F74" s="161"/>
      <c r="G74" s="196" t="s">
        <v>20</v>
      </c>
      <c r="H74" s="227">
        <f>COUNT(H60:H71)</f>
        <v>9</v>
      </c>
    </row>
    <row r="75" spans="1:8" ht="18.75" x14ac:dyDescent="0.3">
      <c r="A75" s="161"/>
      <c r="B75" s="161"/>
      <c r="C75" s="161"/>
      <c r="D75" s="161"/>
      <c r="E75" s="183"/>
      <c r="F75" s="161"/>
      <c r="G75" s="134"/>
      <c r="H75" s="140"/>
    </row>
    <row r="76" spans="1:8" ht="26.25" customHeight="1" x14ac:dyDescent="0.3">
      <c r="A76" s="133" t="s">
        <v>132</v>
      </c>
      <c r="B76" s="134" t="s">
        <v>110</v>
      </c>
      <c r="C76" s="584" t="str">
        <f>B20</f>
        <v>Loperamide</v>
      </c>
      <c r="D76" s="584"/>
      <c r="E76" s="129" t="s">
        <v>111</v>
      </c>
      <c r="F76" s="129"/>
      <c r="G76" s="228">
        <f>H72</f>
        <v>0.96105127798647039</v>
      </c>
      <c r="H76" s="140"/>
    </row>
    <row r="77" spans="1:8" ht="18.75" x14ac:dyDescent="0.3">
      <c r="A77" s="132" t="s">
        <v>112</v>
      </c>
      <c r="B77" s="132" t="s">
        <v>113</v>
      </c>
    </row>
    <row r="78" spans="1:8" ht="18.75" x14ac:dyDescent="0.3">
      <c r="A78" s="132"/>
      <c r="B78" s="132"/>
    </row>
    <row r="79" spans="1:8" ht="26.25" customHeight="1" x14ac:dyDescent="0.3">
      <c r="A79" s="133" t="s">
        <v>4</v>
      </c>
      <c r="B79" s="600" t="str">
        <f>B26</f>
        <v>Loperamide Hydrochloride</v>
      </c>
      <c r="C79" s="600"/>
    </row>
    <row r="80" spans="1:8" ht="26.25" customHeight="1" x14ac:dyDescent="0.3">
      <c r="A80" s="134" t="s">
        <v>51</v>
      </c>
      <c r="B80" s="601" t="str">
        <f>B27</f>
        <v>L38-1</v>
      </c>
      <c r="C80" s="601"/>
    </row>
    <row r="81" spans="1:11" ht="27" customHeight="1" thickBot="1" x14ac:dyDescent="0.35">
      <c r="A81" s="134" t="s">
        <v>6</v>
      </c>
      <c r="B81" s="135">
        <v>99.89</v>
      </c>
    </row>
    <row r="82" spans="1:11" s="139" customFormat="1" ht="27" customHeight="1" thickBot="1" x14ac:dyDescent="0.3">
      <c r="A82" s="134" t="s">
        <v>52</v>
      </c>
      <c r="B82" s="135">
        <f>B29</f>
        <v>0</v>
      </c>
      <c r="C82" s="586" t="s">
        <v>127</v>
      </c>
      <c r="D82" s="587"/>
      <c r="E82" s="587"/>
      <c r="F82" s="587"/>
      <c r="G82" s="588"/>
      <c r="H82" s="137"/>
      <c r="I82" s="138"/>
      <c r="J82" s="138"/>
      <c r="K82" s="138"/>
    </row>
    <row r="83" spans="1:11" s="139" customFormat="1" ht="19.5" customHeight="1" thickBot="1" x14ac:dyDescent="0.3">
      <c r="A83" s="134" t="s">
        <v>54</v>
      </c>
      <c r="B83" s="140">
        <f>B81-B82</f>
        <v>99.89</v>
      </c>
      <c r="C83" s="141"/>
      <c r="D83" s="141"/>
      <c r="E83" s="141"/>
      <c r="F83" s="141"/>
      <c r="G83" s="142"/>
      <c r="H83" s="137"/>
      <c r="I83" s="138"/>
      <c r="J83" s="138"/>
      <c r="K83" s="138"/>
    </row>
    <row r="84" spans="1:11" s="139" customFormat="1" ht="27" customHeight="1" thickBot="1" x14ac:dyDescent="0.3">
      <c r="A84" s="134" t="s">
        <v>55</v>
      </c>
      <c r="B84" s="143">
        <v>1</v>
      </c>
      <c r="C84" s="589" t="s">
        <v>56</v>
      </c>
      <c r="D84" s="590"/>
      <c r="E84" s="590"/>
      <c r="F84" s="590"/>
      <c r="G84" s="590"/>
      <c r="H84" s="591"/>
      <c r="I84" s="138"/>
      <c r="J84" s="138"/>
      <c r="K84" s="138"/>
    </row>
    <row r="85" spans="1:11" s="139" customFormat="1" ht="27" customHeight="1" thickBot="1" x14ac:dyDescent="0.3">
      <c r="A85" s="134" t="s">
        <v>57</v>
      </c>
      <c r="B85" s="143">
        <v>1</v>
      </c>
      <c r="C85" s="589" t="s">
        <v>58</v>
      </c>
      <c r="D85" s="590"/>
      <c r="E85" s="590"/>
      <c r="F85" s="590"/>
      <c r="G85" s="590"/>
      <c r="H85" s="591"/>
      <c r="I85" s="138"/>
      <c r="J85" s="138"/>
      <c r="K85" s="138"/>
    </row>
    <row r="86" spans="1:11" s="139" customFormat="1" ht="18.75" x14ac:dyDescent="0.25">
      <c r="A86" s="134"/>
      <c r="B86" s="146"/>
      <c r="C86" s="147"/>
      <c r="D86" s="147"/>
      <c r="E86" s="147"/>
      <c r="F86" s="147"/>
      <c r="G86" s="147"/>
      <c r="H86" s="147"/>
      <c r="I86" s="138"/>
      <c r="J86" s="138"/>
      <c r="K86" s="138"/>
    </row>
    <row r="87" spans="1:11" ht="18.75" x14ac:dyDescent="0.3">
      <c r="A87" s="134" t="s">
        <v>59</v>
      </c>
      <c r="B87" s="148">
        <f>B84/B85</f>
        <v>1</v>
      </c>
      <c r="C87" s="129" t="s">
        <v>60</v>
      </c>
      <c r="H87" s="137"/>
    </row>
    <row r="88" spans="1:11" ht="19.5" customHeight="1" thickBot="1" x14ac:dyDescent="0.35">
      <c r="A88" s="134"/>
      <c r="B88" s="148"/>
      <c r="H88" s="137"/>
    </row>
    <row r="89" spans="1:11" ht="27" customHeight="1" thickBot="1" x14ac:dyDescent="0.35">
      <c r="A89" s="149" t="s">
        <v>128</v>
      </c>
      <c r="B89" s="150">
        <v>50</v>
      </c>
      <c r="D89" s="229" t="s">
        <v>62</v>
      </c>
      <c r="E89" s="230"/>
      <c r="F89" s="602" t="s">
        <v>63</v>
      </c>
      <c r="G89" s="603"/>
    </row>
    <row r="90" spans="1:11" ht="26.25" customHeight="1" x14ac:dyDescent="0.3">
      <c r="A90" s="151" t="s">
        <v>64</v>
      </c>
      <c r="B90" s="152">
        <v>1</v>
      </c>
      <c r="C90" s="153" t="s">
        <v>65</v>
      </c>
      <c r="D90" s="231" t="s">
        <v>66</v>
      </c>
      <c r="E90" s="155" t="s">
        <v>67</v>
      </c>
      <c r="F90" s="231" t="s">
        <v>66</v>
      </c>
      <c r="G90" s="156" t="s">
        <v>67</v>
      </c>
    </row>
    <row r="91" spans="1:11" ht="26.25" customHeight="1" x14ac:dyDescent="0.4">
      <c r="A91" s="151" t="s">
        <v>69</v>
      </c>
      <c r="B91" s="152">
        <v>100</v>
      </c>
      <c r="C91" s="157">
        <v>1</v>
      </c>
      <c r="D91" s="232">
        <v>4827411</v>
      </c>
      <c r="E91" s="233">
        <f>IF(ISBLANK(D91),"-",$D$101/$D$98*D91)</f>
        <v>4737967.6467643818</v>
      </c>
      <c r="F91" s="232">
        <v>4453977</v>
      </c>
      <c r="G91" s="234">
        <f>IF(ISBLANK(F91),"-",$D$101/$F$98*F91)</f>
        <v>4683699.3381795613</v>
      </c>
    </row>
    <row r="92" spans="1:11" ht="26.25" customHeight="1" x14ac:dyDescent="0.4">
      <c r="A92" s="151" t="s">
        <v>70</v>
      </c>
      <c r="B92" s="152">
        <v>1</v>
      </c>
      <c r="C92" s="161">
        <v>2</v>
      </c>
      <c r="D92" s="235">
        <v>4823164</v>
      </c>
      <c r="E92" s="236">
        <f>IF(ISBLANK(D92),"-",$D$101/$D$98*D92)</f>
        <v>4733799.336132491</v>
      </c>
      <c r="F92" s="235">
        <v>4443482</v>
      </c>
      <c r="G92" s="237">
        <f>IF(ISBLANK(F92),"-",$D$101/$F$98*F92)</f>
        <v>4672663.0385861425</v>
      </c>
    </row>
    <row r="93" spans="1:11" ht="26.25" customHeight="1" x14ac:dyDescent="0.4">
      <c r="A93" s="151" t="s">
        <v>71</v>
      </c>
      <c r="B93" s="152">
        <v>1</v>
      </c>
      <c r="C93" s="161">
        <v>3</v>
      </c>
      <c r="D93" s="235">
        <v>4814914</v>
      </c>
      <c r="E93" s="236">
        <f>IF(ISBLANK(D93),"-",$D$101/$D$98*D93)</f>
        <v>4725702.1939820079</v>
      </c>
      <c r="F93" s="235">
        <v>4444392</v>
      </c>
      <c r="G93" s="237">
        <f>IF(ISBLANK(F93),"-",$D$101/$F$98*F93)</f>
        <v>4673619.9735675631</v>
      </c>
    </row>
    <row r="94" spans="1:11" ht="26.25" customHeight="1" x14ac:dyDescent="0.3">
      <c r="A94" s="151" t="s">
        <v>72</v>
      </c>
      <c r="B94" s="152">
        <v>1</v>
      </c>
      <c r="C94" s="166">
        <v>4</v>
      </c>
      <c r="D94" s="238"/>
      <c r="E94" s="239" t="str">
        <f>IF(ISBLANK(D94),"-",$D$101/$D$98*D94)</f>
        <v>-</v>
      </c>
      <c r="F94" s="240"/>
      <c r="G94" s="241" t="str">
        <f>IF(ISBLANK(F94),"-",$D$101/$F$98*F94)</f>
        <v>-</v>
      </c>
    </row>
    <row r="95" spans="1:11" ht="27" customHeight="1" thickBot="1" x14ac:dyDescent="0.35">
      <c r="A95" s="151" t="s">
        <v>73</v>
      </c>
      <c r="B95" s="152">
        <v>1</v>
      </c>
      <c r="C95" s="134" t="s">
        <v>74</v>
      </c>
      <c r="D95" s="170">
        <f>AVERAGE(D91:D94)</f>
        <v>4821829.666666667</v>
      </c>
      <c r="E95" s="171">
        <f>AVERAGE(E91:E94)</f>
        <v>4732489.7256262936</v>
      </c>
      <c r="F95" s="242">
        <f>AVERAGE(F91:F94)</f>
        <v>4447283.666666667</v>
      </c>
      <c r="G95" s="243">
        <f>AVERAGE(G91:G94)</f>
        <v>4676660.7834444223</v>
      </c>
    </row>
    <row r="96" spans="1:11" ht="26.25" customHeight="1" x14ac:dyDescent="0.3">
      <c r="A96" s="151" t="s">
        <v>75</v>
      </c>
      <c r="B96" s="152">
        <v>1</v>
      </c>
      <c r="C96" s="175" t="s">
        <v>76</v>
      </c>
      <c r="D96" s="176">
        <v>20.399999999999999</v>
      </c>
      <c r="E96" s="129"/>
      <c r="F96" s="177">
        <v>19.04</v>
      </c>
    </row>
    <row r="97" spans="1:9" ht="26.25" customHeight="1" x14ac:dyDescent="0.3">
      <c r="A97" s="151" t="s">
        <v>77</v>
      </c>
      <c r="B97" s="152">
        <v>1</v>
      </c>
      <c r="C97" s="178" t="s">
        <v>78</v>
      </c>
      <c r="D97" s="179">
        <f>D96*$B$87</f>
        <v>20.399999999999999</v>
      </c>
      <c r="E97" s="161"/>
      <c r="F97" s="180">
        <f>F96*$B$87</f>
        <v>19.04</v>
      </c>
    </row>
    <row r="98" spans="1:9" ht="19.5" customHeight="1" thickBot="1" x14ac:dyDescent="0.35">
      <c r="A98" s="221" t="s">
        <v>79</v>
      </c>
      <c r="B98" s="244">
        <f>(B97/B96)*(B95/B94)*(B93/B92)*(B91/B90)*B89</f>
        <v>5000</v>
      </c>
      <c r="C98" s="178" t="s">
        <v>80</v>
      </c>
      <c r="D98" s="182">
        <f>D97*$B$83/100</f>
        <v>20.377559999999999</v>
      </c>
      <c r="E98" s="183"/>
      <c r="F98" s="184">
        <f>F97*$B$83/100</f>
        <v>19.019055999999999</v>
      </c>
    </row>
    <row r="99" spans="1:9" ht="19.5" customHeight="1" thickBot="1" x14ac:dyDescent="0.35">
      <c r="A99" s="580" t="s">
        <v>81</v>
      </c>
      <c r="B99" s="581"/>
      <c r="C99" s="178" t="s">
        <v>82</v>
      </c>
      <c r="D99" s="245">
        <f>D98/$B$98</f>
        <v>4.0755119999999999E-3</v>
      </c>
      <c r="E99" s="246"/>
      <c r="F99" s="247">
        <f>F98/$B$98</f>
        <v>3.8038111999999999E-3</v>
      </c>
      <c r="G99" s="248"/>
      <c r="H99" s="174"/>
    </row>
    <row r="100" spans="1:9" ht="19.5" customHeight="1" thickBot="1" x14ac:dyDescent="0.35">
      <c r="A100" s="582"/>
      <c r="B100" s="583"/>
      <c r="C100" s="189" t="s">
        <v>129</v>
      </c>
      <c r="D100" s="249">
        <f>$B$56/$B$116</f>
        <v>4.0000000000000001E-3</v>
      </c>
      <c r="F100" s="188"/>
      <c r="G100" s="250"/>
      <c r="H100" s="174"/>
    </row>
    <row r="101" spans="1:9" ht="18.75" x14ac:dyDescent="0.3">
      <c r="C101" s="189" t="s">
        <v>84</v>
      </c>
      <c r="D101" s="179">
        <f>D100*$B$98</f>
        <v>20</v>
      </c>
      <c r="F101" s="188"/>
      <c r="G101" s="248"/>
      <c r="H101" s="174"/>
    </row>
    <row r="102" spans="1:9" ht="19.5" customHeight="1" thickBot="1" x14ac:dyDescent="0.35">
      <c r="C102" s="190" t="s">
        <v>85</v>
      </c>
      <c r="D102" s="251">
        <f>D101/B34</f>
        <v>20</v>
      </c>
      <c r="F102" s="163"/>
      <c r="G102" s="248"/>
      <c r="H102" s="174"/>
      <c r="I102" s="252"/>
    </row>
    <row r="103" spans="1:9" ht="18.75" x14ac:dyDescent="0.3">
      <c r="C103" s="192" t="s">
        <v>120</v>
      </c>
      <c r="D103" s="193">
        <f>AVERAGE(E91:E94,G91:G94)</f>
        <v>4704575.2545353584</v>
      </c>
      <c r="F103" s="163"/>
      <c r="G103" s="250"/>
      <c r="H103" s="174"/>
      <c r="I103" s="253"/>
    </row>
    <row r="104" spans="1:9" ht="18.75" x14ac:dyDescent="0.3">
      <c r="C104" s="194" t="s">
        <v>87</v>
      </c>
      <c r="D104" s="254">
        <f>STDEV(E91:E94,G91:G94)/D103</f>
        <v>6.6049924545025394E-3</v>
      </c>
      <c r="F104" s="163"/>
      <c r="G104" s="248"/>
      <c r="H104" s="174"/>
      <c r="I104" s="253"/>
    </row>
    <row r="105" spans="1:9" ht="19.5" customHeight="1" thickBot="1" x14ac:dyDescent="0.35">
      <c r="C105" s="196" t="s">
        <v>20</v>
      </c>
      <c r="D105" s="255">
        <f>COUNT(E91:E94,G91:G94)</f>
        <v>6</v>
      </c>
      <c r="F105" s="163"/>
      <c r="G105" s="248"/>
      <c r="H105" s="174"/>
      <c r="I105" s="253"/>
    </row>
    <row r="106" spans="1:9" ht="19.5" customHeight="1" thickBot="1" x14ac:dyDescent="0.35">
      <c r="A106" s="198"/>
      <c r="B106" s="198"/>
      <c r="C106" s="198"/>
      <c r="D106" s="198"/>
      <c r="E106" s="198"/>
    </row>
    <row r="107" spans="1:9" ht="26.25" customHeight="1" x14ac:dyDescent="0.3">
      <c r="A107" s="149" t="s">
        <v>121</v>
      </c>
      <c r="B107" s="150">
        <v>500</v>
      </c>
      <c r="C107" s="229" t="s">
        <v>133</v>
      </c>
      <c r="D107" s="256" t="s">
        <v>66</v>
      </c>
      <c r="E107" s="257" t="s">
        <v>122</v>
      </c>
      <c r="F107" s="258" t="s">
        <v>123</v>
      </c>
    </row>
    <row r="108" spans="1:9" ht="26.25" customHeight="1" x14ac:dyDescent="0.4">
      <c r="A108" s="151" t="s">
        <v>124</v>
      </c>
      <c r="B108" s="152">
        <v>1</v>
      </c>
      <c r="C108" s="259">
        <v>1</v>
      </c>
      <c r="D108" s="260">
        <v>4201954</v>
      </c>
      <c r="E108" s="261">
        <f t="shared" ref="E108:E113" si="1">IF(ISBLANK(D108),"-",D108/$D$103*$D$100*$B$116)</f>
        <v>1.7863266172431549</v>
      </c>
      <c r="F108" s="262">
        <f t="shared" ref="F108:F113" si="2">IF(ISBLANK(D108), "-", E108/$B$56)</f>
        <v>0.89316330862157745</v>
      </c>
    </row>
    <row r="109" spans="1:9" ht="26.25" customHeight="1" x14ac:dyDescent="0.4">
      <c r="A109" s="151" t="s">
        <v>98</v>
      </c>
      <c r="B109" s="152">
        <v>1</v>
      </c>
      <c r="C109" s="259">
        <v>2</v>
      </c>
      <c r="D109" s="260">
        <v>4190512</v>
      </c>
      <c r="E109" s="263">
        <f t="shared" si="1"/>
        <v>1.7814624161703927</v>
      </c>
      <c r="F109" s="264">
        <f t="shared" si="2"/>
        <v>0.89073120808519635</v>
      </c>
    </row>
    <row r="110" spans="1:9" ht="26.25" customHeight="1" x14ac:dyDescent="0.4">
      <c r="A110" s="151" t="s">
        <v>99</v>
      </c>
      <c r="B110" s="152">
        <v>1</v>
      </c>
      <c r="C110" s="259">
        <v>3</v>
      </c>
      <c r="D110" s="260">
        <v>3995290</v>
      </c>
      <c r="E110" s="263">
        <f t="shared" si="1"/>
        <v>1.6984700143327138</v>
      </c>
      <c r="F110" s="264">
        <f t="shared" si="2"/>
        <v>0.84923500716635691</v>
      </c>
    </row>
    <row r="111" spans="1:9" ht="26.25" customHeight="1" x14ac:dyDescent="0.4">
      <c r="A111" s="151" t="s">
        <v>100</v>
      </c>
      <c r="B111" s="152">
        <v>1</v>
      </c>
      <c r="C111" s="259">
        <v>4</v>
      </c>
      <c r="D111" s="260">
        <v>4294153</v>
      </c>
      <c r="E111" s="263">
        <f t="shared" si="1"/>
        <v>1.8255220791123712</v>
      </c>
      <c r="F111" s="264">
        <f t="shared" si="2"/>
        <v>0.91276103955618559</v>
      </c>
    </row>
    <row r="112" spans="1:9" ht="26.25" customHeight="1" x14ac:dyDescent="0.4">
      <c r="A112" s="151" t="s">
        <v>101</v>
      </c>
      <c r="B112" s="152">
        <v>1</v>
      </c>
      <c r="C112" s="259">
        <v>5</v>
      </c>
      <c r="D112" s="260">
        <v>3839577</v>
      </c>
      <c r="E112" s="263">
        <f t="shared" si="1"/>
        <v>1.6322736027225953</v>
      </c>
      <c r="F112" s="264">
        <f t="shared" si="2"/>
        <v>0.81613680136129763</v>
      </c>
    </row>
    <row r="113" spans="1:11" ht="26.25" customHeight="1" x14ac:dyDescent="0.4">
      <c r="A113" s="151" t="s">
        <v>103</v>
      </c>
      <c r="B113" s="152">
        <v>1</v>
      </c>
      <c r="C113" s="265">
        <v>6</v>
      </c>
      <c r="D113" s="266">
        <v>3826151</v>
      </c>
      <c r="E113" s="267">
        <f t="shared" si="1"/>
        <v>1.6265659673788702</v>
      </c>
      <c r="F113" s="268">
        <f t="shared" si="2"/>
        <v>0.81328298368943508</v>
      </c>
    </row>
    <row r="114" spans="1:11" ht="26.25" customHeight="1" x14ac:dyDescent="0.3">
      <c r="A114" s="151" t="s">
        <v>104</v>
      </c>
      <c r="B114" s="152">
        <v>1</v>
      </c>
      <c r="C114" s="259"/>
      <c r="D114" s="161"/>
      <c r="E114" s="129"/>
      <c r="F114" s="269"/>
    </row>
    <row r="115" spans="1:11" ht="26.25" customHeight="1" x14ac:dyDescent="0.3">
      <c r="A115" s="151" t="s">
        <v>105</v>
      </c>
      <c r="B115" s="152">
        <v>1</v>
      </c>
      <c r="C115" s="259"/>
      <c r="D115" s="270"/>
      <c r="E115" s="271" t="s">
        <v>74</v>
      </c>
      <c r="F115" s="272">
        <f>AVERAGE(F108:F113)</f>
        <v>0.86255172474667485</v>
      </c>
    </row>
    <row r="116" spans="1:11" ht="27" customHeight="1" thickBot="1" x14ac:dyDescent="0.35">
      <c r="A116" s="151" t="s">
        <v>106</v>
      </c>
      <c r="B116" s="181">
        <f>(B115/B114)*(B113/B112)*(B111/B110)*(B109/B108)*B107</f>
        <v>500</v>
      </c>
      <c r="C116" s="273"/>
      <c r="D116" s="274"/>
      <c r="E116" s="134" t="s">
        <v>87</v>
      </c>
      <c r="F116" s="275">
        <f>STDEV(F108:F113)/F115</f>
        <v>4.9217728194567885E-2</v>
      </c>
    </row>
    <row r="117" spans="1:11" ht="19.5" customHeight="1" thickBot="1" x14ac:dyDescent="0.35">
      <c r="A117" s="580" t="s">
        <v>81</v>
      </c>
      <c r="B117" s="581"/>
      <c r="C117" s="276"/>
      <c r="D117" s="277"/>
      <c r="E117" s="278" t="s">
        <v>20</v>
      </c>
      <c r="F117" s="279">
        <f>COUNT(F108:F113)</f>
        <v>6</v>
      </c>
      <c r="I117" s="253"/>
    </row>
    <row r="118" spans="1:11" ht="19.5" customHeight="1" thickBot="1" x14ac:dyDescent="0.35">
      <c r="A118" s="582"/>
      <c r="B118" s="583"/>
      <c r="C118" s="129"/>
      <c r="D118" s="129"/>
      <c r="E118" s="129"/>
      <c r="F118" s="161"/>
      <c r="G118" s="129"/>
      <c r="H118" s="129"/>
    </row>
    <row r="119" spans="1:11" ht="18.75" x14ac:dyDescent="0.3">
      <c r="A119" s="147"/>
      <c r="B119" s="147"/>
      <c r="C119" s="129"/>
      <c r="D119" s="129"/>
      <c r="E119" s="129"/>
      <c r="F119" s="161"/>
      <c r="G119" s="129"/>
      <c r="H119" s="129"/>
    </row>
    <row r="120" spans="1:11" ht="18.75" x14ac:dyDescent="0.3">
      <c r="A120" s="280" t="s">
        <v>134</v>
      </c>
      <c r="B120" s="280" t="s">
        <v>135</v>
      </c>
      <c r="C120" s="165"/>
      <c r="D120" s="165"/>
      <c r="E120" s="165"/>
      <c r="F120" s="165"/>
      <c r="G120" s="165"/>
      <c r="H120" s="165"/>
    </row>
    <row r="121" spans="1:11" ht="18.75" x14ac:dyDescent="0.3">
      <c r="A121" s="280"/>
      <c r="B121" s="280"/>
      <c r="C121" s="165"/>
      <c r="D121" s="165"/>
      <c r="E121" s="165"/>
      <c r="F121" s="165"/>
      <c r="G121" s="165"/>
      <c r="H121" s="165"/>
    </row>
    <row r="122" spans="1:11" ht="18.75" x14ac:dyDescent="0.3">
      <c r="A122" s="281" t="s">
        <v>4</v>
      </c>
      <c r="B122" s="282" t="s">
        <v>141</v>
      </c>
      <c r="C122" s="165"/>
      <c r="D122" s="165"/>
      <c r="E122" s="165"/>
      <c r="F122" s="165"/>
      <c r="G122" s="165"/>
      <c r="H122" s="165"/>
    </row>
    <row r="123" spans="1:11" ht="18.75" x14ac:dyDescent="0.3">
      <c r="A123" s="283" t="s">
        <v>51</v>
      </c>
      <c r="B123" s="282" t="s">
        <v>142</v>
      </c>
      <c r="C123" s="165"/>
      <c r="D123" s="165"/>
      <c r="E123" s="165"/>
      <c r="F123" s="165"/>
      <c r="G123" s="165"/>
      <c r="H123" s="165"/>
    </row>
    <row r="124" spans="1:11" ht="19.5" customHeight="1" thickBot="1" x14ac:dyDescent="0.35">
      <c r="A124" s="283" t="s">
        <v>6</v>
      </c>
      <c r="B124" s="135">
        <v>99.89</v>
      </c>
      <c r="C124" s="165"/>
      <c r="D124" s="165"/>
      <c r="E124" s="165"/>
      <c r="F124" s="165"/>
      <c r="G124" s="165"/>
      <c r="H124" s="165"/>
    </row>
    <row r="125" spans="1:11" s="139" customFormat="1" ht="15.75" customHeight="1" thickBot="1" x14ac:dyDescent="0.35">
      <c r="A125" s="283" t="s">
        <v>52</v>
      </c>
      <c r="B125" s="135">
        <f>B72</f>
        <v>0</v>
      </c>
      <c r="C125" s="586" t="s">
        <v>53</v>
      </c>
      <c r="D125" s="587"/>
      <c r="E125" s="587"/>
      <c r="F125" s="587"/>
      <c r="G125" s="588"/>
      <c r="I125" s="138"/>
      <c r="J125" s="138"/>
      <c r="K125" s="138"/>
    </row>
    <row r="126" spans="1:11" s="139" customFormat="1" ht="19.5" customHeight="1" thickBot="1" x14ac:dyDescent="0.35">
      <c r="A126" s="283" t="s">
        <v>54</v>
      </c>
      <c r="B126" s="284">
        <f>B124-B125</f>
        <v>99.89</v>
      </c>
      <c r="C126" s="285"/>
      <c r="D126" s="285"/>
      <c r="E126" s="285"/>
      <c r="F126" s="285"/>
      <c r="G126" s="286"/>
      <c r="I126" s="138"/>
      <c r="J126" s="138"/>
      <c r="K126" s="138"/>
    </row>
    <row r="127" spans="1:11" s="139" customFormat="1" ht="27" customHeight="1" thickBot="1" x14ac:dyDescent="0.3">
      <c r="A127" s="134" t="s">
        <v>55</v>
      </c>
      <c r="B127" s="143">
        <v>1</v>
      </c>
      <c r="C127" s="589" t="s">
        <v>56</v>
      </c>
      <c r="D127" s="590"/>
      <c r="E127" s="590"/>
      <c r="F127" s="590"/>
      <c r="G127" s="590"/>
      <c r="H127" s="591"/>
      <c r="I127" s="138"/>
      <c r="J127" s="138"/>
      <c r="K127" s="138"/>
    </row>
    <row r="128" spans="1:11" s="139" customFormat="1" ht="27" customHeight="1" thickBot="1" x14ac:dyDescent="0.3">
      <c r="A128" s="134" t="s">
        <v>57</v>
      </c>
      <c r="B128" s="143">
        <v>1</v>
      </c>
      <c r="C128" s="589" t="s">
        <v>58</v>
      </c>
      <c r="D128" s="590"/>
      <c r="E128" s="590"/>
      <c r="F128" s="590"/>
      <c r="G128" s="590"/>
      <c r="H128" s="591"/>
      <c r="I128" s="138"/>
      <c r="J128" s="138"/>
      <c r="K128" s="138"/>
    </row>
    <row r="129" spans="1:11" s="139" customFormat="1" ht="18.75" x14ac:dyDescent="0.25">
      <c r="A129" s="134"/>
      <c r="B129" s="146"/>
      <c r="C129" s="147"/>
      <c r="D129" s="147"/>
      <c r="E129" s="147"/>
      <c r="F129" s="147"/>
      <c r="G129" s="147"/>
      <c r="H129" s="147"/>
      <c r="I129" s="138"/>
      <c r="J129" s="138"/>
      <c r="K129" s="138"/>
    </row>
    <row r="130" spans="1:11" ht="18.75" x14ac:dyDescent="0.3">
      <c r="A130" s="134" t="s">
        <v>59</v>
      </c>
      <c r="B130" s="148">
        <f>B127/B128</f>
        <v>1</v>
      </c>
      <c r="C130" s="129" t="s">
        <v>60</v>
      </c>
      <c r="H130" s="137"/>
    </row>
    <row r="131" spans="1:11" ht="19.5" customHeight="1" thickBot="1" x14ac:dyDescent="0.35">
      <c r="A131" s="280"/>
      <c r="B131" s="280"/>
      <c r="C131" s="165"/>
      <c r="D131" s="165"/>
      <c r="E131" s="165"/>
      <c r="F131" s="165"/>
      <c r="G131" s="165"/>
      <c r="H131" s="165"/>
    </row>
    <row r="132" spans="1:11" ht="27" customHeight="1" thickBot="1" x14ac:dyDescent="0.35">
      <c r="A132" s="287" t="s">
        <v>128</v>
      </c>
      <c r="B132" s="288">
        <v>50</v>
      </c>
      <c r="C132" s="165"/>
      <c r="D132" s="592" t="s">
        <v>62</v>
      </c>
      <c r="E132" s="593"/>
      <c r="F132" s="592" t="s">
        <v>63</v>
      </c>
      <c r="G132" s="593"/>
      <c r="H132" s="165"/>
    </row>
    <row r="133" spans="1:11" ht="26.25" customHeight="1" x14ac:dyDescent="0.3">
      <c r="A133" s="289" t="s">
        <v>64</v>
      </c>
      <c r="B133" s="290">
        <v>1</v>
      </c>
      <c r="C133" s="291" t="s">
        <v>136</v>
      </c>
      <c r="D133" s="292" t="s">
        <v>66</v>
      </c>
      <c r="E133" s="293" t="s">
        <v>67</v>
      </c>
      <c r="F133" s="292" t="s">
        <v>66</v>
      </c>
      <c r="G133" s="293" t="s">
        <v>67</v>
      </c>
      <c r="H133" s="165"/>
    </row>
    <row r="134" spans="1:11" ht="26.25" customHeight="1" x14ac:dyDescent="0.3">
      <c r="A134" s="289" t="s">
        <v>69</v>
      </c>
      <c r="B134" s="290">
        <v>100</v>
      </c>
      <c r="C134" s="294">
        <v>1</v>
      </c>
      <c r="D134" s="295">
        <v>4265111</v>
      </c>
      <c r="E134" s="296">
        <f>IF(ISBLANK(D134),"-",$D$144/$D$141*D134)</f>
        <v>4459329.2830991382</v>
      </c>
      <c r="F134" s="295">
        <v>4902600</v>
      </c>
      <c r="G134" s="296">
        <f>IF(ISBLANK(F134),"-",$D$144/$F$141*F134)</f>
        <v>4589059.1853001835</v>
      </c>
      <c r="H134" s="165"/>
    </row>
    <row r="135" spans="1:11" ht="26.25" customHeight="1" x14ac:dyDescent="0.3">
      <c r="A135" s="289" t="s">
        <v>70</v>
      </c>
      <c r="B135" s="290">
        <v>1</v>
      </c>
      <c r="C135" s="297">
        <v>2</v>
      </c>
      <c r="D135" s="295">
        <v>4260682</v>
      </c>
      <c r="E135" s="298">
        <f>IF(ISBLANK(D135),"-",$D$144/$D$141*D135)</f>
        <v>4454698.6018824363</v>
      </c>
      <c r="F135" s="295">
        <v>4893227</v>
      </c>
      <c r="G135" s="298">
        <f>IF(ISBLANK(F135),"-",$D$144/$F$141*F135)</f>
        <v>4580285.6260165749</v>
      </c>
      <c r="H135" s="165"/>
    </row>
    <row r="136" spans="1:11" ht="26.25" customHeight="1" x14ac:dyDescent="0.3">
      <c r="A136" s="289" t="s">
        <v>71</v>
      </c>
      <c r="B136" s="290">
        <v>1</v>
      </c>
      <c r="C136" s="297">
        <v>3</v>
      </c>
      <c r="D136" s="295">
        <v>4251161</v>
      </c>
      <c r="E136" s="298">
        <f>IF(ISBLANK(D136),"-",$D$144/$D$141*D136)</f>
        <v>4444744.048740821</v>
      </c>
      <c r="F136" s="295">
        <v>4887944</v>
      </c>
      <c r="G136" s="298">
        <f>IF(ISBLANK(F136),"-",$D$144/$F$141*F136)</f>
        <v>4575340.494927777</v>
      </c>
      <c r="H136" s="165"/>
    </row>
    <row r="137" spans="1:11" ht="26.25" customHeight="1" x14ac:dyDescent="0.3">
      <c r="A137" s="289" t="s">
        <v>72</v>
      </c>
      <c r="B137" s="290">
        <v>1</v>
      </c>
      <c r="C137" s="299">
        <v>4</v>
      </c>
      <c r="D137" s="238"/>
      <c r="E137" s="300" t="str">
        <f>IF(ISBLANK(D137),"-",$D$144/$D$141*D137)</f>
        <v>-</v>
      </c>
      <c r="F137" s="238"/>
      <c r="G137" s="300" t="str">
        <f>IF(ISBLANK(F137),"-",$D$144/$D$141*F137)</f>
        <v>-</v>
      </c>
      <c r="H137" s="165"/>
    </row>
    <row r="138" spans="1:11" ht="27" customHeight="1" thickBot="1" x14ac:dyDescent="0.35">
      <c r="A138" s="289" t="s">
        <v>73</v>
      </c>
      <c r="B138" s="290">
        <v>1</v>
      </c>
      <c r="C138" s="283" t="s">
        <v>74</v>
      </c>
      <c r="D138" s="301">
        <f>AVERAGE(D134:D137)</f>
        <v>4258984.666666667</v>
      </c>
      <c r="E138" s="302">
        <f>AVERAGE(E134:E137)</f>
        <v>4452923.9779074648</v>
      </c>
      <c r="F138" s="301">
        <f>AVERAGE(F134:F137)</f>
        <v>4894590.333333333</v>
      </c>
      <c r="G138" s="303">
        <f>AVERAGE(G134:G137)</f>
        <v>4581561.7687481781</v>
      </c>
      <c r="H138" s="165"/>
    </row>
    <row r="139" spans="1:11" ht="26.25" customHeight="1" x14ac:dyDescent="0.3">
      <c r="A139" s="289" t="s">
        <v>75</v>
      </c>
      <c r="B139" s="290">
        <v>1</v>
      </c>
      <c r="C139" s="304" t="s">
        <v>116</v>
      </c>
      <c r="D139" s="152">
        <v>19.149999999999999</v>
      </c>
      <c r="E139" s="165"/>
      <c r="F139" s="305">
        <v>21.39</v>
      </c>
      <c r="G139" s="165"/>
      <c r="H139" s="165"/>
    </row>
    <row r="140" spans="1:11" ht="26.25" customHeight="1" x14ac:dyDescent="0.3">
      <c r="A140" s="289" t="s">
        <v>77</v>
      </c>
      <c r="B140" s="290">
        <v>1</v>
      </c>
      <c r="C140" s="306" t="s">
        <v>117</v>
      </c>
      <c r="D140" s="307">
        <f>D139*B130</f>
        <v>19.149999999999999</v>
      </c>
      <c r="E140" s="297"/>
      <c r="F140" s="308">
        <f>F139*B130</f>
        <v>21.39</v>
      </c>
      <c r="G140" s="165"/>
      <c r="H140" s="165"/>
    </row>
    <row r="141" spans="1:11" ht="19.5" customHeight="1" thickBot="1" x14ac:dyDescent="0.35">
      <c r="A141" s="289" t="s">
        <v>79</v>
      </c>
      <c r="B141" s="309">
        <f>(B140/B139)*(B138/B137)*(B136/B135)*(B134/B133)*B132</f>
        <v>5000</v>
      </c>
      <c r="C141" s="306" t="s">
        <v>118</v>
      </c>
      <c r="D141" s="310">
        <f>D140*B126/100</f>
        <v>19.128934999999998</v>
      </c>
      <c r="E141" s="311"/>
      <c r="F141" s="312">
        <f>F140*B126/100</f>
        <v>21.366471000000001</v>
      </c>
      <c r="G141" s="165"/>
      <c r="H141" s="165"/>
    </row>
    <row r="142" spans="1:11" ht="19.5" customHeight="1" thickBot="1" x14ac:dyDescent="0.35">
      <c r="A142" s="580" t="s">
        <v>81</v>
      </c>
      <c r="B142" s="594"/>
      <c r="C142" s="306" t="s">
        <v>119</v>
      </c>
      <c r="D142" s="307">
        <f>D141/$B$141</f>
        <v>3.8257869999999998E-3</v>
      </c>
      <c r="E142" s="311"/>
      <c r="F142" s="313">
        <f>F141/$B$141</f>
        <v>4.2732942000000005E-3</v>
      </c>
      <c r="G142" s="139"/>
      <c r="H142" s="314"/>
    </row>
    <row r="143" spans="1:11" ht="19.5" customHeight="1" thickBot="1" x14ac:dyDescent="0.35">
      <c r="A143" s="582"/>
      <c r="B143" s="595"/>
      <c r="C143" s="306" t="s">
        <v>129</v>
      </c>
      <c r="D143" s="310">
        <f>$B$56/$B$159</f>
        <v>4.0000000000000001E-3</v>
      </c>
      <c r="E143" s="165"/>
      <c r="F143" s="315"/>
      <c r="G143" s="316"/>
      <c r="H143" s="314"/>
    </row>
    <row r="144" spans="1:11" ht="18.75" x14ac:dyDescent="0.3">
      <c r="A144" s="165"/>
      <c r="B144" s="165"/>
      <c r="C144" s="306" t="s">
        <v>84</v>
      </c>
      <c r="D144" s="307">
        <f>D143*$B$141</f>
        <v>20</v>
      </c>
      <c r="E144" s="165"/>
      <c r="F144" s="315"/>
      <c r="G144" s="139"/>
      <c r="H144" s="314"/>
    </row>
    <row r="145" spans="1:9" ht="19.5" customHeight="1" thickBot="1" x14ac:dyDescent="0.35">
      <c r="A145" s="165"/>
      <c r="B145" s="165"/>
      <c r="C145" s="317" t="s">
        <v>85</v>
      </c>
      <c r="D145" s="318">
        <f>D144/B130</f>
        <v>20</v>
      </c>
      <c r="E145" s="165"/>
      <c r="F145" s="319"/>
      <c r="G145" s="139"/>
      <c r="H145" s="314"/>
      <c r="I145" s="252"/>
    </row>
    <row r="146" spans="1:9" ht="18.75" x14ac:dyDescent="0.3">
      <c r="A146" s="165"/>
      <c r="B146" s="165"/>
      <c r="C146" s="320" t="s">
        <v>120</v>
      </c>
      <c r="D146" s="321">
        <f>AVERAGE(E134:E137,G134:G137)</f>
        <v>4517242.8733278215</v>
      </c>
      <c r="E146" s="165"/>
      <c r="F146" s="319"/>
      <c r="G146" s="316"/>
      <c r="H146" s="314"/>
      <c r="I146" s="253"/>
    </row>
    <row r="147" spans="1:9" ht="18.75" x14ac:dyDescent="0.3">
      <c r="A147" s="165"/>
      <c r="B147" s="165"/>
      <c r="C147" s="322" t="s">
        <v>87</v>
      </c>
      <c r="D147" s="323">
        <f>STDEV(E134:E137,G134:G137)/D146</f>
        <v>1.5662628416790413E-2</v>
      </c>
      <c r="E147" s="165"/>
      <c r="F147" s="319"/>
      <c r="G147" s="139"/>
      <c r="H147" s="314"/>
      <c r="I147" s="253"/>
    </row>
    <row r="148" spans="1:9" ht="19.5" customHeight="1" thickBot="1" x14ac:dyDescent="0.35">
      <c r="A148" s="165"/>
      <c r="B148" s="165"/>
      <c r="C148" s="324" t="s">
        <v>20</v>
      </c>
      <c r="D148" s="325">
        <f>COUNT(E134:E137,G134:G137)</f>
        <v>6</v>
      </c>
      <c r="E148" s="165"/>
      <c r="F148" s="319"/>
      <c r="G148" s="139"/>
      <c r="H148" s="314"/>
      <c r="I148" s="253"/>
    </row>
    <row r="149" spans="1:9" ht="19.5" customHeight="1" thickBot="1" x14ac:dyDescent="0.35">
      <c r="A149" s="326"/>
      <c r="B149" s="326"/>
      <c r="C149" s="326"/>
      <c r="D149" s="326"/>
      <c r="E149" s="326"/>
      <c r="F149" s="165"/>
      <c r="G149" s="165"/>
      <c r="H149" s="165"/>
    </row>
    <row r="150" spans="1:9" ht="17.25" customHeight="1" x14ac:dyDescent="0.3">
      <c r="A150" s="287" t="s">
        <v>121</v>
      </c>
      <c r="B150" s="288">
        <v>500</v>
      </c>
      <c r="C150" s="327" t="s">
        <v>133</v>
      </c>
      <c r="D150" s="328" t="s">
        <v>66</v>
      </c>
      <c r="E150" s="329" t="s">
        <v>122</v>
      </c>
      <c r="F150" s="330" t="s">
        <v>123</v>
      </c>
      <c r="G150" s="165"/>
      <c r="H150" s="165"/>
    </row>
    <row r="151" spans="1:9" ht="26.25" customHeight="1" x14ac:dyDescent="0.3">
      <c r="A151" s="289" t="s">
        <v>124</v>
      </c>
      <c r="B151" s="290">
        <v>1</v>
      </c>
      <c r="C151" s="331">
        <v>1</v>
      </c>
      <c r="D151" s="332">
        <v>3589380</v>
      </c>
      <c r="E151" s="333">
        <f t="shared" ref="E151:E156" si="3">IF(ISBLANK(D151),"-",D151/$D$146*$D$143*$B$159)</f>
        <v>1.5891906194345173</v>
      </c>
      <c r="F151" s="334">
        <f t="shared" ref="F151:F156" si="4">IF(ISBLANK(D151), "-", E151/$B$56)</f>
        <v>0.79459530971725867</v>
      </c>
      <c r="G151" s="165"/>
      <c r="H151" s="165"/>
    </row>
    <row r="152" spans="1:9" ht="26.25" customHeight="1" x14ac:dyDescent="0.3">
      <c r="A152" s="289" t="s">
        <v>98</v>
      </c>
      <c r="B152" s="290">
        <v>1</v>
      </c>
      <c r="C152" s="331">
        <v>2</v>
      </c>
      <c r="D152" s="335">
        <v>4081088</v>
      </c>
      <c r="E152" s="336">
        <f t="shared" si="3"/>
        <v>1.8068933260581983</v>
      </c>
      <c r="F152" s="337">
        <f t="shared" si="4"/>
        <v>0.90344666302909915</v>
      </c>
      <c r="G152" s="165"/>
      <c r="H152" s="165"/>
    </row>
    <row r="153" spans="1:9" ht="26.25" customHeight="1" x14ac:dyDescent="0.3">
      <c r="A153" s="289" t="s">
        <v>99</v>
      </c>
      <c r="B153" s="290">
        <v>1</v>
      </c>
      <c r="C153" s="331">
        <v>3</v>
      </c>
      <c r="D153" s="335">
        <v>3955972</v>
      </c>
      <c r="E153" s="336">
        <f t="shared" si="3"/>
        <v>1.7514984741503008</v>
      </c>
      <c r="F153" s="337">
        <f t="shared" si="4"/>
        <v>0.8757492370751504</v>
      </c>
      <c r="G153" s="165"/>
      <c r="H153" s="165"/>
    </row>
    <row r="154" spans="1:9" ht="26.25" customHeight="1" x14ac:dyDescent="0.3">
      <c r="A154" s="289" t="s">
        <v>100</v>
      </c>
      <c r="B154" s="290">
        <v>1</v>
      </c>
      <c r="C154" s="331">
        <v>4</v>
      </c>
      <c r="D154" s="335">
        <v>4062724</v>
      </c>
      <c r="E154" s="336">
        <f t="shared" si="3"/>
        <v>1.7987627027930952</v>
      </c>
      <c r="F154" s="337">
        <f t="shared" si="4"/>
        <v>0.89938135139654762</v>
      </c>
      <c r="G154" s="165"/>
      <c r="H154" s="165"/>
    </row>
    <row r="155" spans="1:9" ht="26.25" customHeight="1" x14ac:dyDescent="0.3">
      <c r="A155" s="289" t="s">
        <v>101</v>
      </c>
      <c r="B155" s="290">
        <v>1</v>
      </c>
      <c r="C155" s="331">
        <v>5</v>
      </c>
      <c r="D155" s="335">
        <v>4051253</v>
      </c>
      <c r="E155" s="336">
        <f t="shared" si="3"/>
        <v>1.7936839411140495</v>
      </c>
      <c r="F155" s="337">
        <f t="shared" si="4"/>
        <v>0.89684197055702475</v>
      </c>
      <c r="G155" s="165"/>
      <c r="H155" s="165"/>
    </row>
    <row r="156" spans="1:9" ht="26.25" customHeight="1" x14ac:dyDescent="0.3">
      <c r="A156" s="289" t="s">
        <v>103</v>
      </c>
      <c r="B156" s="290">
        <v>1</v>
      </c>
      <c r="C156" s="338">
        <v>6</v>
      </c>
      <c r="D156" s="339">
        <v>3528039</v>
      </c>
      <c r="E156" s="340">
        <f t="shared" si="3"/>
        <v>1.5620320177298408</v>
      </c>
      <c r="F156" s="341">
        <f t="shared" si="4"/>
        <v>0.7810160088649204</v>
      </c>
      <c r="G156" s="165"/>
      <c r="H156" s="165"/>
    </row>
    <row r="157" spans="1:9" ht="26.25" customHeight="1" x14ac:dyDescent="0.3">
      <c r="A157" s="289" t="s">
        <v>104</v>
      </c>
      <c r="B157" s="290">
        <v>1</v>
      </c>
      <c r="C157" s="331"/>
      <c r="D157" s="297"/>
      <c r="E157" s="165"/>
      <c r="F157" s="342"/>
      <c r="G157" s="165"/>
      <c r="H157" s="165"/>
    </row>
    <row r="158" spans="1:9" ht="26.25" customHeight="1" x14ac:dyDescent="0.4">
      <c r="A158" s="289" t="s">
        <v>105</v>
      </c>
      <c r="B158" s="290">
        <v>1</v>
      </c>
      <c r="C158" s="331"/>
      <c r="D158" s="343"/>
      <c r="E158" s="344" t="s">
        <v>74</v>
      </c>
      <c r="F158" s="345">
        <f>AVERAGE(F151:F156)</f>
        <v>0.85850509010666676</v>
      </c>
      <c r="G158" s="165"/>
      <c r="H158" s="165"/>
    </row>
    <row r="159" spans="1:9" ht="27" customHeight="1" thickBot="1" x14ac:dyDescent="0.45">
      <c r="A159" s="289" t="s">
        <v>106</v>
      </c>
      <c r="B159" s="309">
        <f>(B158/B157)*(B156/B155)*(B154/B153)*(B152/B151)*B150</f>
        <v>500</v>
      </c>
      <c r="C159" s="346"/>
      <c r="D159" s="165"/>
      <c r="E159" s="347" t="s">
        <v>87</v>
      </c>
      <c r="F159" s="348">
        <f>STDEV(F151:F156)/F158</f>
        <v>6.4951823862634275E-2</v>
      </c>
      <c r="G159" s="165"/>
      <c r="H159" s="165"/>
    </row>
    <row r="160" spans="1:9" ht="27" customHeight="1" thickBot="1" x14ac:dyDescent="0.45">
      <c r="A160" s="580" t="s">
        <v>81</v>
      </c>
      <c r="B160" s="581"/>
      <c r="C160" s="349"/>
      <c r="D160" s="350"/>
      <c r="E160" s="351" t="s">
        <v>20</v>
      </c>
      <c r="F160" s="352">
        <f>COUNT(F151:F156)</f>
        <v>6</v>
      </c>
      <c r="G160" s="165"/>
      <c r="H160" s="165"/>
      <c r="I160" s="253"/>
    </row>
    <row r="161" spans="1:8" ht="19.5" customHeight="1" thickBot="1" x14ac:dyDescent="0.35">
      <c r="A161" s="582"/>
      <c r="B161" s="583"/>
      <c r="C161" s="165"/>
      <c r="D161" s="165"/>
      <c r="E161" s="165"/>
      <c r="F161" s="297"/>
      <c r="G161" s="165"/>
      <c r="H161" s="165"/>
    </row>
    <row r="162" spans="1:8" ht="18.75" x14ac:dyDescent="0.3">
      <c r="A162" s="147"/>
      <c r="B162" s="147"/>
      <c r="C162" s="165"/>
      <c r="D162" s="165"/>
      <c r="E162" s="165"/>
      <c r="F162" s="297"/>
      <c r="G162" s="165"/>
      <c r="H162" s="165"/>
    </row>
    <row r="163" spans="1:8" ht="18.75" x14ac:dyDescent="0.3">
      <c r="A163" s="280" t="s">
        <v>134</v>
      </c>
      <c r="B163" s="132" t="s">
        <v>137</v>
      </c>
      <c r="C163" s="165"/>
      <c r="D163" s="165"/>
      <c r="E163" s="165"/>
      <c r="F163" s="297"/>
      <c r="G163" s="165"/>
      <c r="H163" s="165"/>
    </row>
    <row r="164" spans="1:8" ht="19.5" customHeight="1" thickBot="1" x14ac:dyDescent="0.35">
      <c r="A164" s="147"/>
      <c r="B164" s="147"/>
      <c r="C164" s="165"/>
      <c r="D164" s="165"/>
      <c r="E164" s="165"/>
      <c r="F164" s="297"/>
      <c r="G164" s="165"/>
      <c r="H164" s="165"/>
    </row>
    <row r="165" spans="1:8" ht="26.25" customHeight="1" x14ac:dyDescent="0.4">
      <c r="A165" s="353" t="s">
        <v>74</v>
      </c>
      <c r="B165" s="354">
        <f>AVERAGE(F108:F113,F151:F156)</f>
        <v>0.86052840742667092</v>
      </c>
      <c r="C165" s="165"/>
      <c r="D165" s="165"/>
      <c r="E165" s="165"/>
      <c r="F165" s="297"/>
      <c r="G165" s="165"/>
      <c r="H165" s="165"/>
    </row>
    <row r="166" spans="1:8" ht="26.25" customHeight="1" x14ac:dyDescent="0.4">
      <c r="A166" s="289" t="s">
        <v>87</v>
      </c>
      <c r="B166" s="355">
        <f>STDEV(F108:F113,F151:F156)/B165</f>
        <v>5.4962721463405202E-2</v>
      </c>
      <c r="C166" s="165"/>
      <c r="D166" s="165"/>
      <c r="E166" s="165"/>
      <c r="F166" s="297"/>
      <c r="G166" s="165"/>
      <c r="H166" s="165"/>
    </row>
    <row r="167" spans="1:8" ht="27" customHeight="1" thickBot="1" x14ac:dyDescent="0.45">
      <c r="A167" s="356" t="s">
        <v>20</v>
      </c>
      <c r="B167" s="357">
        <f>COUNT(F108:F113,F151:F156)</f>
        <v>12</v>
      </c>
      <c r="C167" s="165"/>
      <c r="D167" s="165"/>
      <c r="E167" s="165"/>
      <c r="F167" s="297"/>
      <c r="G167" s="165"/>
      <c r="H167" s="165"/>
    </row>
    <row r="168" spans="1:8" ht="26.25" customHeight="1" x14ac:dyDescent="0.3">
      <c r="A168" s="133" t="s">
        <v>132</v>
      </c>
      <c r="B168" s="134" t="s">
        <v>125</v>
      </c>
      <c r="C168" s="584" t="str">
        <f>B20</f>
        <v>Loperamide</v>
      </c>
      <c r="D168" s="584"/>
      <c r="E168" s="129" t="s">
        <v>126</v>
      </c>
      <c r="F168" s="129"/>
      <c r="G168" s="228">
        <f>B165</f>
        <v>0.86052840742667092</v>
      </c>
      <c r="H168" s="129"/>
    </row>
    <row r="169" spans="1:8" ht="19.5" customHeight="1" thickBot="1" x14ac:dyDescent="0.35">
      <c r="A169" s="358"/>
      <c r="B169" s="358"/>
      <c r="C169" s="359"/>
      <c r="D169" s="359"/>
      <c r="E169" s="359"/>
      <c r="F169" s="359"/>
      <c r="G169" s="359"/>
      <c r="H169" s="359"/>
    </row>
    <row r="170" spans="1:8" ht="18.75" x14ac:dyDescent="0.3">
      <c r="B170" s="585" t="s">
        <v>25</v>
      </c>
      <c r="C170" s="585"/>
      <c r="E170" s="153" t="s">
        <v>26</v>
      </c>
      <c r="F170" s="360"/>
      <c r="G170" s="585" t="s">
        <v>27</v>
      </c>
      <c r="H170" s="585"/>
    </row>
    <row r="171" spans="1:8" ht="83.25" customHeight="1" x14ac:dyDescent="0.3">
      <c r="A171" s="133" t="s">
        <v>28</v>
      </c>
      <c r="B171" s="361"/>
      <c r="C171" s="361" t="s">
        <v>140</v>
      </c>
      <c r="E171" s="362"/>
      <c r="F171" s="129"/>
      <c r="G171" s="362"/>
      <c r="H171" s="362"/>
    </row>
    <row r="172" spans="1:8" ht="84" customHeight="1" x14ac:dyDescent="0.3">
      <c r="A172" s="133" t="s">
        <v>29</v>
      </c>
      <c r="B172" s="363"/>
      <c r="C172" s="363"/>
      <c r="E172" s="364"/>
      <c r="F172" s="129"/>
      <c r="G172" s="365"/>
      <c r="H172" s="365"/>
    </row>
    <row r="173" spans="1:8" ht="18.75" x14ac:dyDescent="0.3">
      <c r="A173" s="161"/>
      <c r="B173" s="161"/>
      <c r="C173" s="161"/>
      <c r="D173" s="161"/>
      <c r="E173" s="161"/>
      <c r="F173" s="183"/>
      <c r="G173" s="161"/>
      <c r="H173" s="161"/>
    </row>
    <row r="174" spans="1:8" ht="18.75" x14ac:dyDescent="0.3">
      <c r="A174" s="161"/>
      <c r="B174" s="161"/>
      <c r="C174" s="161"/>
      <c r="D174" s="161"/>
      <c r="E174" s="161"/>
      <c r="F174" s="183"/>
      <c r="G174" s="161"/>
      <c r="H174" s="161"/>
    </row>
    <row r="175" spans="1:8" ht="18.75" x14ac:dyDescent="0.3">
      <c r="A175" s="161"/>
      <c r="B175" s="161"/>
      <c r="C175" s="161"/>
      <c r="D175" s="161"/>
      <c r="E175" s="161"/>
      <c r="F175" s="183"/>
      <c r="G175" s="161"/>
      <c r="H175" s="161"/>
    </row>
    <row r="176" spans="1:8" ht="18.75" x14ac:dyDescent="0.3">
      <c r="A176" s="161"/>
      <c r="B176" s="161"/>
      <c r="C176" s="161"/>
      <c r="D176" s="161"/>
      <c r="E176" s="161"/>
      <c r="F176" s="183"/>
      <c r="G176" s="161"/>
      <c r="H176" s="161"/>
    </row>
    <row r="177" spans="1:8" ht="18.75" x14ac:dyDescent="0.3">
      <c r="A177" s="161"/>
      <c r="B177" s="161"/>
      <c r="C177" s="161"/>
      <c r="D177" s="161"/>
      <c r="E177" s="161"/>
      <c r="F177" s="183"/>
      <c r="G177" s="161"/>
      <c r="H177" s="161"/>
    </row>
    <row r="178" spans="1:8" ht="18.75" x14ac:dyDescent="0.3">
      <c r="A178" s="161"/>
      <c r="B178" s="161"/>
      <c r="C178" s="161"/>
      <c r="D178" s="161"/>
      <c r="E178" s="161"/>
      <c r="F178" s="183"/>
      <c r="G178" s="161"/>
      <c r="H178" s="161"/>
    </row>
    <row r="179" spans="1:8" ht="18.75" x14ac:dyDescent="0.3">
      <c r="A179" s="161"/>
      <c r="B179" s="161"/>
      <c r="C179" s="161"/>
      <c r="D179" s="161"/>
      <c r="E179" s="161"/>
      <c r="F179" s="183"/>
      <c r="G179" s="161"/>
      <c r="H179" s="161"/>
    </row>
    <row r="180" spans="1:8" ht="18.75" x14ac:dyDescent="0.3">
      <c r="A180" s="161"/>
      <c r="B180" s="161"/>
      <c r="C180" s="161"/>
      <c r="D180" s="161"/>
      <c r="E180" s="161"/>
      <c r="F180" s="183"/>
      <c r="G180" s="161"/>
      <c r="H180" s="161"/>
    </row>
    <row r="181" spans="1:8" ht="18.75" x14ac:dyDescent="0.3">
      <c r="A181" s="161"/>
      <c r="B181" s="161"/>
      <c r="C181" s="161"/>
      <c r="D181" s="161"/>
      <c r="E181" s="161"/>
      <c r="F181" s="183"/>
      <c r="G181" s="161"/>
      <c r="H181" s="161"/>
    </row>
    <row r="250" spans="1:1" x14ac:dyDescent="0.3">
      <c r="A250" s="124">
        <v>5</v>
      </c>
    </row>
  </sheetData>
  <sheetProtection password="F258" sheet="1" objects="1" scenarios="1" formatCells="0" formatColumns="0" formatRows="0"/>
  <mergeCells count="41">
    <mergeCell ref="B20:C20"/>
    <mergeCell ref="A1:H7"/>
    <mergeCell ref="A8:H14"/>
    <mergeCell ref="A16:H16"/>
    <mergeCell ref="A17:H17"/>
    <mergeCell ref="B18:C18"/>
    <mergeCell ref="C64:C67"/>
    <mergeCell ref="D64:D67"/>
    <mergeCell ref="B21:H21"/>
    <mergeCell ref="B26:C26"/>
    <mergeCell ref="B27:C27"/>
    <mergeCell ref="C29:G29"/>
    <mergeCell ref="C31:H31"/>
    <mergeCell ref="C32:H32"/>
    <mergeCell ref="D36:E36"/>
    <mergeCell ref="F36:G36"/>
    <mergeCell ref="A46:B47"/>
    <mergeCell ref="C60:C63"/>
    <mergeCell ref="D60:D63"/>
    <mergeCell ref="A117:B118"/>
    <mergeCell ref="C68:C71"/>
    <mergeCell ref="D68:D71"/>
    <mergeCell ref="A70:B71"/>
    <mergeCell ref="C76:D76"/>
    <mergeCell ref="B79:C79"/>
    <mergeCell ref="B80:C80"/>
    <mergeCell ref="C82:G82"/>
    <mergeCell ref="C84:H84"/>
    <mergeCell ref="C85:H85"/>
    <mergeCell ref="F89:G89"/>
    <mergeCell ref="A99:B100"/>
    <mergeCell ref="A160:B161"/>
    <mergeCell ref="C168:D168"/>
    <mergeCell ref="B170:C170"/>
    <mergeCell ref="G170:H170"/>
    <mergeCell ref="C125:G125"/>
    <mergeCell ref="C127:H127"/>
    <mergeCell ref="C128:H128"/>
    <mergeCell ref="D132:E132"/>
    <mergeCell ref="F132:G132"/>
    <mergeCell ref="A142:B143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SST-S1</vt:lpstr>
      <vt:lpstr>SST-S2</vt:lpstr>
      <vt:lpstr>Uniformity</vt:lpstr>
      <vt:lpstr>Loperamide Hydrochloride</vt:lpstr>
      <vt:lpstr>Loperamide Hydrochloride-S2</vt:lpstr>
      <vt:lpstr>'Loperamide Hydrochloride'!Print_Area</vt:lpstr>
      <vt:lpstr>'Loperamide Hydrochloride-S2'!Print_Area</vt:lpstr>
      <vt:lpstr>'SST-S1'!Print_Area</vt:lpstr>
      <vt:lpstr>'SST-S2'!Print_Area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2016-08-01T06:44:37Z</cp:lastPrinted>
  <dcterms:created xsi:type="dcterms:W3CDTF">2005-07-05T10:19:27Z</dcterms:created>
  <dcterms:modified xsi:type="dcterms:W3CDTF">2016-10-13T12:57:07Z</dcterms:modified>
</cp:coreProperties>
</file>