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Rutto\September 2016\"/>
    </mc:Choice>
  </mc:AlternateContent>
  <bookViews>
    <workbookView xWindow="630" yWindow="555" windowWidth="9255" windowHeight="7620" activeTab="2"/>
  </bookViews>
  <sheets>
    <sheet name="SST" sheetId="1" r:id="rId1"/>
    <sheet name="Uniformity" sheetId="2" r:id="rId2"/>
    <sheet name="Metronidazole" sheetId="3" r:id="rId3"/>
  </sheets>
  <definedNames>
    <definedName name="_xlnm.Print_Area" localSheetId="2">Metronidazole!$A$1:$I$124</definedName>
    <definedName name="_xlnm.Print_Area" localSheetId="0">SST!$A$15:$G$61</definedName>
    <definedName name="_xlnm.Print_Area" localSheetId="1">Uniformity!$A$12:$F$54</definedName>
  </definedNames>
  <calcPr calcId="152511"/>
</workbook>
</file>

<file path=xl/calcChain.xml><?xml version="1.0" encoding="utf-8"?>
<calcChain xmlns="http://schemas.openxmlformats.org/spreadsheetml/2006/main">
  <c r="B21" i="1" l="1"/>
  <c r="C120" i="3" l="1"/>
  <c r="B116" i="3"/>
  <c r="D100" i="3" s="1"/>
  <c r="B98" i="3"/>
  <c r="F95" i="3"/>
  <c r="D95" i="3"/>
  <c r="B87" i="3"/>
  <c r="D97" i="3" s="1"/>
  <c r="B81" i="3"/>
  <c r="B83" i="3" s="1"/>
  <c r="B79" i="3"/>
  <c r="C76" i="3"/>
  <c r="B68" i="3"/>
  <c r="C56" i="3"/>
  <c r="B55" i="3"/>
  <c r="B45" i="3"/>
  <c r="D48" i="3" s="1"/>
  <c r="F42" i="3"/>
  <c r="D42" i="3"/>
  <c r="B34" i="3"/>
  <c r="D44" i="3" s="1"/>
  <c r="B30" i="3"/>
  <c r="B49" i="2"/>
  <c r="C46" i="2"/>
  <c r="C50" i="2" s="1"/>
  <c r="C45" i="2"/>
  <c r="D41" i="2"/>
  <c r="D38" i="2"/>
  <c r="D34" i="2"/>
  <c r="D33" i="2"/>
  <c r="D29" i="2"/>
  <c r="D27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5" i="2" l="1"/>
  <c r="D30" i="2"/>
  <c r="D35" i="2"/>
  <c r="D42" i="2"/>
  <c r="D50" i="2"/>
  <c r="D26" i="2"/>
  <c r="D31" i="2"/>
  <c r="D37" i="2"/>
  <c r="D101" i="3"/>
  <c r="D102" i="3" s="1"/>
  <c r="I92" i="3"/>
  <c r="F97" i="3"/>
  <c r="I39" i="3"/>
  <c r="D49" i="3"/>
  <c r="F44" i="3"/>
  <c r="F45" i="3" s="1"/>
  <c r="D45" i="3"/>
  <c r="E40" i="3" s="1"/>
  <c r="D98" i="3"/>
  <c r="D99" i="3" s="1"/>
  <c r="G94" i="3"/>
  <c r="F98" i="3"/>
  <c r="G92" i="3" s="1"/>
  <c r="E38" i="3"/>
  <c r="E41" i="3"/>
  <c r="E94" i="3"/>
  <c r="D39" i="2"/>
  <c r="D43" i="2"/>
  <c r="C49" i="2"/>
  <c r="D24" i="2"/>
  <c r="D28" i="2"/>
  <c r="D32" i="2"/>
  <c r="D36" i="2"/>
  <c r="D40" i="2"/>
  <c r="D49" i="2"/>
  <c r="B57" i="3"/>
  <c r="B69" i="3" s="1"/>
  <c r="E91" i="3"/>
  <c r="G93" i="3" l="1"/>
  <c r="D103" i="3" s="1"/>
  <c r="E92" i="3"/>
  <c r="E93" i="3"/>
  <c r="G91" i="3"/>
  <c r="F99" i="3"/>
  <c r="E39" i="3"/>
  <c r="E42" i="3" s="1"/>
  <c r="D46" i="3"/>
  <c r="G38" i="3"/>
  <c r="F46" i="3"/>
  <c r="G41" i="3"/>
  <c r="G39" i="3"/>
  <c r="G40" i="3"/>
  <c r="E95" i="3" l="1"/>
  <c r="G95" i="3"/>
  <c r="D105" i="3"/>
  <c r="G42" i="3"/>
  <c r="D50" i="3"/>
  <c r="G66" i="3" s="1"/>
  <c r="H66" i="3" s="1"/>
  <c r="D52" i="3"/>
  <c r="E112" i="3"/>
  <c r="F112" i="3" s="1"/>
  <c r="E113" i="3"/>
  <c r="F113" i="3" s="1"/>
  <c r="E111" i="3"/>
  <c r="F111" i="3" s="1"/>
  <c r="E109" i="3"/>
  <c r="F109" i="3" s="1"/>
  <c r="D104" i="3"/>
  <c r="E110" i="3"/>
  <c r="F110" i="3" s="1"/>
  <c r="E108" i="3"/>
  <c r="G65" i="3" l="1"/>
  <c r="H65" i="3" s="1"/>
  <c r="G69" i="3"/>
  <c r="H69" i="3" s="1"/>
  <c r="G63" i="3"/>
  <c r="H63" i="3" s="1"/>
  <c r="G68" i="3"/>
  <c r="H68" i="3" s="1"/>
  <c r="D51" i="3"/>
  <c r="G71" i="3"/>
  <c r="H71" i="3" s="1"/>
  <c r="G67" i="3"/>
  <c r="H67" i="3" s="1"/>
  <c r="G60" i="3"/>
  <c r="H60" i="3" s="1"/>
  <c r="G61" i="3"/>
  <c r="H61" i="3" s="1"/>
  <c r="G70" i="3"/>
  <c r="H70" i="3" s="1"/>
  <c r="G62" i="3"/>
  <c r="H62" i="3" s="1"/>
  <c r="G64" i="3"/>
  <c r="H64" i="3" s="1"/>
  <c r="E117" i="3"/>
  <c r="F108" i="3"/>
  <c r="E115" i="3"/>
  <c r="E116" i="3" s="1"/>
  <c r="G74" i="3" l="1"/>
  <c r="G72" i="3"/>
  <c r="G73" i="3" s="1"/>
  <c r="H74" i="3"/>
  <c r="H72" i="3"/>
  <c r="F117" i="3"/>
  <c r="F115" i="3"/>
  <c r="F116" i="3" l="1"/>
  <c r="G120" i="3"/>
  <c r="H73" i="3"/>
  <c r="G76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<sst xmlns="http://schemas.openxmlformats.org/spreadsheetml/2006/main" count="233" uniqueCount="129">
  <si>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</si>
  <si>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</si>
  <si>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</si>
  <si>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</si>
  <si>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</si>
  <si>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METROVIN TABLETS</t>
  </si>
  <si>
    <t>% age Purity:</t>
  </si>
  <si>
    <t>NDQD201605937</t>
  </si>
  <si>
    <t>Weight (mg):</t>
  </si>
  <si>
    <t>Metronidazole BP</t>
  </si>
  <si>
    <t>Standard Conc (mg/mL):</t>
  </si>
  <si>
    <t>Each tablet contains Metronidazole 200 mg</t>
  </si>
  <si>
    <t>2016-05-13 09:06:09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</si>
  <si>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</si>
  <si>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</si>
  <si>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</si>
  <si>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</si>
  <si>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</si>
  <si>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</si>
  <si>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</si>
  <si>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</si>
  <si>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</si>
  <si>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</si>
  <si>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</si>
  <si>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</si>
  <si>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</si>
  <si>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</si>
  <si>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</si>
  <si>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</si>
  <si>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</si>
  <si>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</si>
  <si>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</si>
  <si>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</si>
  <si>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</si>
  <si>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</si>
  <si>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</si>
  <si>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</si>
  <si>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</si>
  <si>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</si>
  <si>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</si>
  <si>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</si>
  <si>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</si>
  <si>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</si>
  <si>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</si>
  <si>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</si>
  <si>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</si>
  <si>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</si>
  <si>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</si>
  <si>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</si>
  <si>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</si>
  <si>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</si>
  <si>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</si>
  <si>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</si>
  <si>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</si>
  <si>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</si>
  <si>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</si>
  <si>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</si>
  <si>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</si>
  <si>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</si>
  <si>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</si>
  <si>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</si>
  <si>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</si>
  <si>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</si>
  <si>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</si>
  <si>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</si>
  <si>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</si>
  <si>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</si>
  <si>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</si>
  <si>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</si>
  <si>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</si>
  <si>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</si>
  <si>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</si>
  <si>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</si>
  <si>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</si>
  <si>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</si>
  <si>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</si>
  <si>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</si>
  <si>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</si>
  <si>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</si>
  <si>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</si>
  <si>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</si>
  <si>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</si>
  <si>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</si>
  <si>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</si>
  <si>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</si>
  <si>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</si>
  <si>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</si>
  <si>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</si>
  <si>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</si>
  <si>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</si>
  <si>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</si>
  <si>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</si>
  <si>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</si>
  <si>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</si>
  <si>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</si>
  <si>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</si>
  <si>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</si>
  <si>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</si>
  <si>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</si>
  <si>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</si>
  <si>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</si>
  <si>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</si>
  <si>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</si>
  <si>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</si>
  <si>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</si>
  <si>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</si>
  <si>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</si>
  <si>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</si>
  <si>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</si>
  <si>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</si>
  <si>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</si>
  <si>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</si>
  <si>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</si>
  <si>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</si>
  <si>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</si>
  <si>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</si>
  <si>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</si>
  <si>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</si>
  <si>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</si>
  <si>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</si>
  <si>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</si>
  <si>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</si>
  <si>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</si>
  <si>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</si>
  <si>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</si>
  <si>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Metronidazole</t>
  </si>
  <si>
    <t xml:space="preserve">Metronidazole </t>
  </si>
  <si>
    <t>RUTTO/LORNA</t>
  </si>
  <si>
    <t>M2-3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</si>
</sst>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E29" sqref="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0" t="s">
        <v>0</v>
      </c>
      <c r="B15" s="280"/>
      <c r="C15" s="280"/>
      <c r="D15" s="280"/>
      <c r="E15" s="2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12.19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12.19/25</f>
        <v>0.48759999999999998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59696600</v>
      </c>
      <c r="C24" s="18">
        <v>8467.56</v>
      </c>
      <c r="D24" s="19">
        <v>1.65</v>
      </c>
      <c r="E24" s="20">
        <v>6.79</v>
      </c>
    </row>
    <row r="25" spans="1:6" ht="16.5" customHeight="1" x14ac:dyDescent="0.3">
      <c r="A25" s="17">
        <v>2</v>
      </c>
      <c r="B25" s="18">
        <v>59590020</v>
      </c>
      <c r="C25" s="18">
        <v>8550.75</v>
      </c>
      <c r="D25" s="19">
        <v>1.66</v>
      </c>
      <c r="E25" s="19">
        <v>6.79</v>
      </c>
    </row>
    <row r="26" spans="1:6" ht="16.5" customHeight="1" x14ac:dyDescent="0.3">
      <c r="A26" s="17">
        <v>3</v>
      </c>
      <c r="B26" s="18">
        <v>59578154</v>
      </c>
      <c r="C26" s="18">
        <v>8537.9</v>
      </c>
      <c r="D26" s="19">
        <v>1.68</v>
      </c>
      <c r="E26" s="19">
        <v>6.79</v>
      </c>
    </row>
    <row r="27" spans="1:6" ht="16.5" customHeight="1" x14ac:dyDescent="0.3">
      <c r="A27" s="17">
        <v>4</v>
      </c>
      <c r="B27" s="18">
        <v>59399873</v>
      </c>
      <c r="C27" s="18">
        <v>8488.2099999999991</v>
      </c>
      <c r="D27" s="19">
        <v>1.7</v>
      </c>
      <c r="E27" s="19">
        <v>6.79</v>
      </c>
    </row>
    <row r="28" spans="1:6" ht="16.5" customHeight="1" x14ac:dyDescent="0.3">
      <c r="A28" s="17">
        <v>5</v>
      </c>
      <c r="B28" s="18">
        <v>59310390</v>
      </c>
      <c r="C28" s="18">
        <v>8406.33</v>
      </c>
      <c r="D28" s="19">
        <v>1.73</v>
      </c>
      <c r="E28" s="19">
        <v>6.8</v>
      </c>
    </row>
    <row r="29" spans="1:6" ht="16.5" customHeight="1" x14ac:dyDescent="0.3">
      <c r="A29" s="17">
        <v>6</v>
      </c>
      <c r="B29" s="21">
        <v>59433972</v>
      </c>
      <c r="C29" s="21">
        <v>8387.85</v>
      </c>
      <c r="D29" s="22">
        <v>1.73</v>
      </c>
      <c r="E29" s="22">
        <v>6.8</v>
      </c>
    </row>
    <row r="30" spans="1:6" ht="16.5" customHeight="1" x14ac:dyDescent="0.3">
      <c r="A30" s="23" t="s">
        <v>18</v>
      </c>
      <c r="B30" s="24">
        <f>AVERAGE(B24:B29)</f>
        <v>59501501.5</v>
      </c>
      <c r="C30" s="25">
        <f>AVERAGE(C24:C29)</f>
        <v>8473.1</v>
      </c>
      <c r="D30" s="26">
        <f>AVERAGE(D24:D29)</f>
        <v>1.6916666666666667</v>
      </c>
      <c r="E30" s="26">
        <f>AVERAGE(E24:E29)</f>
        <v>6.793333333333333</v>
      </c>
    </row>
    <row r="31" spans="1:6" ht="16.5" customHeight="1" x14ac:dyDescent="0.3">
      <c r="A31" s="27" t="s">
        <v>19</v>
      </c>
      <c r="B31" s="28">
        <f>(STDEV(B24:B29)/B30)</f>
        <v>2.4143433457026495E-3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1" t="s">
        <v>26</v>
      </c>
      <c r="C59" s="2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127</v>
      </c>
      <c r="C60" s="48"/>
      <c r="E60" s="279">
        <v>42590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5" workbookViewId="0">
      <selection activeCell="D40" sqref="D4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31</v>
      </c>
      <c r="B11" s="286"/>
      <c r="C11" s="286"/>
      <c r="D11" s="286"/>
      <c r="E11" s="286"/>
      <c r="F11" s="287"/>
      <c r="G11" s="91"/>
    </row>
    <row r="12" spans="1:7" ht="16.5" customHeight="1" x14ac:dyDescent="0.3">
      <c r="A12" s="284" t="s">
        <v>32</v>
      </c>
      <c r="B12" s="284"/>
      <c r="C12" s="284"/>
      <c r="D12" s="284"/>
      <c r="E12" s="284"/>
      <c r="F12" s="284"/>
      <c r="G12" s="90"/>
    </row>
    <row r="14" spans="1:7" ht="16.5" customHeight="1" x14ac:dyDescent="0.3">
      <c r="A14" s="289" t="s">
        <v>33</v>
      </c>
      <c r="B14" s="289"/>
      <c r="C14" s="60" t="s">
        <v>5</v>
      </c>
    </row>
    <row r="15" spans="1:7" ht="16.5" customHeight="1" x14ac:dyDescent="0.3">
      <c r="A15" s="289" t="s">
        <v>34</v>
      </c>
      <c r="B15" s="289"/>
      <c r="C15" s="60" t="s">
        <v>7</v>
      </c>
    </row>
    <row r="16" spans="1:7" ht="16.5" customHeight="1" x14ac:dyDescent="0.3">
      <c r="A16" s="289" t="s">
        <v>35</v>
      </c>
      <c r="B16" s="289"/>
      <c r="C16" s="60" t="s">
        <v>9</v>
      </c>
    </row>
    <row r="17" spans="1:5" ht="16.5" customHeight="1" x14ac:dyDescent="0.3">
      <c r="A17" s="289" t="s">
        <v>36</v>
      </c>
      <c r="B17" s="289"/>
      <c r="C17" s="60" t="s">
        <v>11</v>
      </c>
    </row>
    <row r="18" spans="1:5" ht="16.5" customHeight="1" x14ac:dyDescent="0.3">
      <c r="A18" s="289" t="s">
        <v>37</v>
      </c>
      <c r="B18" s="289"/>
      <c r="C18" s="97" t="s">
        <v>12</v>
      </c>
    </row>
    <row r="19" spans="1:5" ht="16.5" customHeight="1" x14ac:dyDescent="0.3">
      <c r="A19" s="289" t="s">
        <v>38</v>
      </c>
      <c r="B19" s="28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4" t="s">
        <v>1</v>
      </c>
      <c r="B21" s="284"/>
      <c r="C21" s="59" t="s">
        <v>39</v>
      </c>
      <c r="D21" s="66"/>
    </row>
    <row r="22" spans="1:5" ht="15.75" customHeight="1" x14ac:dyDescent="0.3">
      <c r="A22" s="288"/>
      <c r="B22" s="288"/>
      <c r="C22" s="57"/>
      <c r="D22" s="288"/>
      <c r="E22" s="28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312.52</v>
      </c>
      <c r="D24" s="87">
        <f t="shared" ref="D24:D43" si="0">(C24-$C$46)/$C$46</f>
        <v>-1.7482968174773204E-2</v>
      </c>
      <c r="E24" s="53"/>
    </row>
    <row r="25" spans="1:5" ht="15.75" customHeight="1" x14ac:dyDescent="0.3">
      <c r="C25" s="95">
        <v>327.93</v>
      </c>
      <c r="D25" s="88">
        <f t="shared" si="0"/>
        <v>3.0963811104718575E-2</v>
      </c>
      <c r="E25" s="53"/>
    </row>
    <row r="26" spans="1:5" ht="15.75" customHeight="1" x14ac:dyDescent="0.3">
      <c r="C26" s="95">
        <v>321.87</v>
      </c>
      <c r="D26" s="88">
        <f t="shared" si="0"/>
        <v>1.191206013562579E-2</v>
      </c>
      <c r="E26" s="53"/>
    </row>
    <row r="27" spans="1:5" ht="15.75" customHeight="1" x14ac:dyDescent="0.3">
      <c r="C27" s="95">
        <v>319.7</v>
      </c>
      <c r="D27" s="88">
        <f t="shared" si="0"/>
        <v>5.0898984849770063E-3</v>
      </c>
      <c r="E27" s="53"/>
    </row>
    <row r="28" spans="1:5" ht="15.75" customHeight="1" x14ac:dyDescent="0.3">
      <c r="C28" s="95">
        <v>319.17</v>
      </c>
      <c r="D28" s="88">
        <f t="shared" si="0"/>
        <v>3.4236562385052821E-3</v>
      </c>
      <c r="E28" s="53"/>
    </row>
    <row r="29" spans="1:5" ht="15.75" customHeight="1" x14ac:dyDescent="0.3">
      <c r="C29" s="95">
        <v>312.18</v>
      </c>
      <c r="D29" s="88">
        <f t="shared" si="0"/>
        <v>-1.8551878295151265E-2</v>
      </c>
      <c r="E29" s="53"/>
    </row>
    <row r="30" spans="1:5" ht="15.75" customHeight="1" x14ac:dyDescent="0.3">
      <c r="C30" s="95">
        <v>314.3</v>
      </c>
      <c r="D30" s="88">
        <f t="shared" si="0"/>
        <v>-1.1886909309264011E-2</v>
      </c>
      <c r="E30" s="53"/>
    </row>
    <row r="31" spans="1:5" ht="15.75" customHeight="1" x14ac:dyDescent="0.3">
      <c r="C31" s="95">
        <v>316.67</v>
      </c>
      <c r="D31" s="88">
        <f t="shared" si="0"/>
        <v>-4.4359769995692957E-3</v>
      </c>
      <c r="E31" s="53"/>
    </row>
    <row r="32" spans="1:5" ht="15.75" customHeight="1" x14ac:dyDescent="0.3">
      <c r="C32" s="95">
        <v>323.05</v>
      </c>
      <c r="D32" s="88">
        <f t="shared" si="0"/>
        <v>1.5621807023997012E-2</v>
      </c>
      <c r="E32" s="53"/>
    </row>
    <row r="33" spans="1:7" ht="15.75" customHeight="1" x14ac:dyDescent="0.3">
      <c r="C33" s="95">
        <v>322.86</v>
      </c>
      <c r="D33" s="88">
        <f t="shared" si="0"/>
        <v>1.5024474897903352E-2</v>
      </c>
      <c r="E33" s="53"/>
    </row>
    <row r="34" spans="1:7" ht="15.75" customHeight="1" x14ac:dyDescent="0.3">
      <c r="C34" s="95">
        <v>311.29000000000002</v>
      </c>
      <c r="D34" s="88">
        <f t="shared" si="0"/>
        <v>-2.1349907727905775E-2</v>
      </c>
      <c r="E34" s="53"/>
    </row>
    <row r="35" spans="1:7" ht="15.75" customHeight="1" x14ac:dyDescent="0.3">
      <c r="C35" s="95">
        <v>318.72000000000003</v>
      </c>
      <c r="D35" s="88">
        <f t="shared" si="0"/>
        <v>2.0089222556518935E-3</v>
      </c>
      <c r="E35" s="53"/>
    </row>
    <row r="36" spans="1:7" ht="15.75" customHeight="1" x14ac:dyDescent="0.3">
      <c r="C36" s="95">
        <v>316.55</v>
      </c>
      <c r="D36" s="88">
        <f t="shared" si="0"/>
        <v>-4.8132393949968898E-3</v>
      </c>
      <c r="E36" s="53"/>
    </row>
    <row r="37" spans="1:7" ht="15.75" customHeight="1" x14ac:dyDescent="0.3">
      <c r="C37" s="95">
        <v>318.77999999999997</v>
      </c>
      <c r="D37" s="88">
        <f t="shared" si="0"/>
        <v>2.1975534533655119E-3</v>
      </c>
      <c r="E37" s="53"/>
    </row>
    <row r="38" spans="1:7" ht="15.75" customHeight="1" x14ac:dyDescent="0.3">
      <c r="C38" s="95">
        <v>315.93</v>
      </c>
      <c r="D38" s="88">
        <f t="shared" si="0"/>
        <v>-6.7624284380393999E-3</v>
      </c>
      <c r="E38" s="53"/>
    </row>
    <row r="39" spans="1:7" ht="15.75" customHeight="1" x14ac:dyDescent="0.3">
      <c r="C39" s="95">
        <v>323.8</v>
      </c>
      <c r="D39" s="88">
        <f t="shared" si="0"/>
        <v>1.7979696995419386E-2</v>
      </c>
      <c r="E39" s="53"/>
    </row>
    <row r="40" spans="1:7" ht="15.75" customHeight="1" x14ac:dyDescent="0.3">
      <c r="C40" s="95">
        <v>309.91000000000003</v>
      </c>
      <c r="D40" s="88">
        <f t="shared" si="0"/>
        <v>-2.5688425275322925E-2</v>
      </c>
      <c r="E40" s="53"/>
    </row>
    <row r="41" spans="1:7" ht="15.75" customHeight="1" x14ac:dyDescent="0.3">
      <c r="C41" s="95">
        <v>319.70999999999998</v>
      </c>
      <c r="D41" s="88">
        <f t="shared" si="0"/>
        <v>5.1213370179292762E-3</v>
      </c>
      <c r="E41" s="53"/>
    </row>
    <row r="42" spans="1:7" ht="15.75" customHeight="1" x14ac:dyDescent="0.3">
      <c r="C42" s="95">
        <v>320.52</v>
      </c>
      <c r="D42" s="88">
        <f t="shared" si="0"/>
        <v>7.667858187065447E-3</v>
      </c>
      <c r="E42" s="53"/>
    </row>
    <row r="43" spans="1:7" ht="16.5" customHeight="1" x14ac:dyDescent="0.3">
      <c r="C43" s="96">
        <v>316.16000000000003</v>
      </c>
      <c r="D43" s="89">
        <f t="shared" si="0"/>
        <v>-6.0393421801364817E-3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6361.6200000000008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318.08100000000002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2">
        <f>C46</f>
        <v>318.08100000000002</v>
      </c>
      <c r="C49" s="93">
        <f>-IF(C46&lt;=80,10%,IF(C46&lt;250,7.5%,5%))</f>
        <v>-0.05</v>
      </c>
      <c r="D49" s="81">
        <f>IF(C46&lt;=80,C46*0.9,IF(C46&lt;250,C46*0.925,C46*0.95))</f>
        <v>302.17694999999998</v>
      </c>
    </row>
    <row r="50" spans="1:6" ht="17.25" customHeight="1" x14ac:dyDescent="0.3">
      <c r="B50" s="283"/>
      <c r="C50" s="94">
        <f>IF(C46&lt;=80, 10%, IF(C46&lt;250, 7.5%, 5%))</f>
        <v>0.05</v>
      </c>
      <c r="D50" s="81">
        <f>IF(C46&lt;=80, C46*1.1, IF(C46&lt;250, C46*1.075, C46*1.05))</f>
        <v>333.98505000000006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61" zoomScale="50" zoomScaleNormal="40" zoomScalePageLayoutView="50" workbookViewId="0">
      <selection activeCell="E95" sqref="E9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8" t="s">
        <v>45</v>
      </c>
      <c r="B1" s="318"/>
      <c r="C1" s="318"/>
      <c r="D1" s="318"/>
      <c r="E1" s="318"/>
      <c r="F1" s="318"/>
      <c r="G1" s="318"/>
      <c r="H1" s="318"/>
      <c r="I1" s="318"/>
    </row>
    <row r="2" spans="1:9" ht="18.75" customHeight="1" x14ac:dyDescent="0.25">
      <c r="A2" s="318"/>
      <c r="B2" s="318"/>
      <c r="C2" s="318"/>
      <c r="D2" s="318"/>
      <c r="E2" s="318"/>
      <c r="F2" s="318"/>
      <c r="G2" s="318"/>
      <c r="H2" s="318"/>
      <c r="I2" s="318"/>
    </row>
    <row r="3" spans="1:9" ht="18.75" customHeight="1" x14ac:dyDescent="0.25">
      <c r="A3" s="318"/>
      <c r="B3" s="318"/>
      <c r="C3" s="318"/>
      <c r="D3" s="318"/>
      <c r="E3" s="318"/>
      <c r="F3" s="318"/>
      <c r="G3" s="318"/>
      <c r="H3" s="318"/>
      <c r="I3" s="318"/>
    </row>
    <row r="4" spans="1:9" ht="18.75" customHeight="1" x14ac:dyDescent="0.25">
      <c r="A4" s="318"/>
      <c r="B4" s="318"/>
      <c r="C4" s="318"/>
      <c r="D4" s="318"/>
      <c r="E4" s="318"/>
      <c r="F4" s="318"/>
      <c r="G4" s="318"/>
      <c r="H4" s="318"/>
      <c r="I4" s="318"/>
    </row>
    <row r="5" spans="1:9" ht="18.75" customHeight="1" x14ac:dyDescent="0.25">
      <c r="A5" s="318"/>
      <c r="B5" s="318"/>
      <c r="C5" s="318"/>
      <c r="D5" s="318"/>
      <c r="E5" s="318"/>
      <c r="F5" s="318"/>
      <c r="G5" s="318"/>
      <c r="H5" s="318"/>
      <c r="I5" s="318"/>
    </row>
    <row r="6" spans="1:9" ht="18.75" customHeight="1" x14ac:dyDescent="0.25">
      <c r="A6" s="318"/>
      <c r="B6" s="318"/>
      <c r="C6" s="318"/>
      <c r="D6" s="318"/>
      <c r="E6" s="318"/>
      <c r="F6" s="318"/>
      <c r="G6" s="318"/>
      <c r="H6" s="318"/>
      <c r="I6" s="318"/>
    </row>
    <row r="7" spans="1:9" ht="18.75" customHeight="1" x14ac:dyDescent="0.25">
      <c r="A7" s="318"/>
      <c r="B7" s="318"/>
      <c r="C7" s="318"/>
      <c r="D7" s="318"/>
      <c r="E7" s="318"/>
      <c r="F7" s="318"/>
      <c r="G7" s="318"/>
      <c r="H7" s="318"/>
      <c r="I7" s="318"/>
    </row>
    <row r="8" spans="1:9" x14ac:dyDescent="0.25">
      <c r="A8" s="319" t="s">
        <v>46</v>
      </c>
      <c r="B8" s="319"/>
      <c r="C8" s="319"/>
      <c r="D8" s="319"/>
      <c r="E8" s="319"/>
      <c r="F8" s="319"/>
      <c r="G8" s="319"/>
      <c r="H8" s="319"/>
      <c r="I8" s="319"/>
    </row>
    <row r="9" spans="1:9" x14ac:dyDescent="0.25">
      <c r="A9" s="319"/>
      <c r="B9" s="319"/>
      <c r="C9" s="319"/>
      <c r="D9" s="319"/>
      <c r="E9" s="319"/>
      <c r="F9" s="319"/>
      <c r="G9" s="319"/>
      <c r="H9" s="319"/>
      <c r="I9" s="319"/>
    </row>
    <row r="10" spans="1:9" x14ac:dyDescent="0.25">
      <c r="A10" s="319"/>
      <c r="B10" s="319"/>
      <c r="C10" s="319"/>
      <c r="D10" s="319"/>
      <c r="E10" s="319"/>
      <c r="F10" s="319"/>
      <c r="G10" s="319"/>
      <c r="H10" s="319"/>
      <c r="I10" s="319"/>
    </row>
    <row r="11" spans="1:9" x14ac:dyDescent="0.25">
      <c r="A11" s="319"/>
      <c r="B11" s="319"/>
      <c r="C11" s="319"/>
      <c r="D11" s="319"/>
      <c r="E11" s="319"/>
      <c r="F11" s="319"/>
      <c r="G11" s="319"/>
      <c r="H11" s="319"/>
      <c r="I11" s="319"/>
    </row>
    <row r="12" spans="1:9" x14ac:dyDescent="0.25">
      <c r="A12" s="319"/>
      <c r="B12" s="319"/>
      <c r="C12" s="319"/>
      <c r="D12" s="319"/>
      <c r="E12" s="319"/>
      <c r="F12" s="319"/>
      <c r="G12" s="319"/>
      <c r="H12" s="319"/>
      <c r="I12" s="319"/>
    </row>
    <row r="13" spans="1:9" x14ac:dyDescent="0.25">
      <c r="A13" s="319"/>
      <c r="B13" s="319"/>
      <c r="C13" s="319"/>
      <c r="D13" s="319"/>
      <c r="E13" s="319"/>
      <c r="F13" s="319"/>
      <c r="G13" s="319"/>
      <c r="H13" s="319"/>
      <c r="I13" s="319"/>
    </row>
    <row r="14" spans="1:9" x14ac:dyDescent="0.25">
      <c r="A14" s="319"/>
      <c r="B14" s="319"/>
      <c r="C14" s="319"/>
      <c r="D14" s="319"/>
      <c r="E14" s="319"/>
      <c r="F14" s="319"/>
      <c r="G14" s="319"/>
      <c r="H14" s="319"/>
      <c r="I14" s="319"/>
    </row>
    <row r="15" spans="1:9" ht="19.5" customHeight="1" x14ac:dyDescent="0.3">
      <c r="A15" s="98"/>
    </row>
    <row r="16" spans="1:9" ht="19.5" customHeight="1" x14ac:dyDescent="0.3">
      <c r="A16" s="291" t="s">
        <v>31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25">
      <c r="A17" s="294" t="s">
        <v>47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4">
      <c r="A18" s="100" t="s">
        <v>33</v>
      </c>
      <c r="B18" s="290" t="s">
        <v>5</v>
      </c>
      <c r="C18" s="290"/>
      <c r="D18" s="26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8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5" t="s">
        <v>9</v>
      </c>
      <c r="C20" s="29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5" t="s">
        <v>11</v>
      </c>
      <c r="C21" s="295"/>
      <c r="D21" s="295"/>
      <c r="E21" s="295"/>
      <c r="F21" s="295"/>
      <c r="G21" s="295"/>
      <c r="H21" s="295"/>
      <c r="I21" s="104"/>
    </row>
    <row r="22" spans="1:14" ht="26.25" customHeight="1" x14ac:dyDescent="0.4">
      <c r="A22" s="100" t="s">
        <v>37</v>
      </c>
      <c r="B22" s="105">
        <v>42587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42590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0" t="s">
        <v>125</v>
      </c>
      <c r="C26" s="290"/>
    </row>
    <row r="27" spans="1:14" ht="26.25" customHeight="1" x14ac:dyDescent="0.4">
      <c r="A27" s="109" t="s">
        <v>48</v>
      </c>
      <c r="B27" s="296" t="s">
        <v>128</v>
      </c>
      <c r="C27" s="296"/>
    </row>
    <row r="28" spans="1:14" ht="27" customHeight="1" x14ac:dyDescent="0.4">
      <c r="A28" s="109" t="s">
        <v>6</v>
      </c>
      <c r="B28" s="110">
        <v>99.74</v>
      </c>
    </row>
    <row r="29" spans="1:14" s="14" customFormat="1" ht="27" customHeight="1" x14ac:dyDescent="0.4">
      <c r="A29" s="109" t="s">
        <v>49</v>
      </c>
      <c r="B29" s="111">
        <v>0</v>
      </c>
      <c r="C29" s="297" t="s">
        <v>50</v>
      </c>
      <c r="D29" s="298"/>
      <c r="E29" s="298"/>
      <c r="F29" s="298"/>
      <c r="G29" s="299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0" t="s">
        <v>53</v>
      </c>
      <c r="D31" s="301"/>
      <c r="E31" s="301"/>
      <c r="F31" s="301"/>
      <c r="G31" s="301"/>
      <c r="H31" s="302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0" t="s">
        <v>55</v>
      </c>
      <c r="D32" s="301"/>
      <c r="E32" s="301"/>
      <c r="F32" s="301"/>
      <c r="G32" s="301"/>
      <c r="H32" s="30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03" t="s">
        <v>59</v>
      </c>
      <c r="E36" s="304"/>
      <c r="F36" s="303" t="s">
        <v>60</v>
      </c>
      <c r="G36" s="30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59754476</v>
      </c>
      <c r="E38" s="133">
        <f>IF(ISBLANK(D38),"-",$D$48/$D$45*D38)</f>
        <v>61433800.892986245</v>
      </c>
      <c r="F38" s="132">
        <v>67336425</v>
      </c>
      <c r="G38" s="134">
        <f>IF(ISBLANK(F38),"-",$D$48/$F$45*F38)</f>
        <v>61733683.326465927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59694309</v>
      </c>
      <c r="E39" s="138">
        <f>IF(ISBLANK(D39),"-",$D$48/$D$45*D39)</f>
        <v>61371942.974621631</v>
      </c>
      <c r="F39" s="137">
        <v>67770381</v>
      </c>
      <c r="G39" s="139">
        <f>IF(ISBLANK(F39),"-",$D$48/$F$45*F39)</f>
        <v>62131531.924481332</v>
      </c>
      <c r="I39" s="307">
        <f>ABS((F43/D43*D42)-F42)/D42</f>
        <v>1.0991609271090125E-2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59689749</v>
      </c>
      <c r="E40" s="138">
        <f>IF(ISBLANK(D40),"-",$D$48/$D$45*D40)</f>
        <v>61367254.821518727</v>
      </c>
      <c r="F40" s="137">
        <v>67750136</v>
      </c>
      <c r="G40" s="139">
        <f>IF(ISBLANK(F40),"-",$D$48/$F$45*F40)</f>
        <v>62112971.4140452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59712844.666666664</v>
      </c>
      <c r="E42" s="148">
        <f>AVERAGE(E38:E41)</f>
        <v>61390999.563042201</v>
      </c>
      <c r="F42" s="147">
        <f>AVERAGE(F38:F41)</f>
        <v>67618980.666666672</v>
      </c>
      <c r="G42" s="149">
        <f>AVERAGE(G38:G41)</f>
        <v>61992728.888330817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12.19</v>
      </c>
      <c r="E43" s="140"/>
      <c r="F43" s="152">
        <v>13.67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12.19</v>
      </c>
      <c r="E44" s="155"/>
      <c r="F44" s="154">
        <f>F43*$B$34</f>
        <v>13.67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</v>
      </c>
      <c r="C45" s="153" t="s">
        <v>77</v>
      </c>
      <c r="D45" s="157">
        <f>D44*$B$30/100</f>
        <v>12.158305999999998</v>
      </c>
      <c r="E45" s="158"/>
      <c r="F45" s="157">
        <f>F44*$B$30/100</f>
        <v>13.634458</v>
      </c>
      <c r="H45" s="150"/>
    </row>
    <row r="46" spans="1:14" ht="19.5" customHeight="1" x14ac:dyDescent="0.3">
      <c r="A46" s="308" t="s">
        <v>78</v>
      </c>
      <c r="B46" s="309"/>
      <c r="C46" s="153" t="s">
        <v>79</v>
      </c>
      <c r="D46" s="159">
        <f>D45/$B$45</f>
        <v>0.48633223999999992</v>
      </c>
      <c r="E46" s="160"/>
      <c r="F46" s="161">
        <f>F45/$B$45</f>
        <v>0.54537831999999997</v>
      </c>
      <c r="H46" s="150"/>
    </row>
    <row r="47" spans="1:14" ht="27" customHeight="1" x14ac:dyDescent="0.4">
      <c r="A47" s="310"/>
      <c r="B47" s="311"/>
      <c r="C47" s="162" t="s">
        <v>80</v>
      </c>
      <c r="D47" s="163">
        <v>0.5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12.5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61691864.225686513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5.8296210954032444E-3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Metronidazole 200 mg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>Metronidazole BP</v>
      </c>
      <c r="H56" s="179"/>
    </row>
    <row r="57" spans="1:12" ht="18.75" x14ac:dyDescent="0.3">
      <c r="A57" s="176" t="s">
        <v>88</v>
      </c>
      <c r="B57" s="266">
        <f>Uniformity!C46</f>
        <v>318.08100000000002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2" t="s">
        <v>94</v>
      </c>
      <c r="D60" s="315">
        <v>795.36</v>
      </c>
      <c r="E60" s="182">
        <v>1</v>
      </c>
      <c r="F60" s="183">
        <v>60628703</v>
      </c>
      <c r="G60" s="267">
        <f>IF(ISBLANK(F60),"-",(F60/$D$50*$D$47*$B$68)*($B$57/$D$60))</f>
        <v>196.51439570075101</v>
      </c>
      <c r="H60" s="184">
        <f t="shared" ref="H60:H71" si="0">IF(ISBLANK(F60),"-",G60/$B$56)</f>
        <v>0.98257197850375499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3"/>
      <c r="D61" s="316"/>
      <c r="E61" s="185">
        <v>2</v>
      </c>
      <c r="F61" s="137">
        <v>60951610</v>
      </c>
      <c r="G61" s="268">
        <f>IF(ISBLANK(F61),"-",(F61/$D$50*$D$47*$B$68)*($B$57/$D$60))</f>
        <v>197.56102660051712</v>
      </c>
      <c r="H61" s="186">
        <f t="shared" si="0"/>
        <v>0.98780513300258566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3"/>
      <c r="D62" s="316"/>
      <c r="E62" s="185">
        <v>3</v>
      </c>
      <c r="F62" s="187">
        <v>60864171</v>
      </c>
      <c r="G62" s="268">
        <f>IF(ISBLANK(F62),"-",(F62/$D$50*$D$47*$B$68)*($B$57/$D$60))</f>
        <v>197.27761261678606</v>
      </c>
      <c r="H62" s="186">
        <f t="shared" si="0"/>
        <v>0.98638806308393034</v>
      </c>
      <c r="L62" s="112"/>
    </row>
    <row r="63" spans="1:12" ht="27" customHeight="1" x14ac:dyDescent="0.4">
      <c r="A63" s="124" t="s">
        <v>97</v>
      </c>
      <c r="B63" s="125">
        <v>1</v>
      </c>
      <c r="C63" s="314"/>
      <c r="D63" s="317"/>
      <c r="E63" s="188">
        <v>4</v>
      </c>
      <c r="F63" s="189"/>
      <c r="G63" s="268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2" t="s">
        <v>99</v>
      </c>
      <c r="D64" s="315">
        <v>796.08</v>
      </c>
      <c r="E64" s="182">
        <v>1</v>
      </c>
      <c r="F64" s="183">
        <v>61010502</v>
      </c>
      <c r="G64" s="269">
        <f>IF(ISBLANK(F64),"-",(F64/$D$50*$D$47*$B$68)*($B$57/$D$64))</f>
        <v>197.57305876057106</v>
      </c>
      <c r="H64" s="190">
        <f t="shared" si="0"/>
        <v>0.98786529380285526</v>
      </c>
    </row>
    <row r="65" spans="1:8" ht="26.25" customHeight="1" x14ac:dyDescent="0.4">
      <c r="A65" s="124" t="s">
        <v>100</v>
      </c>
      <c r="B65" s="125">
        <v>1</v>
      </c>
      <c r="C65" s="313"/>
      <c r="D65" s="316"/>
      <c r="E65" s="185">
        <v>2</v>
      </c>
      <c r="F65" s="137">
        <v>61266399</v>
      </c>
      <c r="G65" s="270">
        <f>IF(ISBLANK(F65),"-",(F65/$D$50*$D$47*$B$68)*($B$57/$D$64))</f>
        <v>198.40174155058733</v>
      </c>
      <c r="H65" s="191">
        <f t="shared" si="0"/>
        <v>0.9920087077529367</v>
      </c>
    </row>
    <row r="66" spans="1:8" ht="26.25" customHeight="1" x14ac:dyDescent="0.4">
      <c r="A66" s="124" t="s">
        <v>101</v>
      </c>
      <c r="B66" s="125">
        <v>1</v>
      </c>
      <c r="C66" s="313"/>
      <c r="D66" s="316"/>
      <c r="E66" s="185">
        <v>3</v>
      </c>
      <c r="F66" s="137">
        <v>61212373</v>
      </c>
      <c r="G66" s="270">
        <f>IF(ISBLANK(F66),"-",(F66/$D$50*$D$47*$B$68)*($B$57/$D$64))</f>
        <v>198.22678671948961</v>
      </c>
      <c r="H66" s="191">
        <f t="shared" si="0"/>
        <v>0.99113393359744806</v>
      </c>
    </row>
    <row r="67" spans="1:8" ht="27" customHeight="1" x14ac:dyDescent="0.4">
      <c r="A67" s="124" t="s">
        <v>102</v>
      </c>
      <c r="B67" s="125">
        <v>1</v>
      </c>
      <c r="C67" s="314"/>
      <c r="D67" s="317"/>
      <c r="E67" s="188">
        <v>4</v>
      </c>
      <c r="F67" s="189"/>
      <c r="G67" s="27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12" t="s">
        <v>104</v>
      </c>
      <c r="D68" s="315">
        <v>794.25</v>
      </c>
      <c r="E68" s="182">
        <v>1</v>
      </c>
      <c r="F68" s="183">
        <v>61322401</v>
      </c>
      <c r="G68" s="269">
        <f>IF(ISBLANK(F68),"-",(F68/$D$50*$D$47*$B$68)*($B$57/$D$68))</f>
        <v>199.04064280449072</v>
      </c>
      <c r="H68" s="186">
        <f t="shared" si="0"/>
        <v>0.9952032140224536</v>
      </c>
    </row>
    <row r="69" spans="1:8" ht="27" customHeight="1" x14ac:dyDescent="0.4">
      <c r="A69" s="172" t="s">
        <v>105</v>
      </c>
      <c r="B69" s="194">
        <f>(D47*B68)/B56*B57</f>
        <v>795.2025000000001</v>
      </c>
      <c r="C69" s="313"/>
      <c r="D69" s="316"/>
      <c r="E69" s="185">
        <v>2</v>
      </c>
      <c r="F69" s="137">
        <v>61060222</v>
      </c>
      <c r="G69" s="270">
        <f>IF(ISBLANK(F69),"-",(F69/$D$50*$D$47*$B$68)*($B$57/$D$68))</f>
        <v>198.18966052332013</v>
      </c>
      <c r="H69" s="186">
        <f t="shared" si="0"/>
        <v>0.99094830261660061</v>
      </c>
    </row>
    <row r="70" spans="1:8" ht="26.25" customHeight="1" x14ac:dyDescent="0.4">
      <c r="A70" s="325" t="s">
        <v>78</v>
      </c>
      <c r="B70" s="326"/>
      <c r="C70" s="313"/>
      <c r="D70" s="316"/>
      <c r="E70" s="185">
        <v>3</v>
      </c>
      <c r="F70" s="137">
        <v>61155736</v>
      </c>
      <c r="G70" s="270">
        <f>IF(ISBLANK(F70),"-",(F70/$D$50*$D$47*$B$68)*($B$57/$D$68))</f>
        <v>198.49968047764037</v>
      </c>
      <c r="H70" s="186">
        <f t="shared" si="0"/>
        <v>0.99249840238820186</v>
      </c>
    </row>
    <row r="71" spans="1:8" ht="27" customHeight="1" x14ac:dyDescent="0.4">
      <c r="A71" s="327"/>
      <c r="B71" s="328"/>
      <c r="C71" s="324"/>
      <c r="D71" s="317"/>
      <c r="E71" s="188">
        <v>4</v>
      </c>
      <c r="F71" s="189"/>
      <c r="G71" s="27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6">
        <f>AVERAGE(G60:G71)</f>
        <v>197.92051175046149</v>
      </c>
      <c r="H72" s="199">
        <f>AVERAGE(H60:H71)</f>
        <v>0.98960255875230729</v>
      </c>
    </row>
    <row r="73" spans="1:8" ht="26.25" customHeight="1" x14ac:dyDescent="0.4">
      <c r="C73" s="196"/>
      <c r="D73" s="196"/>
      <c r="E73" s="196"/>
      <c r="F73" s="200" t="s">
        <v>84</v>
      </c>
      <c r="G73" s="272">
        <f>STDEV(G60:G71)/G72</f>
        <v>3.8430787489363073E-3</v>
      </c>
      <c r="H73" s="272">
        <f>STDEV(H60:H71)/H72</f>
        <v>3.843078748936322E-3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20" t="str">
        <f>B20</f>
        <v>Metronidazole BP</v>
      </c>
      <c r="D76" s="320"/>
      <c r="E76" s="205" t="s">
        <v>108</v>
      </c>
      <c r="F76" s="205"/>
      <c r="G76" s="206">
        <f>H72</f>
        <v>0.98960255875230729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6" t="str">
        <f>B26</f>
        <v>Metronidazole</v>
      </c>
      <c r="C79" s="306"/>
    </row>
    <row r="80" spans="1:8" ht="26.25" customHeight="1" x14ac:dyDescent="0.4">
      <c r="A80" s="109" t="s">
        <v>48</v>
      </c>
      <c r="B80" s="306" t="s">
        <v>128</v>
      </c>
      <c r="C80" s="306"/>
    </row>
    <row r="81" spans="1:12" ht="27" customHeight="1" x14ac:dyDescent="0.4">
      <c r="A81" s="109" t="s">
        <v>6</v>
      </c>
      <c r="B81" s="208">
        <f>B28</f>
        <v>99.74</v>
      </c>
    </row>
    <row r="82" spans="1:12" s="14" customFormat="1" ht="27" customHeight="1" x14ac:dyDescent="0.4">
      <c r="A82" s="109" t="s">
        <v>49</v>
      </c>
      <c r="B82" s="111">
        <v>0</v>
      </c>
      <c r="C82" s="297" t="s">
        <v>50</v>
      </c>
      <c r="D82" s="298"/>
      <c r="E82" s="298"/>
      <c r="F82" s="298"/>
      <c r="G82" s="299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0" t="s">
        <v>111</v>
      </c>
      <c r="D84" s="301"/>
      <c r="E84" s="301"/>
      <c r="F84" s="301"/>
      <c r="G84" s="301"/>
      <c r="H84" s="302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0" t="s">
        <v>112</v>
      </c>
      <c r="D85" s="301"/>
      <c r="E85" s="301"/>
      <c r="F85" s="301"/>
      <c r="G85" s="301"/>
      <c r="H85" s="30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3" t="s">
        <v>60</v>
      </c>
      <c r="G89" s="305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0.35299999999999998</v>
      </c>
      <c r="E91" s="133">
        <f>IF(ISBLANK(D91),"-",$D$101/$D$98*D91)</f>
        <v>0.40324513775009269</v>
      </c>
      <c r="F91" s="132">
        <v>0.40600000000000003</v>
      </c>
      <c r="G91" s="134">
        <f>IF(ISBLANK(F91),"-",$D$101/$F$98*F91)</f>
        <v>0.41357631442987242</v>
      </c>
      <c r="I91" s="135"/>
    </row>
    <row r="92" spans="1:12" ht="26.25" customHeight="1" x14ac:dyDescent="0.4">
      <c r="A92" s="124" t="s">
        <v>67</v>
      </c>
      <c r="B92" s="125">
        <v>10</v>
      </c>
      <c r="C92" s="197">
        <v>2</v>
      </c>
      <c r="D92" s="137">
        <v>0.35799999999999998</v>
      </c>
      <c r="E92" s="138">
        <f>IF(ISBLANK(D92),"-",$D$101/$D$98*D92)</f>
        <v>0.40895682525363508</v>
      </c>
      <c r="F92" s="137">
        <v>0.40500000000000003</v>
      </c>
      <c r="G92" s="139">
        <f>IF(ISBLANK(F92),"-",$D$101/$F$98*F92)</f>
        <v>0.41255765355689245</v>
      </c>
      <c r="I92" s="307">
        <f>ABS((F96/D96*D95)-F95)/D95</f>
        <v>1.7165786409318134E-2</v>
      </c>
    </row>
    <row r="93" spans="1:12" ht="26.25" customHeight="1" x14ac:dyDescent="0.4">
      <c r="A93" s="124" t="s">
        <v>68</v>
      </c>
      <c r="B93" s="125">
        <v>100</v>
      </c>
      <c r="C93" s="197">
        <v>3</v>
      </c>
      <c r="D93" s="137">
        <v>0.35699999999999998</v>
      </c>
      <c r="E93" s="138">
        <f>IF(ISBLANK(D93),"-",$D$101/$D$98*D93)</f>
        <v>0.40781448775292661</v>
      </c>
      <c r="F93" s="137">
        <v>0.40500000000000003</v>
      </c>
      <c r="G93" s="139">
        <f>IF(ISBLANK(F93),"-",$D$101/$F$98*F93)</f>
        <v>0.41255765355689245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0.35600000000000004</v>
      </c>
      <c r="E95" s="148">
        <f>AVERAGE(E91:E94)</f>
        <v>0.40667215025221815</v>
      </c>
      <c r="F95" s="218">
        <f>AVERAGE(F91:F94)</f>
        <v>0.40533333333333338</v>
      </c>
      <c r="G95" s="219">
        <f>AVERAGE(G91:G94)</f>
        <v>0.41289720718121908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12.19</v>
      </c>
      <c r="E96" s="140"/>
      <c r="F96" s="152">
        <v>13.67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12.19</v>
      </c>
      <c r="E97" s="155"/>
      <c r="F97" s="154">
        <f>F96*$B$87</f>
        <v>13.67</v>
      </c>
    </row>
    <row r="98" spans="1:10" ht="19.5" customHeight="1" x14ac:dyDescent="0.3">
      <c r="A98" s="124" t="s">
        <v>76</v>
      </c>
      <c r="B98" s="224">
        <f>(B97/B96)*(B95/B94)*(B93/B92)*(B91/B90)*B89</f>
        <v>1250</v>
      </c>
      <c r="C98" s="222" t="s">
        <v>115</v>
      </c>
      <c r="D98" s="225">
        <f>D97*$B$83/100</f>
        <v>12.158305999999998</v>
      </c>
      <c r="E98" s="158"/>
      <c r="F98" s="157">
        <f>F97*$B$83/100</f>
        <v>13.634458</v>
      </c>
    </row>
    <row r="99" spans="1:10" ht="19.5" customHeight="1" x14ac:dyDescent="0.3">
      <c r="A99" s="308" t="s">
        <v>78</v>
      </c>
      <c r="B99" s="322"/>
      <c r="C99" s="222" t="s">
        <v>116</v>
      </c>
      <c r="D99" s="226">
        <f>D98/$B$98</f>
        <v>9.7266447999999981E-3</v>
      </c>
      <c r="E99" s="158"/>
      <c r="F99" s="161">
        <f>F98/$B$98</f>
        <v>1.0907566400000001E-2</v>
      </c>
      <c r="G99" s="227"/>
      <c r="H99" s="150"/>
    </row>
    <row r="100" spans="1:10" ht="19.5" customHeight="1" x14ac:dyDescent="0.3">
      <c r="A100" s="310"/>
      <c r="B100" s="323"/>
      <c r="C100" s="222" t="s">
        <v>80</v>
      </c>
      <c r="D100" s="228">
        <f>$B$56/$B$116</f>
        <v>1.1111111111111112E-2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13.888888888888889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13.888888888888889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0.4097846787167187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9.5819147918895682E-3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10</v>
      </c>
      <c r="C108" s="243">
        <v>1</v>
      </c>
      <c r="D108" s="329">
        <v>0.42399999999999999</v>
      </c>
      <c r="E108" s="273">
        <f t="shared" ref="E108:E113" si="1">IF(ISBLANK(D108),"-",D108/$D$103*$D$100*$B$116)</f>
        <v>206.93794669327221</v>
      </c>
      <c r="F108" s="244">
        <f t="shared" ref="F108:F113" si="2">IF(ISBLANK(D108), "-", E108/$B$56)</f>
        <v>1.034689733466361</v>
      </c>
    </row>
    <row r="109" spans="1:10" ht="26.25" customHeight="1" x14ac:dyDescent="0.4">
      <c r="A109" s="124" t="s">
        <v>95</v>
      </c>
      <c r="B109" s="125">
        <v>20</v>
      </c>
      <c r="C109" s="243">
        <v>2</v>
      </c>
      <c r="D109" s="329">
        <v>0.42899999999999999</v>
      </c>
      <c r="E109" s="274">
        <f t="shared" si="1"/>
        <v>209.3782526684287</v>
      </c>
      <c r="F109" s="245">
        <f t="shared" si="2"/>
        <v>1.0468912633421434</v>
      </c>
    </row>
    <row r="110" spans="1:10" ht="26.25" customHeight="1" x14ac:dyDescent="0.4">
      <c r="A110" s="124" t="s">
        <v>96</v>
      </c>
      <c r="B110" s="125">
        <v>10</v>
      </c>
      <c r="C110" s="243">
        <v>3</v>
      </c>
      <c r="D110" s="329">
        <v>0.41799999999999998</v>
      </c>
      <c r="E110" s="274">
        <f t="shared" si="1"/>
        <v>204.00957952308437</v>
      </c>
      <c r="F110" s="245">
        <f t="shared" si="2"/>
        <v>1.0200478976154219</v>
      </c>
    </row>
    <row r="111" spans="1:10" ht="26.25" customHeight="1" x14ac:dyDescent="0.4">
      <c r="A111" s="124" t="s">
        <v>97</v>
      </c>
      <c r="B111" s="125">
        <v>100</v>
      </c>
      <c r="C111" s="243">
        <v>4</v>
      </c>
      <c r="D111" s="329">
        <v>0.42399999999999999</v>
      </c>
      <c r="E111" s="274">
        <f t="shared" si="1"/>
        <v>206.93794669327221</v>
      </c>
      <c r="F111" s="245">
        <f t="shared" si="2"/>
        <v>1.034689733466361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329">
        <v>0.42599999999999999</v>
      </c>
      <c r="E112" s="274">
        <f t="shared" si="1"/>
        <v>207.91406908333477</v>
      </c>
      <c r="F112" s="245">
        <f t="shared" si="2"/>
        <v>1.0395703454166738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330">
        <v>0.42699999999999999</v>
      </c>
      <c r="E113" s="275">
        <f t="shared" si="1"/>
        <v>208.40213027836606</v>
      </c>
      <c r="F113" s="247">
        <f t="shared" si="2"/>
        <v>1.0420106513918304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48"/>
    </row>
    <row r="115" spans="1:10" ht="26.25" customHeight="1" x14ac:dyDescent="0.4">
      <c r="A115" s="124" t="s">
        <v>102</v>
      </c>
      <c r="B115" s="125">
        <v>1</v>
      </c>
      <c r="C115" s="243"/>
      <c r="D115" s="249" t="s">
        <v>71</v>
      </c>
      <c r="E115" s="277">
        <f>AVERAGE(E108:E113)</f>
        <v>207.26332082329304</v>
      </c>
      <c r="F115" s="250">
        <f>AVERAGE(F108:F113)</f>
        <v>1.0363166041164653</v>
      </c>
    </row>
    <row r="116" spans="1:10" ht="27" customHeight="1" x14ac:dyDescent="0.4">
      <c r="A116" s="124" t="s">
        <v>103</v>
      </c>
      <c r="B116" s="156">
        <f>(B115/B114)*(B113/B112)*(B111/B110)*(B109/B108)*B107</f>
        <v>18000</v>
      </c>
      <c r="C116" s="251"/>
      <c r="D116" s="216" t="s">
        <v>84</v>
      </c>
      <c r="E116" s="252">
        <f>STDEV(E108:E113)/E115</f>
        <v>8.8943268283926211E-3</v>
      </c>
      <c r="F116" s="252">
        <f>STDEV(F108:F113)/F115</f>
        <v>8.8943268283925968E-3</v>
      </c>
      <c r="I116" s="98"/>
    </row>
    <row r="117" spans="1:10" ht="27" customHeight="1" x14ac:dyDescent="0.4">
      <c r="A117" s="308" t="s">
        <v>78</v>
      </c>
      <c r="B117" s="309"/>
      <c r="C117" s="253"/>
      <c r="D117" s="254" t="s">
        <v>20</v>
      </c>
      <c r="E117" s="255">
        <f>COUNT(E108:E113)</f>
        <v>6</v>
      </c>
      <c r="F117" s="255">
        <f>COUNT(F108:F113)</f>
        <v>6</v>
      </c>
      <c r="I117" s="98"/>
      <c r="J117" s="236"/>
    </row>
    <row r="118" spans="1:10" ht="19.5" customHeight="1" x14ac:dyDescent="0.3">
      <c r="A118" s="310"/>
      <c r="B118" s="311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4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0" t="str">
        <f>B20</f>
        <v>Metronidazole BP</v>
      </c>
      <c r="D120" s="320"/>
      <c r="E120" s="205" t="s">
        <v>124</v>
      </c>
      <c r="F120" s="205"/>
      <c r="G120" s="206">
        <f>F115</f>
        <v>1.0363166041164653</v>
      </c>
      <c r="H120" s="98"/>
      <c r="I120" s="98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321" t="s">
        <v>26</v>
      </c>
      <c r="C122" s="321"/>
      <c r="E122" s="211" t="s">
        <v>27</v>
      </c>
      <c r="F122" s="258"/>
      <c r="G122" s="321" t="s">
        <v>28</v>
      </c>
      <c r="H122" s="321"/>
    </row>
    <row r="123" spans="1:10" ht="69.95" customHeight="1" x14ac:dyDescent="0.3">
      <c r="A123" s="259" t="s">
        <v>29</v>
      </c>
      <c r="B123" s="260"/>
      <c r="C123" s="260"/>
      <c r="E123" s="260"/>
      <c r="F123" s="98"/>
      <c r="G123" s="261"/>
      <c r="H123" s="261"/>
    </row>
    <row r="124" spans="1:10" ht="69.95" customHeight="1" x14ac:dyDescent="0.3">
      <c r="A124" s="259" t="s">
        <v>30</v>
      </c>
      <c r="B124" s="262"/>
      <c r="C124" s="262"/>
      <c r="E124" s="262"/>
      <c r="F124" s="98"/>
      <c r="G124" s="263"/>
      <c r="H124" s="263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Metronidazole</vt:lpstr>
      <vt:lpstr>Metronidazole!Print_Area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2016-08-08T05:54:10Z</cp:lastPrinted>
  <dcterms:created xsi:type="dcterms:W3CDTF">2005-07-05T10:19:27Z</dcterms:created>
  <dcterms:modified xsi:type="dcterms:W3CDTF">2016-09-28T06:28:24Z</dcterms:modified>
</cp:coreProperties>
</file>