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50" yWindow="570" windowWidth="18855" windowHeight="11700" activeTab="2"/>
  </bookViews>
  <sheets>
    <sheet name="Uniformity" sheetId="7" r:id="rId1"/>
    <sheet name="NDQD201605939" sheetId="5" r:id="rId2"/>
    <sheet name="Dissolution" sheetId="9" r:id="rId3"/>
  </sheets>
  <definedNames>
    <definedName name="_xlnm.Print_Area" localSheetId="2">Dissolution!$A$1:$G$48</definedName>
    <definedName name="_xlnm.Print_Area" localSheetId="1">NDQD201605939!$A$1:$G$144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3" i="9" l="1"/>
  <c r="B2" i="9"/>
  <c r="D27" i="9"/>
  <c r="F23" i="9"/>
  <c r="F22" i="9"/>
  <c r="F21" i="9"/>
  <c r="G19" i="9"/>
  <c r="E19" i="9"/>
  <c r="C44" i="9"/>
  <c r="F33" i="9"/>
  <c r="F34" i="9"/>
  <c r="F35" i="9"/>
  <c r="F36" i="9"/>
  <c r="F37" i="9"/>
  <c r="F32" i="9"/>
  <c r="E33" i="9"/>
  <c r="E34" i="9"/>
  <c r="E35" i="9"/>
  <c r="E36" i="9"/>
  <c r="E37" i="9"/>
  <c r="E32" i="9"/>
  <c r="G16" i="9"/>
  <c r="G17" i="9"/>
  <c r="G15" i="9"/>
  <c r="E16" i="9"/>
  <c r="E17" i="9"/>
  <c r="E15" i="9"/>
  <c r="D26" i="9"/>
  <c r="D25" i="9"/>
  <c r="B40" i="9"/>
  <c r="D22" i="9"/>
  <c r="D21" i="9"/>
  <c r="D29" i="9" l="1"/>
  <c r="D28" i="9"/>
  <c r="B22" i="9" l="1"/>
  <c r="B11" i="9"/>
  <c r="B7" i="9"/>
  <c r="B4" i="9"/>
  <c r="D24" i="9"/>
  <c r="E39" i="9"/>
  <c r="E40" i="9" s="1"/>
  <c r="F19" i="9"/>
  <c r="D19" i="9"/>
  <c r="I16" i="9" s="1"/>
  <c r="G18" i="9"/>
  <c r="E18" i="9"/>
  <c r="E41" i="9" l="1"/>
  <c r="F41" i="9" l="1"/>
  <c r="F39" i="9"/>
  <c r="G44" i="9" l="1"/>
  <c r="F40" i="9"/>
  <c r="B114" i="5" l="1"/>
  <c r="B83" i="5"/>
  <c r="B50" i="5"/>
  <c r="B47" i="5"/>
  <c r="C94" i="5"/>
  <c r="C61" i="5"/>
  <c r="C30" i="5"/>
  <c r="E26" i="5"/>
  <c r="E24" i="5"/>
  <c r="C19" i="7"/>
  <c r="C18" i="7"/>
  <c r="C17" i="7"/>
  <c r="C16" i="7"/>
  <c r="C15" i="7"/>
  <c r="C14" i="7"/>
  <c r="C46" i="7"/>
  <c r="D50" i="7" s="1"/>
  <c r="C45" i="7"/>
  <c r="D32" i="7" l="1"/>
  <c r="D29" i="7"/>
  <c r="D37" i="7"/>
  <c r="D27" i="7"/>
  <c r="D31" i="7"/>
  <c r="D35" i="7"/>
  <c r="D39" i="7"/>
  <c r="D43" i="7"/>
  <c r="C49" i="7"/>
  <c r="D28" i="7"/>
  <c r="D36" i="7"/>
  <c r="D40" i="7"/>
  <c r="D49" i="7"/>
  <c r="C50" i="7"/>
  <c r="D24" i="7"/>
  <c r="D25" i="7"/>
  <c r="D33" i="7"/>
  <c r="D41" i="7"/>
  <c r="D26" i="7"/>
  <c r="D30" i="7"/>
  <c r="D34" i="7"/>
  <c r="D38" i="7"/>
  <c r="D42" i="7"/>
  <c r="B49" i="7"/>
  <c r="C108" i="5" l="1"/>
  <c r="E102" i="5" l="1"/>
  <c r="G108" i="5"/>
  <c r="F108" i="5"/>
  <c r="E108" i="5"/>
  <c r="D108" i="5"/>
  <c r="B108" i="5"/>
  <c r="G102" i="5"/>
  <c r="F102" i="5"/>
  <c r="D102" i="5"/>
  <c r="C102" i="5"/>
  <c r="B102" i="5"/>
  <c r="G75" i="5"/>
  <c r="F75" i="5"/>
  <c r="E75" i="5"/>
  <c r="D75" i="5"/>
  <c r="C75" i="5"/>
  <c r="B75" i="5"/>
  <c r="G69" i="5"/>
  <c r="F69" i="5"/>
  <c r="E69" i="5"/>
  <c r="D69" i="5"/>
  <c r="C69" i="5"/>
  <c r="B69" i="5"/>
  <c r="G44" i="5"/>
  <c r="F44" i="5"/>
  <c r="E44" i="5"/>
  <c r="D44" i="5"/>
  <c r="C44" i="5"/>
  <c r="B44" i="5"/>
  <c r="G38" i="5"/>
  <c r="F38" i="5"/>
  <c r="E38" i="5"/>
  <c r="D38" i="5"/>
  <c r="C38" i="5"/>
  <c r="B38" i="5"/>
  <c r="C118" i="5" l="1"/>
  <c r="D111" i="5"/>
  <c r="D80" i="5"/>
  <c r="D47" i="5"/>
  <c r="B80" i="5"/>
  <c r="B111" i="5"/>
  <c r="E117" i="5"/>
  <c r="E119" i="5" s="1"/>
  <c r="E118" i="5"/>
  <c r="C117" i="5"/>
  <c r="C119" i="5" s="1"/>
  <c r="C120" i="5" s="1"/>
  <c r="C121" i="5" s="1"/>
  <c r="E87" i="5"/>
  <c r="E86" i="5"/>
  <c r="E88" i="5" s="1"/>
  <c r="C87" i="5"/>
  <c r="C86" i="5"/>
  <c r="C88" i="5" s="1"/>
  <c r="E53" i="5"/>
  <c r="E55" i="5" s="1"/>
  <c r="E54" i="5"/>
  <c r="C54" i="5"/>
  <c r="C53" i="5"/>
  <c r="C55" i="5" s="1"/>
  <c r="E120" i="5" l="1"/>
  <c r="E121" i="5" s="1"/>
  <c r="E122" i="5" s="1"/>
  <c r="C134" i="5" s="1"/>
  <c r="C122" i="5"/>
  <c r="C133" i="5" s="1"/>
  <c r="E89" i="5"/>
  <c r="E90" i="5" s="1"/>
  <c r="E91" i="5" s="1"/>
  <c r="C132" i="5" s="1"/>
  <c r="C89" i="5"/>
  <c r="C90" i="5" s="1"/>
  <c r="C91" i="5" s="1"/>
  <c r="C131" i="5" s="1"/>
  <c r="E56" i="5"/>
  <c r="E57" i="5" s="1"/>
  <c r="E58" i="5" s="1"/>
  <c r="C130" i="5" s="1"/>
  <c r="C56" i="5"/>
  <c r="C57" i="5" s="1"/>
  <c r="C58" i="5" s="1"/>
  <c r="C129" i="5" s="1"/>
  <c r="C136" i="5" l="1"/>
  <c r="C137" i="5" s="1"/>
  <c r="D139" i="5"/>
  <c r="D23" i="9"/>
</calcChain>
</file>

<file path=xl/sharedStrings.xml><?xml version="1.0" encoding="utf-8"?>
<sst xmlns="http://schemas.openxmlformats.org/spreadsheetml/2006/main" count="244" uniqueCount="143">
  <si>
    <t>MICOBIOLOGY NO.</t>
  </si>
  <si>
    <t>BIOL/002/2016</t>
  </si>
  <si>
    <t>DATE RECEIVED</t>
  </si>
  <si>
    <t>Analysis Report</t>
  </si>
  <si>
    <t>Sample Name:</t>
  </si>
  <si>
    <t>Lab Ref No:</t>
  </si>
  <si>
    <t>Active Ingredient:</t>
  </si>
  <si>
    <t>Label Claim:</t>
  </si>
  <si>
    <t>Date Test Set:</t>
  </si>
  <si>
    <t>Date of Results:</t>
  </si>
  <si>
    <t xml:space="preserve">Equivalent to </t>
  </si>
  <si>
    <t>Standard Information:</t>
  </si>
  <si>
    <t>Standard  Weights (mg):</t>
  </si>
  <si>
    <t>A</t>
  </si>
  <si>
    <t xml:space="preserve">Source: </t>
  </si>
  <si>
    <t>NQCL</t>
  </si>
  <si>
    <t>% age Potency:</t>
  </si>
  <si>
    <t>B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</si>
  <si>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</si>
  <si>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</si>
  <si>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</si>
  <si>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</si>
  <si>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</si>
  <si>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</si>
  <si>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</si>
  <si>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</si>
  <si>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</si>
  <si>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</si>
  <si>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</si>
  <si>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</si>
  <si>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</si>
  <si>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</si>
  <si>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</si>
  <si>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</si>
  <si>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</si>
  <si>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</si>
  <si>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</si>
  <si>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</si>
  <si>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</si>
  <si>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</si>
  <si>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/ Standard A</t>
  </si>
  <si>
    <t>Sample B / Standard B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</si>
  <si>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</si>
  <si>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</si>
  <si>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</si>
  <si>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</si>
  <si>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</si>
  <si>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</si>
  <si>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</si>
  <si>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</si>
  <si>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</si>
  <si>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</si>
  <si>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Director</t>
  </si>
  <si>
    <t>Please enter the required information in the cells highlighted in green</t>
  </si>
  <si>
    <t>Laboratory Ref No:</t>
  </si>
  <si>
    <t>Date Analysis Started:</t>
  </si>
  <si>
    <t>Date Analysis Completed:</t>
  </si>
  <si>
    <t>Name</t>
  </si>
  <si>
    <t>Date</t>
  </si>
  <si>
    <t>Signature</t>
  </si>
  <si>
    <t>ERIC</t>
  </si>
  <si>
    <t>Reviewed By:</t>
  </si>
  <si>
    <t>Equivalent to Erythromycin Base (mg)</t>
  </si>
  <si>
    <t>Sample A Weight (mg):</t>
  </si>
  <si>
    <t>.</t>
  </si>
  <si>
    <t>Head, BAU</t>
  </si>
  <si>
    <t>Erythromycin Base (mg)</t>
  </si>
  <si>
    <t>Erythromycin Sulphate</t>
  </si>
  <si>
    <t>Final Concentration of Erythromycin in Standard:</t>
  </si>
  <si>
    <t>Expected Concentration of Erythromycin in Sample:</t>
  </si>
  <si>
    <t>COMMENTS: The %age content of Erythromycin  in the sample is:</t>
  </si>
  <si>
    <t>Erythromycin Stearate Microbial Assay</t>
  </si>
  <si>
    <t>ERYMAC 500 TABLETS</t>
  </si>
  <si>
    <t>NDQB201605939</t>
  </si>
  <si>
    <t xml:space="preserve">Erythromycin Stearate  </t>
  </si>
  <si>
    <t>Each tablet contains: Erythromycin stearate BP eq. to 500mg Erythromycin</t>
  </si>
  <si>
    <t>Uniformity of Weight Test Report</t>
  </si>
  <si>
    <t>Analysis Data</t>
  </si>
  <si>
    <t>Uniformity of weight</t>
  </si>
  <si>
    <t>Tablet weight (mg)</t>
  </si>
  <si>
    <t>% Deviation</t>
  </si>
  <si>
    <t>Total</t>
  </si>
  <si>
    <t>% Deviation from mean</t>
  </si>
  <si>
    <t>Reference Substance: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</si>
  <si>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</si>
  <si>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</si>
  <si>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</si>
  <si>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</si>
  <si>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</si>
  <si>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>Mwt of compound in salt form: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</si>
  <si>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</si>
  <si>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</si>
  <si>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</si>
  <si>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</si>
  <si>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</si>
  <si>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</si>
  <si>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</si>
  <si>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</si>
  <si>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</si>
  <si>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</si>
  <si>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Standard Dilution Factor</t>
  </si>
  <si>
    <t>If there are no serial dilutions, or only one dilution, enter 1 in all boxes not used.</t>
  </si>
  <si>
    <t>Desired Concentration (mg/mL):</t>
  </si>
  <si>
    <t>Desired Weight as free base (mg):</t>
  </si>
  <si>
    <t>Desired Weight as salt (mg):</t>
  </si>
  <si>
    <t>RSD:</t>
  </si>
  <si>
    <t>n:</t>
  </si>
  <si>
    <t>Sample Dilution Factor</t>
  </si>
  <si>
    <t>Comment:</t>
  </si>
  <si>
    <t>E. Tanui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</si>
  <si>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</si>
  <si>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</si>
  <si>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</si>
  <si>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</si>
  <si>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</si>
  <si>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</si>
  <si>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</si>
  <si>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</si>
  <si>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</si>
  <si>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</si>
  <si>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</si>
  <si>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</si>
  <si>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</si>
  <si>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</si>
  <si>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</si>
  <si>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</si>
  <si>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</si>
  <si>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</si>
  <si>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</si>
  <si>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</si>
  <si>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</si>
  <si>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</si>
  <si>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</si>
  <si>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</si>
  <si>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</si>
  <si>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</si>
  <si>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</si>
  <si>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</si>
  <si>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</si>
  <si>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 xml:space="preserve">The amount  of </t>
  </si>
  <si>
    <t xml:space="preserve">dissolved as a percentage of the stated  label claim is </t>
  </si>
  <si>
    <t>mg per tablet</t>
  </si>
  <si>
    <t>E. Ngamau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</si>
</sst>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0" formatCode="0.00000"/>
    <numFmt numFmtId="171" formatCode="0.000"/>
    <numFmt numFmtId="172" formatCode="[$-409]d/mmm/yy;@"/>
    <numFmt numFmtId="173" formatCode="0.0%"/>
    <numFmt numFmtId="174" formatCode="0.0000000000000000%"/>
    <numFmt numFmtId="175" formatCode="0.0000\ &quot;mg&quot;"/>
  </numFmts>
  <fonts count="30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14"/>
      <color rgb="FF000000"/>
      <name val="Book Antiqua"/>
    </font>
    <font>
      <sz val="20"/>
      <color rgb="FF000000"/>
      <name val="Book Antiqua"/>
    </font>
    <font>
      <b/>
      <i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0" fontId="8" fillId="2" borderId="0"/>
    <xf numFmtId="0" fontId="8" fillId="2" borderId="0"/>
    <xf numFmtId="0" fontId="8" fillId="2" borderId="0"/>
    <xf numFmtId="0" fontId="8" fillId="2" borderId="0"/>
    <xf numFmtId="0" fontId="8" fillId="2" borderId="0"/>
  </cellStyleXfs>
  <cellXfs count="270"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2" borderId="0" xfId="1" applyFont="1" applyFill="1"/>
    <xf numFmtId="0" fontId="2" fillId="2" borderId="0" xfId="2" applyFont="1" applyFill="1"/>
    <xf numFmtId="0" fontId="0" fillId="2" borderId="0" xfId="2" applyFont="1" applyFill="1"/>
    <xf numFmtId="0" fontId="3" fillId="2" borderId="0" xfId="2" applyFont="1" applyFill="1"/>
    <xf numFmtId="164" fontId="2" fillId="2" borderId="0" xfId="2" applyNumberFormat="1" applyFont="1" applyFill="1" applyAlignment="1">
      <alignment horizontal="left"/>
    </xf>
    <xf numFmtId="168" fontId="3" fillId="2" borderId="0" xfId="2" applyNumberFormat="1" applyFont="1" applyFill="1" applyAlignment="1">
      <alignment horizontal="center"/>
    </xf>
    <xf numFmtId="0" fontId="3" fillId="2" borderId="3" xfId="2" applyFont="1" applyFill="1" applyBorder="1"/>
    <xf numFmtId="164" fontId="2" fillId="2" borderId="4" xfId="2" applyNumberFormat="1" applyFont="1" applyFill="1" applyBorder="1" applyAlignment="1">
      <alignment horizontal="left"/>
    </xf>
    <xf numFmtId="0" fontId="3" fillId="2" borderId="3" xfId="2" applyFont="1" applyFill="1" applyBorder="1" applyAlignment="1">
      <alignment horizontal="center"/>
    </xf>
    <xf numFmtId="0" fontId="2" fillId="2" borderId="4" xfId="2" applyFont="1" applyFill="1" applyBorder="1"/>
    <xf numFmtId="0" fontId="3" fillId="2" borderId="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2" fontId="2" fillId="2" borderId="4" xfId="2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2" borderId="2" xfId="2" applyFont="1" applyFill="1" applyBorder="1"/>
    <xf numFmtId="2" fontId="3" fillId="2" borderId="2" xfId="2" applyNumberFormat="1" applyFont="1" applyFill="1" applyBorder="1" applyAlignment="1">
      <alignment horizontal="center"/>
    </xf>
    <xf numFmtId="2" fontId="2" fillId="2" borderId="3" xfId="2" applyNumberFormat="1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2" fontId="3" fillId="2" borderId="7" xfId="2" applyNumberFormat="1" applyFont="1" applyFill="1" applyBorder="1" applyAlignment="1">
      <alignment horizontal="center"/>
    </xf>
    <xf numFmtId="0" fontId="2" fillId="2" borderId="5" xfId="2" applyFont="1" applyFill="1" applyBorder="1"/>
    <xf numFmtId="0" fontId="2" fillId="2" borderId="7" xfId="2" applyFont="1" applyFill="1" applyBorder="1"/>
    <xf numFmtId="0" fontId="2" fillId="2" borderId="0" xfId="2" applyFont="1" applyFill="1" applyAlignment="1">
      <alignment vertical="top"/>
    </xf>
    <xf numFmtId="2" fontId="3" fillId="2" borderId="0" xfId="2" applyNumberFormat="1" applyFont="1" applyFill="1" applyAlignment="1">
      <alignment horizontal="center"/>
    </xf>
    <xf numFmtId="0" fontId="3" fillId="2" borderId="0" xfId="2" applyFont="1" applyFill="1" applyAlignment="1">
      <alignment vertical="top"/>
    </xf>
    <xf numFmtId="2" fontId="2" fillId="2" borderId="0" xfId="2" applyNumberFormat="1" applyFont="1" applyFill="1" applyAlignment="1">
      <alignment horizontal="center" vertical="top"/>
    </xf>
    <xf numFmtId="0" fontId="3" fillId="2" borderId="0" xfId="2" applyFont="1" applyFill="1" applyAlignment="1">
      <alignment horizontal="left"/>
    </xf>
    <xf numFmtId="0" fontId="3" fillId="2" borderId="5" xfId="2" applyFont="1" applyFill="1" applyBorder="1" applyAlignment="1">
      <alignment horizontal="left" vertical="top"/>
    </xf>
    <xf numFmtId="0" fontId="3" fillId="2" borderId="8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vertical="center"/>
    </xf>
    <xf numFmtId="0" fontId="3" fillId="2" borderId="8" xfId="2" applyFont="1" applyFill="1" applyBorder="1" applyAlignment="1">
      <alignment horizontal="left" vertical="top" indent="4"/>
    </xf>
    <xf numFmtId="0" fontId="3" fillId="2" borderId="7" xfId="2" applyFont="1" applyFill="1" applyBorder="1" applyAlignment="1">
      <alignment horizontal="left" vertical="top" indent="4"/>
    </xf>
    <xf numFmtId="0" fontId="2" fillId="2" borderId="9" xfId="2" applyFont="1" applyFill="1" applyBorder="1" applyAlignment="1">
      <alignment horizontal="center" vertical="top"/>
    </xf>
    <xf numFmtId="0" fontId="3" fillId="2" borderId="7" xfId="2" applyFont="1" applyFill="1" applyBorder="1" applyAlignment="1">
      <alignment horizontal="center" vertical="top"/>
    </xf>
    <xf numFmtId="2" fontId="2" fillId="2" borderId="7" xfId="2" applyNumberFormat="1" applyFont="1" applyFill="1" applyBorder="1" applyAlignment="1">
      <alignment horizontal="center" vertical="top"/>
    </xf>
    <xf numFmtId="0" fontId="3" fillId="2" borderId="10" xfId="2" applyFont="1" applyFill="1" applyBorder="1" applyAlignment="1">
      <alignment horizontal="center" vertical="top"/>
    </xf>
    <xf numFmtId="2" fontId="3" fillId="2" borderId="10" xfId="2" applyNumberFormat="1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left" vertical="center"/>
    </xf>
    <xf numFmtId="0" fontId="3" fillId="2" borderId="8" xfId="2" applyFont="1" applyFill="1" applyBorder="1" applyAlignment="1">
      <alignment vertical="top"/>
    </xf>
    <xf numFmtId="0" fontId="3" fillId="2" borderId="7" xfId="2" applyFont="1" applyFill="1" applyBorder="1" applyAlignment="1">
      <alignment vertical="top"/>
    </xf>
    <xf numFmtId="0" fontId="3" fillId="2" borderId="9" xfId="2" applyFont="1" applyFill="1" applyBorder="1" applyAlignment="1">
      <alignment horizontal="center" vertical="top"/>
    </xf>
    <xf numFmtId="2" fontId="3" fillId="2" borderId="7" xfId="2" applyNumberFormat="1" applyFont="1" applyFill="1" applyBorder="1" applyAlignment="1">
      <alignment horizontal="center" vertical="top"/>
    </xf>
    <xf numFmtId="165" fontId="3" fillId="2" borderId="0" xfId="2" applyNumberFormat="1" applyFont="1" applyFill="1" applyAlignment="1">
      <alignment horizontal="center" vertical="top"/>
    </xf>
    <xf numFmtId="165" fontId="2" fillId="2" borderId="0" xfId="2" applyNumberFormat="1" applyFont="1" applyFill="1" applyAlignment="1">
      <alignment horizontal="center" vertical="top"/>
    </xf>
    <xf numFmtId="2" fontId="2" fillId="2" borderId="0" xfId="2" applyNumberFormat="1" applyFont="1" applyFill="1" applyAlignment="1">
      <alignment vertical="top"/>
    </xf>
    <xf numFmtId="167" fontId="2" fillId="2" borderId="0" xfId="2" applyNumberFormat="1" applyFont="1" applyFill="1" applyAlignment="1">
      <alignment vertical="top"/>
    </xf>
    <xf numFmtId="166" fontId="2" fillId="2" borderId="0" xfId="2" applyNumberFormat="1" applyFont="1" applyFill="1" applyAlignment="1">
      <alignment vertical="top"/>
    </xf>
    <xf numFmtId="0" fontId="2" fillId="2" borderId="10" xfId="2" applyFont="1" applyFill="1" applyBorder="1" applyAlignment="1">
      <alignment vertical="center"/>
    </xf>
    <xf numFmtId="0" fontId="2" fillId="2" borderId="0" xfId="2" applyFont="1" applyFill="1" applyAlignment="1">
      <alignment horizontal="right"/>
    </xf>
    <xf numFmtId="2" fontId="2" fillId="2" borderId="0" xfId="2" applyNumberFormat="1" applyFont="1" applyFill="1"/>
    <xf numFmtId="0" fontId="4" fillId="2" borderId="0" xfId="2" applyFont="1" applyFill="1"/>
    <xf numFmtId="0" fontId="3" fillId="2" borderId="12" xfId="2" applyFont="1" applyFill="1" applyBorder="1" applyAlignment="1">
      <alignment horizontal="center"/>
    </xf>
    <xf numFmtId="10" fontId="2" fillId="2" borderId="10" xfId="2" applyNumberFormat="1" applyFont="1" applyFill="1" applyBorder="1" applyAlignment="1">
      <alignment horizontal="center"/>
    </xf>
    <xf numFmtId="0" fontId="2" fillId="2" borderId="1" xfId="2" applyFont="1" applyFill="1" applyBorder="1"/>
    <xf numFmtId="0" fontId="2" fillId="2" borderId="10" xfId="2" applyFont="1" applyFill="1" applyBorder="1"/>
    <xf numFmtId="10" fontId="2" fillId="3" borderId="9" xfId="2" applyNumberFormat="1" applyFont="1" applyFill="1" applyBorder="1" applyAlignment="1">
      <alignment horizontal="center"/>
    </xf>
    <xf numFmtId="10" fontId="2" fillId="3" borderId="10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10" fontId="2" fillId="0" borderId="10" xfId="2" applyNumberFormat="1" applyFont="1" applyFill="1" applyBorder="1" applyAlignment="1">
      <alignment horizontal="center"/>
    </xf>
    <xf numFmtId="0" fontId="9" fillId="2" borderId="0" xfId="4" applyFont="1" applyFill="1"/>
    <xf numFmtId="0" fontId="13" fillId="2" borderId="0" xfId="4" applyFont="1" applyFill="1" applyAlignment="1">
      <alignment wrapText="1"/>
    </xf>
    <xf numFmtId="0" fontId="14" fillId="2" borderId="0" xfId="4" applyFont="1" applyFill="1"/>
    <xf numFmtId="0" fontId="10" fillId="2" borderId="0" xfId="4" applyFont="1" applyFill="1" applyAlignment="1">
      <alignment horizontal="left"/>
    </xf>
    <xf numFmtId="0" fontId="11" fillId="2" borderId="0" xfId="4" applyFont="1" applyFill="1"/>
    <xf numFmtId="172" fontId="11" fillId="2" borderId="0" xfId="4" applyNumberFormat="1" applyFont="1" applyFill="1" applyAlignment="1">
      <alignment horizontal="center"/>
    </xf>
    <xf numFmtId="0" fontId="10" fillId="2" borderId="0" xfId="4" applyFont="1" applyFill="1" applyAlignment="1">
      <alignment horizontal="right"/>
    </xf>
    <xf numFmtId="172" fontId="11" fillId="2" borderId="0" xfId="4" applyNumberFormat="1" applyFont="1" applyFill="1"/>
    <xf numFmtId="0" fontId="14" fillId="2" borderId="0" xfId="4" applyFont="1" applyFill="1" applyAlignment="1">
      <alignment horizontal="left"/>
    </xf>
    <xf numFmtId="0" fontId="15" fillId="2" borderId="0" xfId="4" applyFont="1" applyFill="1"/>
    <xf numFmtId="170" fontId="9" fillId="2" borderId="0" xfId="4" applyNumberFormat="1" applyFont="1" applyFill="1"/>
    <xf numFmtId="170" fontId="10" fillId="2" borderId="21" xfId="4" applyNumberFormat="1" applyFont="1" applyFill="1" applyBorder="1" applyAlignment="1">
      <alignment horizontal="center" wrapText="1"/>
    </xf>
    <xf numFmtId="0" fontId="10" fillId="2" borderId="21" xfId="4" applyFont="1" applyFill="1" applyBorder="1" applyAlignment="1">
      <alignment horizontal="center" wrapText="1"/>
    </xf>
    <xf numFmtId="0" fontId="12" fillId="2" borderId="0" xfId="4" applyFont="1" applyFill="1" applyAlignment="1">
      <alignment horizontal="center"/>
    </xf>
    <xf numFmtId="2" fontId="11" fillId="4" borderId="26" xfId="4" applyNumberFormat="1" applyFont="1" applyFill="1" applyBorder="1" applyProtection="1">
      <protection locked="0"/>
    </xf>
    <xf numFmtId="10" fontId="11" fillId="2" borderId="27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1" fillId="2" borderId="26" xfId="4" applyNumberFormat="1" applyFont="1" applyFill="1" applyBorder="1" applyAlignment="1">
      <alignment horizontal="center"/>
    </xf>
    <xf numFmtId="2" fontId="11" fillId="4" borderId="28" xfId="4" applyNumberFormat="1" applyFont="1" applyFill="1" applyBorder="1" applyProtection="1">
      <protection locked="0"/>
    </xf>
    <xf numFmtId="10" fontId="11" fillId="2" borderId="28" xfId="4" applyNumberFormat="1" applyFont="1" applyFill="1" applyBorder="1" applyAlignment="1">
      <alignment horizontal="center"/>
    </xf>
    <xf numFmtId="165" fontId="12" fillId="2" borderId="0" xfId="4" applyNumberFormat="1" applyFont="1" applyFill="1" applyAlignment="1">
      <alignment horizontal="center"/>
    </xf>
    <xf numFmtId="1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 vertical="center"/>
    </xf>
    <xf numFmtId="165" fontId="11" fillId="2" borderId="21" xfId="4" applyNumberFormat="1" applyFont="1" applyFill="1" applyBorder="1" applyAlignment="1">
      <alignment horizontal="center" vertical="center"/>
    </xf>
    <xf numFmtId="165" fontId="11" fillId="2" borderId="0" xfId="4" applyNumberFormat="1" applyFont="1" applyFill="1" applyAlignment="1">
      <alignment horizontal="center"/>
    </xf>
    <xf numFmtId="170" fontId="10" fillId="2" borderId="21" xfId="4" applyNumberFormat="1" applyFont="1" applyFill="1" applyBorder="1" applyAlignment="1">
      <alignment horizontal="center" vertical="center"/>
    </xf>
    <xf numFmtId="2" fontId="16" fillId="2" borderId="0" xfId="4" applyNumberFormat="1" applyFont="1" applyFill="1" applyAlignment="1">
      <alignment horizontal="right"/>
    </xf>
    <xf numFmtId="2" fontId="10" fillId="2" borderId="0" xfId="4" applyNumberFormat="1" applyFont="1" applyFill="1"/>
    <xf numFmtId="2" fontId="16" fillId="2" borderId="0" xfId="4" applyNumberFormat="1" applyFont="1" applyFill="1"/>
    <xf numFmtId="0" fontId="10" fillId="2" borderId="21" xfId="4" applyFont="1" applyFill="1" applyBorder="1" applyAlignment="1">
      <alignment horizontal="center" vertical="center"/>
    </xf>
    <xf numFmtId="10" fontId="12" fillId="2" borderId="0" xfId="4" applyNumberFormat="1" applyFont="1" applyFill="1"/>
    <xf numFmtId="173" fontId="10" fillId="2" borderId="20" xfId="4" applyNumberFormat="1" applyFont="1" applyFill="1" applyBorder="1" applyAlignment="1">
      <alignment horizontal="center"/>
    </xf>
    <xf numFmtId="2" fontId="10" fillId="2" borderId="21" xfId="4" applyNumberFormat="1" applyFont="1" applyFill="1" applyBorder="1" applyAlignment="1">
      <alignment horizontal="center" vertical="center"/>
    </xf>
    <xf numFmtId="173" fontId="10" fillId="2" borderId="24" xfId="4" applyNumberFormat="1" applyFont="1" applyFill="1" applyBorder="1" applyAlignment="1">
      <alignment horizontal="center"/>
    </xf>
    <xf numFmtId="0" fontId="11" fillId="2" borderId="13" xfId="4" applyFont="1" applyFill="1" applyBorder="1"/>
    <xf numFmtId="0" fontId="11" fillId="2" borderId="0" xfId="4" applyFont="1" applyFill="1" applyAlignment="1">
      <alignment horizontal="center"/>
    </xf>
    <xf numFmtId="10" fontId="11" fillId="2" borderId="13" xfId="4" applyNumberFormat="1" applyFont="1" applyFill="1" applyBorder="1"/>
    <xf numFmtId="0" fontId="10" fillId="2" borderId="19" xfId="4" applyFont="1" applyFill="1" applyBorder="1"/>
    <xf numFmtId="0" fontId="10" fillId="2" borderId="19" xfId="4" applyFont="1" applyFill="1" applyBorder="1" applyAlignment="1">
      <alignment horizontal="center"/>
    </xf>
    <xf numFmtId="0" fontId="11" fillId="2" borderId="19" xfId="4" applyFont="1" applyFill="1" applyBorder="1" applyAlignment="1">
      <alignment horizontal="center"/>
    </xf>
    <xf numFmtId="0" fontId="11" fillId="2" borderId="8" xfId="4" applyFont="1" applyFill="1" applyBorder="1"/>
    <xf numFmtId="0" fontId="10" fillId="2" borderId="15" xfId="4" applyFont="1" applyFill="1" applyBorder="1"/>
    <xf numFmtId="0" fontId="10" fillId="2" borderId="0" xfId="4" applyFont="1" applyFill="1"/>
    <xf numFmtId="0" fontId="11" fillId="2" borderId="15" xfId="4" applyFont="1" applyFill="1" applyBorder="1"/>
    <xf numFmtId="0" fontId="8" fillId="2" borderId="0" xfId="4" applyFill="1"/>
    <xf numFmtId="0" fontId="2" fillId="2" borderId="0" xfId="2" applyFont="1" applyFill="1" applyAlignment="1">
      <alignment horizontal="center" vertical="top"/>
    </xf>
    <xf numFmtId="174" fontId="2" fillId="3" borderId="10" xfId="2" applyNumberFormat="1" applyFont="1" applyFill="1" applyBorder="1" applyAlignment="1">
      <alignment horizontal="center"/>
    </xf>
    <xf numFmtId="0" fontId="19" fillId="2" borderId="0" xfId="1" applyFont="1" applyFill="1" applyAlignment="1">
      <alignment horizontal="left"/>
    </xf>
    <xf numFmtId="0" fontId="4" fillId="2" borderId="0" xfId="1" applyFont="1" applyFill="1"/>
    <xf numFmtId="0" fontId="20" fillId="2" borderId="0" xfId="1" applyFont="1" applyFill="1" applyAlignment="1">
      <alignment horizontal="right"/>
    </xf>
    <xf numFmtId="0" fontId="22" fillId="2" borderId="0" xfId="1" applyFont="1" applyFill="1" applyAlignment="1">
      <alignment horizontal="right"/>
    </xf>
    <xf numFmtId="0" fontId="21" fillId="4" borderId="0" xfId="1" applyFont="1" applyFill="1" applyAlignment="1" applyProtection="1">
      <alignment horizontal="center"/>
      <protection locked="0"/>
    </xf>
    <xf numFmtId="0" fontId="23" fillId="4" borderId="0" xfId="1" applyFont="1" applyFill="1" applyAlignment="1" applyProtection="1">
      <alignment horizontal="center"/>
      <protection locked="0"/>
    </xf>
    <xf numFmtId="0" fontId="3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vertical="center" wrapText="1"/>
    </xf>
    <xf numFmtId="0" fontId="20" fillId="2" borderId="0" xfId="1" applyFont="1" applyFill="1" applyAlignment="1">
      <alignment horizontal="center"/>
    </xf>
    <xf numFmtId="0" fontId="26" fillId="2" borderId="0" xfId="1" applyFont="1" applyFill="1"/>
    <xf numFmtId="0" fontId="27" fillId="2" borderId="0" xfId="1" applyFont="1" applyFill="1"/>
    <xf numFmtId="2" fontId="21" fillId="4" borderId="0" xfId="1" applyNumberFormat="1" applyFont="1" applyFill="1" applyAlignment="1" applyProtection="1">
      <alignment horizontal="center"/>
      <protection locked="0"/>
    </xf>
    <xf numFmtId="2" fontId="20" fillId="2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left" vertical="center" wrapText="1"/>
    </xf>
    <xf numFmtId="175" fontId="20" fillId="2" borderId="0" xfId="1" applyNumberFormat="1" applyFont="1" applyFill="1" applyAlignment="1">
      <alignment horizontal="center"/>
    </xf>
    <xf numFmtId="0" fontId="22" fillId="2" borderId="0" xfId="1" applyFont="1" applyFill="1"/>
    <xf numFmtId="0" fontId="22" fillId="2" borderId="29" xfId="1" applyFont="1" applyFill="1" applyBorder="1" applyAlignment="1">
      <alignment horizontal="right"/>
    </xf>
    <xf numFmtId="0" fontId="18" fillId="4" borderId="30" xfId="0" applyFont="1" applyFill="1" applyBorder="1" applyAlignment="1" applyProtection="1">
      <alignment horizontal="center"/>
      <protection locked="0"/>
    </xf>
    <xf numFmtId="0" fontId="20" fillId="2" borderId="31" xfId="1" applyFont="1" applyFill="1" applyBorder="1" applyAlignment="1">
      <alignment horizontal="center"/>
    </xf>
    <xf numFmtId="0" fontId="22" fillId="2" borderId="23" xfId="1" applyFont="1" applyFill="1" applyBorder="1" applyAlignment="1">
      <alignment horizontal="right"/>
    </xf>
    <xf numFmtId="0" fontId="18" fillId="4" borderId="25" xfId="0" applyFont="1" applyFill="1" applyBorder="1" applyAlignment="1" applyProtection="1">
      <alignment horizontal="center"/>
      <protection locked="0"/>
    </xf>
    <xf numFmtId="0" fontId="20" fillId="2" borderId="19" xfId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0" fontId="22" fillId="2" borderId="6" xfId="1" applyFont="1" applyFill="1" applyBorder="1" applyAlignment="1">
      <alignment horizontal="center"/>
    </xf>
    <xf numFmtId="0" fontId="29" fillId="2" borderId="27" xfId="1" applyFont="1" applyFill="1" applyBorder="1"/>
    <xf numFmtId="0" fontId="22" fillId="2" borderId="0" xfId="1" applyFont="1" applyFill="1" applyAlignment="1">
      <alignment horizontal="center"/>
    </xf>
    <xf numFmtId="0" fontId="22" fillId="2" borderId="8" xfId="1" applyFont="1" applyFill="1" applyBorder="1" applyAlignment="1">
      <alignment horizontal="center"/>
    </xf>
    <xf numFmtId="0" fontId="22" fillId="2" borderId="28" xfId="1" applyFont="1" applyFill="1" applyBorder="1"/>
    <xf numFmtId="0" fontId="21" fillId="4" borderId="25" xfId="1" applyFont="1" applyFill="1" applyBorder="1" applyAlignment="1" applyProtection="1">
      <alignment horizontal="center"/>
      <protection locked="0"/>
    </xf>
    <xf numFmtId="0" fontId="22" fillId="2" borderId="39" xfId="1" applyFont="1" applyFill="1" applyBorder="1" applyAlignment="1">
      <alignment horizontal="right"/>
    </xf>
    <xf numFmtId="0" fontId="22" fillId="2" borderId="32" xfId="1" applyFont="1" applyFill="1" applyBorder="1" applyAlignment="1">
      <alignment horizontal="right"/>
    </xf>
    <xf numFmtId="2" fontId="22" fillId="5" borderId="33" xfId="1" applyNumberFormat="1" applyFont="1" applyFill="1" applyBorder="1" applyAlignment="1">
      <alignment horizontal="center"/>
    </xf>
    <xf numFmtId="2" fontId="22" fillId="6" borderId="33" xfId="1" applyNumberFormat="1" applyFont="1" applyFill="1" applyBorder="1" applyAlignment="1">
      <alignment horizontal="center"/>
    </xf>
    <xf numFmtId="2" fontId="22" fillId="2" borderId="0" xfId="1" applyNumberFormat="1" applyFont="1" applyFill="1" applyAlignment="1">
      <alignment horizontal="center"/>
    </xf>
    <xf numFmtId="165" fontId="22" fillId="5" borderId="33" xfId="1" applyNumberFormat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165" fontId="22" fillId="6" borderId="33" xfId="1" applyNumberFormat="1" applyFont="1" applyFill="1" applyBorder="1" applyAlignment="1">
      <alignment horizontal="center"/>
    </xf>
    <xf numFmtId="1" fontId="22" fillId="2" borderId="0" xfId="1" applyNumberFormat="1" applyFont="1" applyFill="1" applyAlignment="1">
      <alignment horizontal="center"/>
    </xf>
    <xf numFmtId="2" fontId="4" fillId="2" borderId="0" xfId="1" applyNumberFormat="1" applyFont="1" applyFill="1" applyAlignment="1">
      <alignment horizontal="center"/>
    </xf>
    <xf numFmtId="0" fontId="22" fillId="2" borderId="40" xfId="1" applyFont="1" applyFill="1" applyBorder="1" applyAlignment="1">
      <alignment horizontal="right"/>
    </xf>
    <xf numFmtId="2" fontId="22" fillId="6" borderId="34" xfId="1" applyNumberFormat="1" applyFont="1" applyFill="1" applyBorder="1" applyAlignment="1">
      <alignment horizontal="center"/>
    </xf>
    <xf numFmtId="171" fontId="22" fillId="2" borderId="0" xfId="1" applyNumberFormat="1" applyFont="1" applyFill="1" applyAlignment="1">
      <alignment horizontal="center"/>
    </xf>
    <xf numFmtId="0" fontId="20" fillId="2" borderId="0" xfId="1" applyFont="1" applyFill="1" applyAlignment="1">
      <alignment horizontal="center" wrapText="1"/>
    </xf>
    <xf numFmtId="0" fontId="22" fillId="2" borderId="20" xfId="1" applyFont="1" applyFill="1" applyBorder="1" applyAlignment="1">
      <alignment horizontal="right"/>
    </xf>
    <xf numFmtId="171" fontId="20" fillId="6" borderId="20" xfId="1" applyNumberFormat="1" applyFont="1" applyFill="1" applyBorder="1" applyAlignment="1">
      <alignment horizontal="center"/>
    </xf>
    <xf numFmtId="10" fontId="22" fillId="2" borderId="0" xfId="1" applyNumberFormat="1" applyFont="1" applyFill="1" applyAlignment="1">
      <alignment horizontal="center"/>
    </xf>
    <xf numFmtId="0" fontId="22" fillId="2" borderId="22" xfId="1" applyFont="1" applyFill="1" applyBorder="1" applyAlignment="1">
      <alignment horizontal="right"/>
    </xf>
    <xf numFmtId="10" fontId="20" fillId="5" borderId="22" xfId="1" applyNumberFormat="1" applyFont="1" applyFill="1" applyBorder="1" applyAlignment="1">
      <alignment horizontal="center"/>
    </xf>
    <xf numFmtId="0" fontId="22" fillId="2" borderId="24" xfId="1" applyFont="1" applyFill="1" applyBorder="1" applyAlignment="1">
      <alignment horizontal="right"/>
    </xf>
    <xf numFmtId="0" fontId="20" fillId="6" borderId="24" xfId="1" applyFont="1" applyFill="1" applyBorder="1" applyAlignment="1">
      <alignment horizontal="center"/>
    </xf>
    <xf numFmtId="0" fontId="19" fillId="2" borderId="0" xfId="1" applyFont="1" applyFill="1"/>
    <xf numFmtId="0" fontId="21" fillId="4" borderId="30" xfId="1" applyFont="1" applyFill="1" applyBorder="1" applyAlignment="1" applyProtection="1">
      <alignment horizontal="center"/>
      <protection locked="0"/>
    </xf>
    <xf numFmtId="0" fontId="20" fillId="2" borderId="41" xfId="1" applyFont="1" applyFill="1" applyBorder="1" applyAlignment="1">
      <alignment horizontal="center"/>
    </xf>
    <xf numFmtId="0" fontId="20" fillId="2" borderId="42" xfId="1" applyFont="1" applyFill="1" applyBorder="1" applyAlignment="1">
      <alignment horizontal="center"/>
    </xf>
    <xf numFmtId="0" fontId="20" fillId="2" borderId="30" xfId="1" applyFont="1" applyFill="1" applyBorder="1" applyAlignment="1">
      <alignment horizontal="center" wrapText="1"/>
    </xf>
    <xf numFmtId="0" fontId="22" fillId="2" borderId="23" xfId="1" applyFont="1" applyFill="1" applyBorder="1" applyAlignment="1">
      <alignment horizontal="center"/>
    </xf>
    <xf numFmtId="0" fontId="22" fillId="2" borderId="35" xfId="1" applyFont="1" applyFill="1" applyBorder="1" applyAlignment="1">
      <alignment horizontal="center"/>
    </xf>
    <xf numFmtId="2" fontId="22" fillId="2" borderId="25" xfId="1" applyNumberFormat="1" applyFont="1" applyFill="1" applyBorder="1" applyAlignment="1">
      <alignment horizontal="center"/>
    </xf>
    <xf numFmtId="10" fontId="21" fillId="6" borderId="33" xfId="1" applyNumberFormat="1" applyFont="1" applyFill="1" applyBorder="1" applyAlignment="1">
      <alignment horizontal="center"/>
    </xf>
    <xf numFmtId="0" fontId="22" fillId="2" borderId="25" xfId="1" applyFont="1" applyFill="1" applyBorder="1" applyAlignment="1">
      <alignment horizontal="center"/>
    </xf>
    <xf numFmtId="0" fontId="22" fillId="2" borderId="23" xfId="1" applyFont="1" applyFill="1" applyBorder="1"/>
    <xf numFmtId="10" fontId="21" fillId="5" borderId="33" xfId="1" applyNumberFormat="1" applyFont="1" applyFill="1" applyBorder="1" applyAlignment="1">
      <alignment horizontal="center"/>
    </xf>
    <xf numFmtId="0" fontId="22" fillId="2" borderId="37" xfId="1" applyFont="1" applyFill="1" applyBorder="1"/>
    <xf numFmtId="0" fontId="21" fillId="6" borderId="24" xfId="1" applyFont="1" applyFill="1" applyBorder="1" applyAlignment="1">
      <alignment horizontal="center"/>
    </xf>
    <xf numFmtId="0" fontId="24" fillId="2" borderId="0" xfId="1" applyFont="1" applyFill="1" applyAlignment="1">
      <alignment horizontal="right" vertical="center" wrapText="1"/>
    </xf>
    <xf numFmtId="173" fontId="21" fillId="2" borderId="0" xfId="1" applyNumberFormat="1" applyFont="1" applyFill="1" applyAlignment="1">
      <alignment horizontal="center"/>
    </xf>
    <xf numFmtId="0" fontId="24" fillId="2" borderId="13" xfId="1" applyFont="1" applyFill="1" applyBorder="1" applyAlignment="1">
      <alignment horizontal="left" vertical="center" wrapText="1"/>
    </xf>
    <xf numFmtId="0" fontId="22" fillId="2" borderId="13" xfId="1" applyFont="1" applyFill="1" applyBorder="1"/>
    <xf numFmtId="0" fontId="22" fillId="2" borderId="19" xfId="1" applyFont="1" applyFill="1" applyBorder="1" applyAlignment="1">
      <alignment horizontal="center"/>
    </xf>
    <xf numFmtId="0" fontId="22" fillId="2" borderId="8" xfId="1" applyFont="1" applyFill="1" applyBorder="1"/>
    <xf numFmtId="0" fontId="20" fillId="2" borderId="15" xfId="1" applyFont="1" applyFill="1" applyBorder="1"/>
    <xf numFmtId="15" fontId="20" fillId="2" borderId="15" xfId="1" applyNumberFormat="1" applyFont="1" applyFill="1" applyBorder="1"/>
    <xf numFmtId="0" fontId="22" fillId="2" borderId="15" xfId="1" applyFont="1" applyFill="1" applyBorder="1"/>
    <xf numFmtId="0" fontId="10" fillId="2" borderId="0" xfId="4" applyFont="1" applyFill="1" applyAlignment="1">
      <alignment horizontal="right"/>
    </xf>
    <xf numFmtId="0" fontId="14" fillId="2" borderId="0" xfId="4" applyFont="1" applyFill="1" applyAlignment="1">
      <alignment horizontal="center"/>
    </xf>
    <xf numFmtId="170" fontId="9" fillId="2" borderId="0" xfId="4" applyNumberFormat="1" applyFont="1" applyFill="1" applyAlignment="1">
      <alignment horizontal="center"/>
    </xf>
    <xf numFmtId="165" fontId="10" fillId="2" borderId="27" xfId="4" applyNumberFormat="1" applyFont="1" applyFill="1" applyBorder="1" applyAlignment="1">
      <alignment horizontal="center" vertical="center"/>
    </xf>
    <xf numFmtId="165" fontId="10" fillId="2" borderId="28" xfId="4" applyNumberFormat="1" applyFont="1" applyFill="1" applyBorder="1" applyAlignment="1">
      <alignment horizontal="center" vertical="center"/>
    </xf>
    <xf numFmtId="0" fontId="13" fillId="2" borderId="16" xfId="4" applyFont="1" applyFill="1" applyBorder="1" applyAlignment="1">
      <alignment horizontal="center" wrapText="1"/>
    </xf>
    <xf numFmtId="0" fontId="13" fillId="2" borderId="17" xfId="4" applyFont="1" applyFill="1" applyBorder="1" applyAlignment="1">
      <alignment horizontal="center" wrapText="1"/>
    </xf>
    <xf numFmtId="0" fontId="13" fillId="2" borderId="18" xfId="4" applyFont="1" applyFill="1" applyBorder="1" applyAlignment="1">
      <alignment horizontal="center" wrapText="1"/>
    </xf>
    <xf numFmtId="0" fontId="3" fillId="2" borderId="14" xfId="2" applyFont="1" applyFill="1" applyBorder="1" applyAlignment="1">
      <alignment horizontal="center" vertical="top"/>
    </xf>
    <xf numFmtId="0" fontId="3" fillId="2" borderId="12" xfId="2" applyFont="1" applyFill="1" applyBorder="1" applyAlignment="1">
      <alignment horizontal="center" vertical="top"/>
    </xf>
    <xf numFmtId="0" fontId="3" fillId="2" borderId="3" xfId="2" applyFont="1" applyFill="1" applyBorder="1" applyAlignment="1">
      <alignment horizontal="center" vertical="top"/>
    </xf>
    <xf numFmtId="0" fontId="3" fillId="2" borderId="6" xfId="2" applyFont="1" applyFill="1" applyBorder="1" applyAlignment="1">
      <alignment horizontal="center" vertical="top"/>
    </xf>
    <xf numFmtId="0" fontId="2" fillId="2" borderId="10" xfId="2" applyFont="1" applyFill="1" applyBorder="1" applyAlignment="1">
      <alignment horizontal="center" vertical="center"/>
    </xf>
    <xf numFmtId="169" fontId="2" fillId="2" borderId="10" xfId="2" applyNumberFormat="1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10" fontId="25" fillId="2" borderId="26" xfId="1" applyNumberFormat="1" applyFont="1" applyFill="1" applyBorder="1" applyAlignment="1">
      <alignment horizontal="center" vertical="center"/>
    </xf>
    <xf numFmtId="0" fontId="24" fillId="2" borderId="29" xfId="1" applyFont="1" applyFill="1" applyBorder="1" applyAlignment="1">
      <alignment horizontal="left" vertical="center" wrapText="1"/>
    </xf>
    <xf numFmtId="0" fontId="24" fillId="2" borderId="19" xfId="1" applyFont="1" applyFill="1" applyBorder="1" applyAlignment="1">
      <alignment horizontal="left" vertical="center" wrapText="1"/>
    </xf>
    <xf numFmtId="0" fontId="24" fillId="2" borderId="37" xfId="1" applyFont="1" applyFill="1" applyBorder="1" applyAlignment="1">
      <alignment horizontal="left" vertical="center" wrapText="1"/>
    </xf>
    <xf numFmtId="0" fontId="24" fillId="2" borderId="13" xfId="1" applyFont="1" applyFill="1" applyBorder="1" applyAlignment="1">
      <alignment horizontal="left" vertical="center" wrapText="1"/>
    </xf>
    <xf numFmtId="0" fontId="24" fillId="2" borderId="30" xfId="1" applyFont="1" applyFill="1" applyBorder="1" applyAlignment="1">
      <alignment horizontal="left" vertical="center" wrapText="1"/>
    </xf>
    <xf numFmtId="0" fontId="24" fillId="2" borderId="38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center"/>
    </xf>
    <xf numFmtId="0" fontId="20" fillId="2" borderId="19" xfId="1" applyFont="1" applyFill="1" applyBorder="1" applyAlignment="1">
      <alignment horizontal="center"/>
    </xf>
    <xf numFmtId="0" fontId="21" fillId="4" borderId="0" xfId="1" applyFont="1" applyFill="1" applyAlignment="1" applyProtection="1">
      <alignment horizontal="left"/>
      <protection locked="0"/>
    </xf>
    <xf numFmtId="0" fontId="24" fillId="2" borderId="16" xfId="1" applyFont="1" applyFill="1" applyBorder="1" applyAlignment="1">
      <alignment horizontal="justify" vertical="center" wrapText="1"/>
    </xf>
    <xf numFmtId="0" fontId="24" fillId="2" borderId="17" xfId="1" applyFont="1" applyFill="1" applyBorder="1" applyAlignment="1">
      <alignment horizontal="justify" vertical="center" wrapText="1"/>
    </xf>
    <xf numFmtId="0" fontId="24" fillId="2" borderId="18" xfId="1" applyFont="1" applyFill="1" applyBorder="1" applyAlignment="1">
      <alignment horizontal="justify" vertical="center" wrapText="1"/>
    </xf>
    <xf numFmtId="0" fontId="24" fillId="2" borderId="16" xfId="1" applyFont="1" applyFill="1" applyBorder="1" applyAlignment="1">
      <alignment horizontal="left" vertical="center" wrapText="1"/>
    </xf>
    <xf numFmtId="0" fontId="24" fillId="2" borderId="17" xfId="1" applyFont="1" applyFill="1" applyBorder="1" applyAlignment="1">
      <alignment horizontal="left" vertical="center" wrapText="1"/>
    </xf>
    <xf numFmtId="0" fontId="24" fillId="2" borderId="18" xfId="1" applyFont="1" applyFill="1" applyBorder="1" applyAlignment="1">
      <alignment horizontal="left" vertical="center" wrapText="1"/>
    </xf>
    <xf numFmtId="0" fontId="18" fillId="4" borderId="6" xfId="0" applyFont="1" applyFill="1" applyBorder="1" applyAlignment="1" applyProtection="1">
      <alignment horizontal="center"/>
      <protection locked="0"/>
    </xf>
    <xf numFmtId="0" fontId="18" fillId="4" borderId="0" xfId="0" applyFont="1" applyFill="1" applyBorder="1" applyAlignment="1" applyProtection="1">
      <alignment horizontal="center"/>
      <protection locked="0"/>
    </xf>
    <xf numFmtId="171" fontId="21" fillId="4" borderId="8" xfId="1" applyNumberFormat="1" applyFont="1" applyFill="1" applyBorder="1" applyAlignment="1" applyProtection="1">
      <alignment horizontal="center"/>
      <protection locked="0"/>
    </xf>
    <xf numFmtId="171" fontId="22" fillId="2" borderId="45" xfId="1" applyNumberFormat="1" applyFont="1" applyFill="1" applyBorder="1" applyAlignment="1">
      <alignment horizontal="center"/>
    </xf>
    <xf numFmtId="0" fontId="21" fillId="4" borderId="36" xfId="1" applyFont="1" applyFill="1" applyBorder="1" applyAlignment="1" applyProtection="1">
      <alignment horizontal="center"/>
      <protection locked="0"/>
    </xf>
    <xf numFmtId="0" fontId="21" fillId="4" borderId="46" xfId="1" applyFont="1" applyFill="1" applyBorder="1" applyAlignment="1" applyProtection="1">
      <alignment horizontal="center"/>
      <protection locked="0"/>
    </xf>
    <xf numFmtId="0" fontId="20" fillId="2" borderId="47" xfId="1" applyFont="1" applyFill="1" applyBorder="1" applyAlignment="1">
      <alignment horizontal="center"/>
    </xf>
    <xf numFmtId="0" fontId="20" fillId="2" borderId="48" xfId="1" applyFont="1" applyFill="1" applyBorder="1" applyAlignment="1">
      <alignment horizontal="center"/>
    </xf>
    <xf numFmtId="0" fontId="20" fillId="2" borderId="49" xfId="1" applyFont="1" applyFill="1" applyBorder="1" applyAlignment="1">
      <alignment horizontal="center"/>
    </xf>
    <xf numFmtId="0" fontId="20" fillId="2" borderId="50" xfId="1" applyFont="1" applyFill="1" applyBorder="1" applyAlignment="1">
      <alignment horizontal="center"/>
    </xf>
    <xf numFmtId="0" fontId="20" fillId="2" borderId="51" xfId="1" applyFont="1" applyFill="1" applyBorder="1" applyAlignment="1">
      <alignment horizontal="center"/>
    </xf>
    <xf numFmtId="0" fontId="20" fillId="2" borderId="52" xfId="1" applyFont="1" applyFill="1" applyBorder="1" applyAlignment="1">
      <alignment horizontal="center"/>
    </xf>
    <xf numFmtId="0" fontId="18" fillId="4" borderId="53" xfId="0" applyFont="1" applyFill="1" applyBorder="1" applyAlignment="1" applyProtection="1">
      <alignment horizontal="center"/>
      <protection locked="0"/>
    </xf>
    <xf numFmtId="0" fontId="18" fillId="4" borderId="54" xfId="0" applyFont="1" applyFill="1" applyBorder="1" applyAlignment="1" applyProtection="1">
      <alignment horizontal="center"/>
      <protection locked="0"/>
    </xf>
    <xf numFmtId="0" fontId="21" fillId="4" borderId="55" xfId="1" applyFont="1" applyFill="1" applyBorder="1" applyAlignment="1" applyProtection="1">
      <alignment horizontal="center"/>
      <protection locked="0"/>
    </xf>
    <xf numFmtId="171" fontId="20" fillId="5" borderId="56" xfId="1" applyNumberFormat="1" applyFont="1" applyFill="1" applyBorder="1" applyAlignment="1">
      <alignment horizontal="center"/>
    </xf>
    <xf numFmtId="171" fontId="20" fillId="5" borderId="57" xfId="1" applyNumberFormat="1" applyFont="1" applyFill="1" applyBorder="1" applyAlignment="1">
      <alignment horizontal="center"/>
    </xf>
    <xf numFmtId="171" fontId="20" fillId="5" borderId="58" xfId="1" applyNumberFormat="1" applyFont="1" applyFill="1" applyBorder="1" applyAlignment="1">
      <alignment horizontal="center"/>
    </xf>
    <xf numFmtId="171" fontId="20" fillId="5" borderId="59" xfId="1" applyNumberFormat="1" applyFont="1" applyFill="1" applyBorder="1" applyAlignment="1">
      <alignment horizontal="center"/>
    </xf>
    <xf numFmtId="0" fontId="20" fillId="2" borderId="28" xfId="1" applyFont="1" applyFill="1" applyBorder="1" applyAlignment="1">
      <alignment horizontal="center"/>
    </xf>
    <xf numFmtId="0" fontId="4" fillId="2" borderId="0" xfId="1" applyFont="1" applyFill="1" applyBorder="1"/>
    <xf numFmtId="165" fontId="17" fillId="2" borderId="43" xfId="0" applyNumberFormat="1" applyFont="1" applyFill="1" applyBorder="1" applyAlignment="1">
      <alignment horizontal="center"/>
    </xf>
    <xf numFmtId="165" fontId="17" fillId="2" borderId="44" xfId="0" applyNumberFormat="1" applyFont="1" applyFill="1" applyBorder="1" applyAlignment="1">
      <alignment horizontal="center"/>
    </xf>
    <xf numFmtId="171" fontId="21" fillId="4" borderId="1" xfId="1" applyNumberFormat="1" applyFont="1" applyFill="1" applyBorder="1" applyAlignment="1" applyProtection="1">
      <alignment horizontal="center"/>
      <protection locked="0"/>
    </xf>
    <xf numFmtId="171" fontId="21" fillId="4" borderId="5" xfId="1" applyNumberFormat="1" applyFont="1" applyFill="1" applyBorder="1" applyAlignment="1" applyProtection="1">
      <alignment horizontal="center"/>
      <protection locked="0"/>
    </xf>
    <xf numFmtId="165" fontId="22" fillId="2" borderId="60" xfId="1" applyNumberFormat="1" applyFont="1" applyFill="1" applyBorder="1" applyAlignment="1">
      <alignment horizontal="center"/>
    </xf>
    <xf numFmtId="165" fontId="22" fillId="2" borderId="61" xfId="1" applyNumberFormat="1" applyFont="1" applyFill="1" applyBorder="1" applyAlignment="1">
      <alignment horizontal="center"/>
    </xf>
    <xf numFmtId="165" fontId="22" fillId="2" borderId="62" xfId="1" applyNumberFormat="1" applyFont="1" applyFill="1" applyBorder="1" applyAlignment="1">
      <alignment horizontal="center"/>
    </xf>
    <xf numFmtId="10" fontId="22" fillId="2" borderId="43" xfId="1" applyNumberFormat="1" applyFont="1" applyFill="1" applyBorder="1" applyAlignment="1">
      <alignment horizontal="center"/>
    </xf>
    <xf numFmtId="10" fontId="22" fillId="2" borderId="44" xfId="1" applyNumberFormat="1" applyFont="1" applyFill="1" applyBorder="1" applyAlignment="1">
      <alignment horizontal="center"/>
    </xf>
    <xf numFmtId="10" fontId="22" fillId="2" borderId="45" xfId="1" applyNumberFormat="1" applyFont="1" applyFill="1" applyBorder="1" applyAlignment="1">
      <alignment horizontal="center"/>
    </xf>
    <xf numFmtId="2" fontId="21" fillId="6" borderId="63" xfId="1" applyNumberFormat="1" applyFont="1" applyFill="1" applyBorder="1" applyAlignment="1">
      <alignment horizontal="center"/>
    </xf>
    <xf numFmtId="10" fontId="21" fillId="5" borderId="63" xfId="1" applyNumberFormat="1" applyFont="1" applyFill="1" applyBorder="1" applyAlignment="1">
      <alignment horizontal="center"/>
    </xf>
    <xf numFmtId="0" fontId="21" fillId="6" borderId="64" xfId="1" applyFont="1" applyFill="1" applyBorder="1" applyAlignment="1">
      <alignment horizontal="center"/>
    </xf>
    <xf numFmtId="171" fontId="22" fillId="2" borderId="65" xfId="1" applyNumberFormat="1" applyFont="1" applyFill="1" applyBorder="1" applyAlignment="1">
      <alignment horizontal="right"/>
    </xf>
    <xf numFmtId="0" fontId="22" fillId="2" borderId="44" xfId="1" applyFont="1" applyFill="1" applyBorder="1" applyAlignment="1">
      <alignment horizontal="right"/>
    </xf>
    <xf numFmtId="0" fontId="22" fillId="2" borderId="66" xfId="1" applyFont="1" applyFill="1" applyBorder="1" applyAlignment="1">
      <alignment horizontal="right"/>
    </xf>
    <xf numFmtId="0" fontId="19" fillId="2" borderId="0" xfId="1" applyFont="1" applyFill="1" applyAlignment="1">
      <alignment horizontal="right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24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34700" cy="2143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4" sqref="C44"/>
    </sheetView>
  </sheetViews>
  <sheetFormatPr defaultRowHeight="15" x14ac:dyDescent="0.3"/>
  <cols>
    <col min="1" max="1" width="15.5703125" style="71" customWidth="1"/>
    <col min="2" max="2" width="18.42578125" style="71" customWidth="1"/>
    <col min="3" max="3" width="14.28515625" style="71" customWidth="1"/>
    <col min="4" max="4" width="15" style="71" customWidth="1"/>
    <col min="5" max="5" width="9.140625" style="71" customWidth="1"/>
    <col min="6" max="6" width="27.85546875" style="71" customWidth="1"/>
    <col min="7" max="7" width="12.28515625" style="71" customWidth="1"/>
    <col min="8" max="8" width="9.140625" style="71" customWidth="1"/>
    <col min="9" max="16384" width="9.140625" style="115"/>
  </cols>
  <sheetData>
    <row r="10" spans="1:7" ht="13.5" customHeight="1" thickBot="1" x14ac:dyDescent="0.35"/>
    <row r="11" spans="1:7" ht="13.5" customHeight="1" thickBot="1" x14ac:dyDescent="0.35">
      <c r="A11" s="197" t="s">
        <v>53</v>
      </c>
      <c r="B11" s="198"/>
      <c r="C11" s="198"/>
      <c r="D11" s="198"/>
      <c r="E11" s="198"/>
      <c r="F11" s="199"/>
      <c r="G11" s="72"/>
    </row>
    <row r="12" spans="1:7" ht="16.5" customHeight="1" x14ac:dyDescent="0.3">
      <c r="A12" s="193" t="s">
        <v>76</v>
      </c>
      <c r="B12" s="193"/>
      <c r="C12" s="193"/>
      <c r="D12" s="193"/>
      <c r="E12" s="193"/>
      <c r="F12" s="193"/>
      <c r="G12" s="73"/>
    </row>
    <row r="14" spans="1:7" ht="16.5" customHeight="1" x14ac:dyDescent="0.3">
      <c r="A14" s="192" t="s">
        <v>4</v>
      </c>
      <c r="B14" s="192"/>
      <c r="C14" s="74" t="str">
        <f>NDQD201605939!$B$14</f>
        <v>ERYMAC 500 TABLETS</v>
      </c>
    </row>
    <row r="15" spans="1:7" ht="16.5" customHeight="1" x14ac:dyDescent="0.3">
      <c r="A15" s="192" t="s">
        <v>54</v>
      </c>
      <c r="B15" s="192"/>
      <c r="C15" s="75" t="str">
        <f>NDQD201605939!$B$15</f>
        <v>NDQB201605939</v>
      </c>
    </row>
    <row r="16" spans="1:7" ht="16.5" customHeight="1" x14ac:dyDescent="0.3">
      <c r="A16" s="192" t="s">
        <v>6</v>
      </c>
      <c r="B16" s="192"/>
      <c r="C16" s="75" t="str">
        <f>NDQD201605939!$B$16</f>
        <v xml:space="preserve">Erythromycin Stearate  </v>
      </c>
    </row>
    <row r="17" spans="1:5" ht="16.5" customHeight="1" x14ac:dyDescent="0.3">
      <c r="A17" s="192" t="s">
        <v>7</v>
      </c>
      <c r="B17" s="192"/>
      <c r="C17" s="75" t="str">
        <f>NDQD201605939!$B$17</f>
        <v>Each tablet contains: Erythromycin stearate BP eq. to 500mg Erythromycin</v>
      </c>
    </row>
    <row r="18" spans="1:5" ht="16.5" customHeight="1" x14ac:dyDescent="0.3">
      <c r="A18" s="192" t="s">
        <v>55</v>
      </c>
      <c r="B18" s="192"/>
      <c r="C18" s="76">
        <f>NDQD201605939!$B$18</f>
        <v>42559</v>
      </c>
    </row>
    <row r="19" spans="1:5" ht="16.5" customHeight="1" x14ac:dyDescent="0.3">
      <c r="A19" s="192" t="s">
        <v>56</v>
      </c>
      <c r="B19" s="192"/>
      <c r="C19" s="76">
        <f>NDQD201605939!$B$19</f>
        <v>42560</v>
      </c>
    </row>
    <row r="20" spans="1:5" ht="16.5" customHeight="1" x14ac:dyDescent="0.3">
      <c r="A20" s="77"/>
      <c r="B20" s="77"/>
      <c r="C20" s="78"/>
    </row>
    <row r="21" spans="1:5" ht="16.5" customHeight="1" x14ac:dyDescent="0.3">
      <c r="A21" s="193" t="s">
        <v>77</v>
      </c>
      <c r="B21" s="193"/>
      <c r="C21" s="79" t="s">
        <v>78</v>
      </c>
      <c r="D21" s="80"/>
    </row>
    <row r="22" spans="1:5" ht="15.75" customHeight="1" thickBot="1" x14ac:dyDescent="0.35">
      <c r="A22" s="194"/>
      <c r="B22" s="194"/>
      <c r="C22" s="81"/>
      <c r="D22" s="194"/>
      <c r="E22" s="194"/>
    </row>
    <row r="23" spans="1:5" ht="33.75" customHeight="1" thickBot="1" x14ac:dyDescent="0.35">
      <c r="C23" s="82" t="s">
        <v>79</v>
      </c>
      <c r="D23" s="83" t="s">
        <v>80</v>
      </c>
      <c r="E23" s="84"/>
    </row>
    <row r="24" spans="1:5" ht="15.75" customHeight="1" x14ac:dyDescent="0.3">
      <c r="C24" s="85">
        <v>901.04</v>
      </c>
      <c r="D24" s="86">
        <f t="shared" ref="D24:D43" si="0">(C24-$C$46)/$C$46</f>
        <v>8.9180589994908768E-3</v>
      </c>
      <c r="E24" s="87"/>
    </row>
    <row r="25" spans="1:5" ht="15.75" customHeight="1" x14ac:dyDescent="0.3">
      <c r="C25" s="85">
        <v>913.44</v>
      </c>
      <c r="D25" s="88">
        <f t="shared" si="0"/>
        <v>2.2802663380643521E-2</v>
      </c>
      <c r="E25" s="87"/>
    </row>
    <row r="26" spans="1:5" ht="15.75" customHeight="1" x14ac:dyDescent="0.3">
      <c r="C26" s="85">
        <v>904.17</v>
      </c>
      <c r="D26" s="88">
        <f t="shared" si="0"/>
        <v>1.2422801879572119E-2</v>
      </c>
      <c r="E26" s="87"/>
    </row>
    <row r="27" spans="1:5" ht="15.75" customHeight="1" x14ac:dyDescent="0.3">
      <c r="C27" s="85">
        <v>877.27</v>
      </c>
      <c r="D27" s="88">
        <f t="shared" si="0"/>
        <v>-1.7697831818250711E-2</v>
      </c>
      <c r="E27" s="87"/>
    </row>
    <row r="28" spans="1:5" ht="15.75" customHeight="1" x14ac:dyDescent="0.3">
      <c r="C28" s="85">
        <v>908.49</v>
      </c>
      <c r="D28" s="88">
        <f t="shared" si="0"/>
        <v>1.7260018889780158E-2</v>
      </c>
      <c r="E28" s="87"/>
    </row>
    <row r="29" spans="1:5" ht="15.75" customHeight="1" x14ac:dyDescent="0.3">
      <c r="C29" s="85">
        <v>889.97</v>
      </c>
      <c r="D29" s="88">
        <f t="shared" si="0"/>
        <v>-3.4773095891670073E-3</v>
      </c>
      <c r="E29" s="87"/>
    </row>
    <row r="30" spans="1:5" ht="15.75" customHeight="1" x14ac:dyDescent="0.3">
      <c r="C30" s="85">
        <v>891.35</v>
      </c>
      <c r="D30" s="88">
        <f t="shared" si="0"/>
        <v>-1.9320874886839068E-3</v>
      </c>
      <c r="E30" s="87"/>
    </row>
    <row r="31" spans="1:5" ht="15.75" customHeight="1" x14ac:dyDescent="0.3">
      <c r="C31" s="85">
        <v>891.24</v>
      </c>
      <c r="D31" s="88">
        <f t="shared" si="0"/>
        <v>-2.0552573662586623E-3</v>
      </c>
      <c r="E31" s="87"/>
    </row>
    <row r="32" spans="1:5" ht="15.75" customHeight="1" x14ac:dyDescent="0.3">
      <c r="C32" s="85">
        <v>899.07</v>
      </c>
      <c r="D32" s="88">
        <f t="shared" si="0"/>
        <v>6.7121984647433523E-3</v>
      </c>
      <c r="E32" s="87"/>
    </row>
    <row r="33" spans="1:7" ht="15.75" customHeight="1" x14ac:dyDescent="0.3">
      <c r="C33" s="85">
        <v>896.97</v>
      </c>
      <c r="D33" s="88">
        <f t="shared" si="0"/>
        <v>4.3607735292255576E-3</v>
      </c>
      <c r="E33" s="87"/>
    </row>
    <row r="34" spans="1:7" ht="15.75" customHeight="1" x14ac:dyDescent="0.3">
      <c r="C34" s="85">
        <v>898.45</v>
      </c>
      <c r="D34" s="88">
        <f t="shared" si="0"/>
        <v>6.0179682456857203E-3</v>
      </c>
      <c r="E34" s="87"/>
    </row>
    <row r="35" spans="1:7" ht="15.75" customHeight="1" x14ac:dyDescent="0.3">
      <c r="C35" s="85">
        <v>864.99</v>
      </c>
      <c r="D35" s="88">
        <f t="shared" si="0"/>
        <v>-3.1448069060230781E-2</v>
      </c>
      <c r="E35" s="87"/>
    </row>
    <row r="36" spans="1:7" ht="15.75" customHeight="1" x14ac:dyDescent="0.3">
      <c r="C36" s="85">
        <v>873.26</v>
      </c>
      <c r="D36" s="88">
        <f t="shared" si="0"/>
        <v>-2.218793371892987E-2</v>
      </c>
      <c r="E36" s="87"/>
    </row>
    <row r="37" spans="1:7" ht="15.75" customHeight="1" x14ac:dyDescent="0.3">
      <c r="C37" s="85">
        <v>902.46</v>
      </c>
      <c r="D37" s="88">
        <f t="shared" si="0"/>
        <v>1.050807014636488E-2</v>
      </c>
      <c r="E37" s="87"/>
    </row>
    <row r="38" spans="1:7" ht="15.75" customHeight="1" x14ac:dyDescent="0.3">
      <c r="C38" s="85">
        <v>892.3</v>
      </c>
      <c r="D38" s="88">
        <f t="shared" si="0"/>
        <v>-8.6834763690213498E-4</v>
      </c>
      <c r="E38" s="87"/>
    </row>
    <row r="39" spans="1:7" ht="15.75" customHeight="1" x14ac:dyDescent="0.3">
      <c r="C39" s="85">
        <v>892.58</v>
      </c>
      <c r="D39" s="88">
        <f t="shared" si="0"/>
        <v>-5.5482431216633574E-4</v>
      </c>
      <c r="E39" s="87"/>
    </row>
    <row r="40" spans="1:7" ht="15.75" customHeight="1" x14ac:dyDescent="0.3">
      <c r="C40" s="85">
        <v>878.95</v>
      </c>
      <c r="D40" s="88">
        <f t="shared" si="0"/>
        <v>-1.5816691869836426E-2</v>
      </c>
      <c r="E40" s="87"/>
    </row>
    <row r="41" spans="1:7" ht="15.75" customHeight="1" x14ac:dyDescent="0.3">
      <c r="C41" s="85">
        <v>867.01</v>
      </c>
      <c r="D41" s="88">
        <f t="shared" si="0"/>
        <v>-2.9186222217494659E-2</v>
      </c>
      <c r="E41" s="87"/>
    </row>
    <row r="42" spans="1:7" ht="15.75" customHeight="1" x14ac:dyDescent="0.3">
      <c r="C42" s="85">
        <v>909.01</v>
      </c>
      <c r="D42" s="88">
        <f t="shared" si="0"/>
        <v>1.7842276492860729E-2</v>
      </c>
      <c r="E42" s="87"/>
    </row>
    <row r="43" spans="1:7" ht="16.5" customHeight="1" thickBot="1" x14ac:dyDescent="0.35">
      <c r="C43" s="89">
        <v>909.49</v>
      </c>
      <c r="D43" s="90">
        <f t="shared" si="0"/>
        <v>1.8379745049550523E-2</v>
      </c>
      <c r="E43" s="87"/>
    </row>
    <row r="44" spans="1:7" ht="16.5" customHeight="1" thickBot="1" x14ac:dyDescent="0.35">
      <c r="C44" s="91"/>
      <c r="D44" s="87"/>
      <c r="E44" s="92"/>
    </row>
    <row r="45" spans="1:7" ht="16.5" customHeight="1" thickBot="1" x14ac:dyDescent="0.35">
      <c r="B45" s="93" t="s">
        <v>81</v>
      </c>
      <c r="C45" s="94">
        <f>SUM(C24:C44)</f>
        <v>17861.510000000002</v>
      </c>
      <c r="D45" s="95"/>
      <c r="E45" s="91"/>
    </row>
    <row r="46" spans="1:7" ht="17.25" customHeight="1" thickBot="1" x14ac:dyDescent="0.35">
      <c r="B46" s="93" t="s">
        <v>27</v>
      </c>
      <c r="C46" s="96">
        <f>AVERAGE(C24:C44)</f>
        <v>893.07550000000015</v>
      </c>
      <c r="E46" s="97"/>
    </row>
    <row r="47" spans="1:7" ht="17.25" customHeight="1" thickBot="1" x14ac:dyDescent="0.35">
      <c r="A47" s="75"/>
      <c r="B47" s="98"/>
      <c r="D47" s="99"/>
      <c r="E47" s="97"/>
    </row>
    <row r="48" spans="1:7" ht="33.75" customHeight="1" thickBot="1" x14ac:dyDescent="0.35">
      <c r="B48" s="100" t="s">
        <v>27</v>
      </c>
      <c r="C48" s="83" t="s">
        <v>82</v>
      </c>
      <c r="D48" s="101"/>
      <c r="G48" s="99"/>
    </row>
    <row r="49" spans="1:6" ht="17.25" customHeight="1" thickBot="1" x14ac:dyDescent="0.35">
      <c r="B49" s="195">
        <f>C46</f>
        <v>893.07550000000015</v>
      </c>
      <c r="C49" s="102">
        <f>-IF(C46&lt;=80,10%,IF(C46&lt;250,7.5%,5%))</f>
        <v>-0.05</v>
      </c>
      <c r="D49" s="103">
        <f>IF(C46&lt;=80,C46*0.9,IF(C46&lt;250,C46*0.925,C46*0.95))</f>
        <v>848.42172500000015</v>
      </c>
    </row>
    <row r="50" spans="1:6" ht="17.25" customHeight="1" thickBot="1" x14ac:dyDescent="0.35">
      <c r="B50" s="196"/>
      <c r="C50" s="104">
        <f>IF(C46&lt;=80, 10%, IF(C46&lt;250, 7.5%, 5%))</f>
        <v>0.05</v>
      </c>
      <c r="D50" s="103">
        <f>IF(C46&lt;=80, C46*1.1, IF(C46&lt;250, C46*1.075, C46*1.05))</f>
        <v>937.72927500000014</v>
      </c>
    </row>
    <row r="51" spans="1:6" ht="16.5" customHeight="1" thickBot="1" x14ac:dyDescent="0.35">
      <c r="A51" s="105"/>
      <c r="B51" s="106"/>
      <c r="C51" s="75"/>
      <c r="D51" s="107"/>
      <c r="E51" s="75"/>
      <c r="F51" s="80"/>
    </row>
    <row r="52" spans="1:6" ht="16.5" customHeight="1" x14ac:dyDescent="0.3">
      <c r="A52" s="75"/>
      <c r="B52" s="108" t="s">
        <v>57</v>
      </c>
      <c r="C52" s="108"/>
      <c r="D52" s="109" t="s">
        <v>58</v>
      </c>
      <c r="E52" s="110"/>
      <c r="F52" s="109" t="s">
        <v>59</v>
      </c>
    </row>
    <row r="53" spans="1:6" ht="34.5" customHeight="1" x14ac:dyDescent="0.3">
      <c r="A53" s="77" t="s">
        <v>49</v>
      </c>
      <c r="B53" s="111"/>
      <c r="C53" s="75"/>
      <c r="D53" s="111"/>
      <c r="E53" s="75"/>
      <c r="F53" s="111"/>
    </row>
    <row r="54" spans="1:6" ht="34.5" customHeight="1" x14ac:dyDescent="0.3">
      <c r="A54" s="77" t="s">
        <v>61</v>
      </c>
      <c r="B54" s="112"/>
      <c r="C54" s="113"/>
      <c r="D54" s="112"/>
      <c r="E54" s="75"/>
      <c r="F54" s="11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view="pageBreakPreview" zoomScale="60" zoomScaleNormal="100" workbookViewId="0">
      <selection activeCell="A15" sqref="A15"/>
    </sheetView>
  </sheetViews>
  <sheetFormatPr defaultRowHeight="15.75" x14ac:dyDescent="0.25"/>
  <cols>
    <col min="1" max="1" width="31.7109375" style="9" customWidth="1"/>
    <col min="2" max="2" width="20" style="9" customWidth="1"/>
    <col min="3" max="3" width="32.7109375" style="9" customWidth="1"/>
    <col min="4" max="4" width="16.28515625" style="9" customWidth="1"/>
    <col min="5" max="5" width="29" style="9" customWidth="1"/>
    <col min="6" max="6" width="15.7109375" style="9" customWidth="1"/>
    <col min="7" max="7" width="18.42578125" style="9" customWidth="1"/>
    <col min="8" max="8" width="9.140625" style="9" customWidth="1"/>
    <col min="9" max="16384" width="9.140625" style="10"/>
  </cols>
  <sheetData>
    <row r="1" spans="1:8" ht="15.95" customHeight="1" x14ac:dyDescent="0.25"/>
    <row r="2" spans="1:8" ht="15.95" customHeight="1" x14ac:dyDescent="0.25"/>
    <row r="3" spans="1:8" ht="15.95" customHeight="1" x14ac:dyDescent="0.25"/>
    <row r="4" spans="1:8" ht="15.95" customHeight="1" x14ac:dyDescent="0.25"/>
    <row r="5" spans="1:8" ht="15.95" customHeight="1" x14ac:dyDescent="0.25"/>
    <row r="6" spans="1:8" ht="15.95" customHeight="1" x14ac:dyDescent="0.25"/>
    <row r="7" spans="1:8" ht="15.95" customHeight="1" x14ac:dyDescent="0.25"/>
    <row r="8" spans="1:8" ht="15.95" customHeight="1" x14ac:dyDescent="0.25"/>
    <row r="9" spans="1:8" ht="15.95" customHeight="1" x14ac:dyDescent="0.25"/>
    <row r="10" spans="1:8" ht="15.95" customHeight="1" x14ac:dyDescent="0.25"/>
    <row r="11" spans="1:8" ht="15.95" customHeight="1" x14ac:dyDescent="0.25"/>
    <row r="12" spans="1:8" customFormat="1" ht="15.95" customHeight="1" x14ac:dyDescent="0.25">
      <c r="A12" s="5" t="s">
        <v>0</v>
      </c>
      <c r="B12" s="5" t="s">
        <v>1</v>
      </c>
      <c r="C12" s="5" t="s">
        <v>2</v>
      </c>
      <c r="D12" s="5"/>
      <c r="E12" s="5"/>
      <c r="F12" s="5"/>
      <c r="G12" s="5"/>
      <c r="H12" s="5"/>
    </row>
    <row r="13" spans="1:8" customFormat="1" ht="15.95" customHeight="1" x14ac:dyDescent="0.3">
      <c r="A13" s="1" t="s">
        <v>3</v>
      </c>
      <c r="B13" s="1" t="s">
        <v>71</v>
      </c>
      <c r="C13" s="5"/>
      <c r="D13" s="5"/>
      <c r="E13" s="5"/>
      <c r="F13" s="5"/>
      <c r="G13" s="7"/>
      <c r="H13" s="5"/>
    </row>
    <row r="14" spans="1:8" customFormat="1" ht="15.95" customHeight="1" x14ac:dyDescent="0.3">
      <c r="A14" s="2" t="s">
        <v>4</v>
      </c>
      <c r="B14" s="2" t="s">
        <v>72</v>
      </c>
      <c r="C14" s="5"/>
      <c r="D14" s="5"/>
      <c r="E14" s="5"/>
      <c r="F14" s="5"/>
      <c r="G14" s="6"/>
      <c r="H14" s="5"/>
    </row>
    <row r="15" spans="1:8" customFormat="1" ht="15.95" customHeight="1" x14ac:dyDescent="0.3">
      <c r="A15" s="2" t="s">
        <v>5</v>
      </c>
      <c r="B15" s="3" t="s">
        <v>73</v>
      </c>
      <c r="C15" s="5"/>
      <c r="D15" s="5"/>
      <c r="E15" s="5"/>
      <c r="F15" s="5"/>
      <c r="G15" s="5"/>
      <c r="H15" s="5"/>
    </row>
    <row r="16" spans="1:8" customFormat="1" ht="15.95" customHeight="1" x14ac:dyDescent="0.3">
      <c r="A16" s="2" t="s">
        <v>6</v>
      </c>
      <c r="B16" s="3" t="s">
        <v>74</v>
      </c>
      <c r="C16" s="5"/>
      <c r="D16" s="5"/>
      <c r="E16" s="5"/>
      <c r="F16" s="5"/>
      <c r="G16" s="5"/>
      <c r="H16" s="5"/>
    </row>
    <row r="17" spans="1:10" customFormat="1" ht="15.95" customHeight="1" x14ac:dyDescent="0.3">
      <c r="A17" s="2" t="s">
        <v>7</v>
      </c>
      <c r="B17" s="5" t="s">
        <v>75</v>
      </c>
      <c r="C17" s="5"/>
      <c r="D17" s="5"/>
      <c r="E17" s="5"/>
      <c r="F17" s="5"/>
      <c r="G17" s="5"/>
      <c r="H17" s="5"/>
    </row>
    <row r="18" spans="1:10" customFormat="1" ht="15.95" customHeight="1" x14ac:dyDescent="0.3">
      <c r="A18" s="2" t="s">
        <v>8</v>
      </c>
      <c r="B18" s="4">
        <v>42559</v>
      </c>
      <c r="C18" s="5"/>
      <c r="D18" s="5"/>
      <c r="E18" s="5"/>
      <c r="F18" s="5"/>
      <c r="G18" s="5"/>
      <c r="H18" s="5"/>
    </row>
    <row r="19" spans="1:10" customFormat="1" ht="15.95" customHeight="1" x14ac:dyDescent="0.3">
      <c r="A19" s="2" t="s">
        <v>9</v>
      </c>
      <c r="B19" s="4">
        <v>42560</v>
      </c>
      <c r="C19" s="5"/>
      <c r="D19" s="5"/>
      <c r="E19" s="5"/>
      <c r="F19" s="5"/>
      <c r="G19" s="5"/>
      <c r="H19" s="5"/>
    </row>
    <row r="20" spans="1:10" ht="15.95" customHeight="1" x14ac:dyDescent="0.3">
      <c r="A20" s="11"/>
      <c r="B20" s="12"/>
    </row>
    <row r="21" spans="1:10" ht="15.95" customHeight="1" x14ac:dyDescent="0.3">
      <c r="A21" s="11"/>
      <c r="C21" s="13"/>
      <c r="D21" s="11"/>
    </row>
    <row r="22" spans="1:10" ht="15.95" customHeight="1" x14ac:dyDescent="0.3">
      <c r="A22" s="14"/>
      <c r="B22" s="15"/>
      <c r="C22" s="16"/>
      <c r="D22" s="17"/>
      <c r="E22" s="18" t="s">
        <v>10</v>
      </c>
    </row>
    <row r="23" spans="1:10" ht="15.95" customHeight="1" x14ac:dyDescent="0.3">
      <c r="A23" s="214" t="s">
        <v>11</v>
      </c>
      <c r="B23" s="215"/>
      <c r="C23" s="214" t="s">
        <v>12</v>
      </c>
      <c r="D23" s="215"/>
      <c r="E23" s="19" t="s">
        <v>66</v>
      </c>
    </row>
    <row r="24" spans="1:10" ht="15.95" customHeight="1" x14ac:dyDescent="0.3">
      <c r="A24" s="16" t="s">
        <v>67</v>
      </c>
      <c r="B24" s="20"/>
      <c r="C24" s="21" t="s">
        <v>13</v>
      </c>
      <c r="D24" s="22">
        <v>23.88</v>
      </c>
      <c r="E24" s="22">
        <f>D24*B26/100</f>
        <v>16.405560000000001</v>
      </c>
    </row>
    <row r="25" spans="1:10" ht="15.95" customHeight="1" x14ac:dyDescent="0.3">
      <c r="A25" s="23" t="s">
        <v>14</v>
      </c>
      <c r="B25" s="24" t="s">
        <v>15</v>
      </c>
      <c r="D25" s="25"/>
      <c r="E25" s="25"/>
    </row>
    <row r="26" spans="1:10" ht="15.95" customHeight="1" x14ac:dyDescent="0.3">
      <c r="A26" s="23" t="s">
        <v>16</v>
      </c>
      <c r="B26" s="26">
        <v>68.7</v>
      </c>
      <c r="C26" s="27" t="s">
        <v>17</v>
      </c>
      <c r="D26" s="22">
        <v>23.65</v>
      </c>
      <c r="E26" s="22">
        <f>D26*B26/100</f>
        <v>16.24755</v>
      </c>
      <c r="I26" s="9"/>
      <c r="J26" s="9"/>
    </row>
    <row r="27" spans="1:10" ht="15.95" customHeight="1" x14ac:dyDescent="0.3">
      <c r="A27" s="28"/>
      <c r="B27" s="29"/>
      <c r="C27" s="30"/>
      <c r="D27" s="31"/>
      <c r="E27" s="31"/>
      <c r="F27" s="32"/>
      <c r="G27" s="32"/>
      <c r="I27" s="9"/>
      <c r="J27" s="9"/>
    </row>
    <row r="28" spans="1:10" ht="15.95" customHeight="1" x14ac:dyDescent="0.3">
      <c r="A28" s="23"/>
      <c r="B28" s="33"/>
      <c r="E28" s="32"/>
      <c r="F28" s="32"/>
      <c r="G28" s="32"/>
      <c r="I28" s="9"/>
      <c r="J28" s="9"/>
    </row>
    <row r="29" spans="1:10" s="9" customFormat="1" ht="15.95" customHeight="1" x14ac:dyDescent="0.25">
      <c r="A29" s="34" t="s">
        <v>63</v>
      </c>
      <c r="B29" s="35"/>
      <c r="C29" s="116">
        <v>57.84</v>
      </c>
    </row>
    <row r="30" spans="1:10" s="9" customFormat="1" ht="15.95" customHeight="1" x14ac:dyDescent="0.3">
      <c r="A30" s="36" t="s">
        <v>62</v>
      </c>
      <c r="B30" s="32"/>
      <c r="C30" s="53">
        <f>500/Uniformity!C46*C29</f>
        <v>32.382480540558994</v>
      </c>
    </row>
    <row r="31" spans="1:10" s="9" customFormat="1" ht="15.95" customHeight="1" x14ac:dyDescent="0.25">
      <c r="A31" s="32"/>
      <c r="B31" s="32"/>
      <c r="C31" s="32"/>
    </row>
    <row r="32" spans="1:10" ht="15.95" customHeight="1" x14ac:dyDescent="0.25">
      <c r="A32" s="37" t="s">
        <v>18</v>
      </c>
      <c r="B32" s="38"/>
      <c r="C32" s="38"/>
      <c r="D32" s="38"/>
      <c r="E32" s="38"/>
      <c r="F32" s="38"/>
      <c r="G32" s="38"/>
      <c r="I32" s="9"/>
      <c r="J32" s="9"/>
    </row>
    <row r="33" spans="1:10" ht="24.95" customHeight="1" x14ac:dyDescent="0.25">
      <c r="A33" s="39" t="s">
        <v>19</v>
      </c>
      <c r="B33" s="40"/>
      <c r="C33" s="40"/>
      <c r="D33" s="40"/>
      <c r="E33" s="40"/>
      <c r="F33" s="40"/>
      <c r="G33" s="41"/>
      <c r="I33" s="9"/>
      <c r="J33" s="9"/>
    </row>
    <row r="34" spans="1:10" ht="15.95" customHeight="1" x14ac:dyDescent="0.25">
      <c r="A34" s="42" t="s">
        <v>20</v>
      </c>
      <c r="B34" s="43" t="s">
        <v>21</v>
      </c>
      <c r="C34" s="43" t="s">
        <v>22</v>
      </c>
      <c r="D34" s="43" t="s">
        <v>23</v>
      </c>
      <c r="E34" s="43" t="s">
        <v>24</v>
      </c>
      <c r="F34" s="43" t="s">
        <v>25</v>
      </c>
      <c r="G34" s="43" t="s">
        <v>26</v>
      </c>
      <c r="I34" s="9"/>
      <c r="J34" s="9"/>
    </row>
    <row r="35" spans="1:10" ht="15.95" customHeight="1" x14ac:dyDescent="0.25">
      <c r="A35" s="42">
        <v>1</v>
      </c>
      <c r="B35" s="44">
        <v>16.62</v>
      </c>
      <c r="C35" s="44">
        <v>18.579999999999998</v>
      </c>
      <c r="D35" s="44">
        <v>21.12</v>
      </c>
      <c r="E35" s="44">
        <v>16.52</v>
      </c>
      <c r="F35" s="44">
        <v>18.84</v>
      </c>
      <c r="G35" s="44">
        <v>21.12</v>
      </c>
      <c r="I35" s="9"/>
      <c r="J35" s="9"/>
    </row>
    <row r="36" spans="1:10" ht="15.95" customHeight="1" x14ac:dyDescent="0.25">
      <c r="A36" s="42">
        <v>2</v>
      </c>
      <c r="B36" s="44">
        <v>16.420000000000002</v>
      </c>
      <c r="C36" s="44">
        <v>18.48</v>
      </c>
      <c r="D36" s="44">
        <v>21.14</v>
      </c>
      <c r="E36" s="44">
        <v>16.48</v>
      </c>
      <c r="F36" s="44">
        <v>18.98</v>
      </c>
      <c r="G36" s="44">
        <v>21.18</v>
      </c>
      <c r="I36" s="9"/>
      <c r="J36" s="9"/>
    </row>
    <row r="37" spans="1:10" ht="15.95" customHeight="1" x14ac:dyDescent="0.25">
      <c r="A37" s="42">
        <v>3</v>
      </c>
      <c r="B37" s="44">
        <v>16.579999999999998</v>
      </c>
      <c r="C37" s="44">
        <v>18.559999999999999</v>
      </c>
      <c r="D37" s="44">
        <v>21.04</v>
      </c>
      <c r="E37" s="44">
        <v>16.600000000000001</v>
      </c>
      <c r="F37" s="44">
        <v>18.8</v>
      </c>
      <c r="G37" s="44">
        <v>21</v>
      </c>
      <c r="I37" s="9"/>
      <c r="J37" s="9"/>
    </row>
    <row r="38" spans="1:10" ht="15.95" customHeight="1" x14ac:dyDescent="0.25">
      <c r="A38" s="45" t="s">
        <v>27</v>
      </c>
      <c r="B38" s="46">
        <f t="shared" ref="B38:G38" si="0">AVERAGE(B35:B37)</f>
        <v>16.540000000000003</v>
      </c>
      <c r="C38" s="46">
        <f t="shared" si="0"/>
        <v>18.540000000000003</v>
      </c>
      <c r="D38" s="46">
        <f t="shared" si="0"/>
        <v>21.1</v>
      </c>
      <c r="E38" s="46">
        <f t="shared" si="0"/>
        <v>16.533333333333335</v>
      </c>
      <c r="F38" s="46">
        <f t="shared" si="0"/>
        <v>18.873333333333335</v>
      </c>
      <c r="G38" s="46">
        <f t="shared" si="0"/>
        <v>21.099999999999998</v>
      </c>
      <c r="I38" s="9"/>
      <c r="J38" s="9"/>
    </row>
    <row r="39" spans="1:10" ht="24.95" customHeight="1" x14ac:dyDescent="0.25">
      <c r="A39" s="47" t="s">
        <v>28</v>
      </c>
      <c r="B39" s="48"/>
      <c r="C39" s="48"/>
      <c r="D39" s="48"/>
      <c r="E39" s="48"/>
      <c r="F39" s="48"/>
      <c r="G39" s="49"/>
      <c r="I39" s="9"/>
      <c r="J39" s="9"/>
    </row>
    <row r="40" spans="1:10" ht="15.95" customHeight="1" x14ac:dyDescent="0.25">
      <c r="A40" s="42" t="s">
        <v>20</v>
      </c>
      <c r="B40" s="43" t="s">
        <v>21</v>
      </c>
      <c r="C40" s="43" t="s">
        <v>22</v>
      </c>
      <c r="D40" s="43" t="s">
        <v>23</v>
      </c>
      <c r="E40" s="43" t="s">
        <v>24</v>
      </c>
      <c r="F40" s="43" t="s">
        <v>25</v>
      </c>
      <c r="G40" s="43" t="s">
        <v>26</v>
      </c>
      <c r="I40" s="9"/>
      <c r="J40" s="9"/>
    </row>
    <row r="41" spans="1:10" ht="15.95" customHeight="1" x14ac:dyDescent="0.25">
      <c r="A41" s="42">
        <v>1</v>
      </c>
      <c r="B41" s="44">
        <v>16.52</v>
      </c>
      <c r="C41" s="44">
        <v>18.48</v>
      </c>
      <c r="D41" s="44">
        <v>21.08</v>
      </c>
      <c r="E41" s="44">
        <v>16.72</v>
      </c>
      <c r="F41" s="44">
        <v>18.98</v>
      </c>
      <c r="G41" s="44">
        <v>21.18</v>
      </c>
      <c r="I41" s="9"/>
      <c r="J41" s="9"/>
    </row>
    <row r="42" spans="1:10" ht="15.95" customHeight="1" x14ac:dyDescent="0.25">
      <c r="A42" s="42">
        <v>2</v>
      </c>
      <c r="B42" s="44">
        <v>16.34</v>
      </c>
      <c r="C42" s="44">
        <v>18.5</v>
      </c>
      <c r="D42" s="44">
        <v>21.02</v>
      </c>
      <c r="E42" s="44">
        <v>16.579999999999998</v>
      </c>
      <c r="F42" s="44">
        <v>18.88</v>
      </c>
      <c r="G42" s="44">
        <v>21.06</v>
      </c>
      <c r="I42" s="9"/>
      <c r="J42" s="9"/>
    </row>
    <row r="43" spans="1:10" ht="15.95" customHeight="1" x14ac:dyDescent="0.25">
      <c r="A43" s="42">
        <v>3</v>
      </c>
      <c r="B43" s="44">
        <v>16.52</v>
      </c>
      <c r="C43" s="44">
        <v>18.68</v>
      </c>
      <c r="D43" s="44">
        <v>21.06</v>
      </c>
      <c r="E43" s="44">
        <v>16.600000000000001</v>
      </c>
      <c r="F43" s="44">
        <v>18.86</v>
      </c>
      <c r="G43" s="44">
        <v>21.12</v>
      </c>
      <c r="I43" s="9"/>
      <c r="J43" s="9"/>
    </row>
    <row r="44" spans="1:10" ht="15.95" customHeight="1" x14ac:dyDescent="0.25">
      <c r="A44" s="50" t="s">
        <v>27</v>
      </c>
      <c r="B44" s="51">
        <f t="shared" ref="B44:G44" si="1">AVERAGE(B41:B43)</f>
        <v>16.459999999999997</v>
      </c>
      <c r="C44" s="51">
        <f t="shared" si="1"/>
        <v>18.553333333333335</v>
      </c>
      <c r="D44" s="51">
        <f t="shared" si="1"/>
        <v>21.053333333333331</v>
      </c>
      <c r="E44" s="51">
        <f t="shared" si="1"/>
        <v>16.633333333333333</v>
      </c>
      <c r="F44" s="51">
        <f t="shared" si="1"/>
        <v>18.906666666666666</v>
      </c>
      <c r="G44" s="46">
        <f t="shared" si="1"/>
        <v>21.12</v>
      </c>
      <c r="I44" s="9"/>
      <c r="J44" s="9"/>
    </row>
    <row r="45" spans="1:10" ht="15.95" customHeight="1" x14ac:dyDescent="0.25">
      <c r="I45" s="9"/>
      <c r="J45" s="9"/>
    </row>
    <row r="46" spans="1:10" ht="15.95" customHeight="1" x14ac:dyDescent="0.25">
      <c r="A46" s="32" t="s">
        <v>68</v>
      </c>
      <c r="B46" s="32"/>
      <c r="C46" s="32"/>
      <c r="D46" s="32"/>
      <c r="E46" s="32"/>
      <c r="F46" s="32"/>
      <c r="I46" s="9"/>
      <c r="J46" s="9"/>
    </row>
    <row r="47" spans="1:10" ht="18" customHeight="1" x14ac:dyDescent="0.25">
      <c r="A47" s="32" t="s">
        <v>29</v>
      </c>
      <c r="B47" s="52">
        <f>$E$24/25*5/25</f>
        <v>0.13124448</v>
      </c>
      <c r="C47" s="32" t="s">
        <v>30</v>
      </c>
      <c r="D47" s="52">
        <f>$E$26/25*5/25</f>
        <v>0.1299804</v>
      </c>
      <c r="E47" s="32"/>
      <c r="F47" s="32"/>
      <c r="I47" s="9"/>
      <c r="J47" s="9"/>
    </row>
    <row r="48" spans="1:10" ht="15.95" customHeight="1" x14ac:dyDescent="0.25">
      <c r="A48" s="32"/>
      <c r="B48" s="53"/>
      <c r="C48" s="32"/>
      <c r="D48" s="53"/>
      <c r="E48" s="32"/>
      <c r="F48" s="32"/>
      <c r="I48" s="9"/>
      <c r="J48" s="9"/>
    </row>
    <row r="49" spans="1:10" ht="15.95" customHeight="1" x14ac:dyDescent="0.25">
      <c r="A49" s="32" t="s">
        <v>69</v>
      </c>
      <c r="B49" s="32"/>
      <c r="C49" s="32"/>
      <c r="D49" s="54"/>
      <c r="E49" s="54"/>
      <c r="F49" s="55"/>
      <c r="I49" s="9"/>
      <c r="J49" s="9"/>
    </row>
    <row r="50" spans="1:10" ht="18" customHeight="1" x14ac:dyDescent="0.25">
      <c r="A50" s="32" t="s">
        <v>31</v>
      </c>
      <c r="B50" s="52">
        <f>$C$30/50*5/25</f>
        <v>0.12952992216223597</v>
      </c>
      <c r="C50" s="32"/>
      <c r="D50" s="54"/>
      <c r="E50" s="56"/>
      <c r="F50" s="32"/>
      <c r="I50" s="9"/>
      <c r="J50" s="9"/>
    </row>
    <row r="51" spans="1:10" ht="15.95" customHeight="1" x14ac:dyDescent="0.25">
      <c r="A51" s="32"/>
      <c r="B51" s="53"/>
      <c r="C51" s="32"/>
      <c r="D51" s="32"/>
      <c r="E51" s="32"/>
      <c r="F51" s="32"/>
      <c r="I51" s="9"/>
      <c r="J51" s="9"/>
    </row>
    <row r="52" spans="1:10" ht="18" customHeight="1" x14ac:dyDescent="0.25">
      <c r="A52" s="213" t="s">
        <v>32</v>
      </c>
      <c r="B52" s="213"/>
      <c r="C52" s="213" t="s">
        <v>19</v>
      </c>
      <c r="D52" s="213"/>
      <c r="E52" s="213" t="s">
        <v>33</v>
      </c>
      <c r="F52" s="213"/>
      <c r="I52" s="9"/>
      <c r="J52" s="9"/>
    </row>
    <row r="53" spans="1:10" ht="24.95" customHeight="1" x14ac:dyDescent="0.25">
      <c r="A53" s="204" t="s">
        <v>34</v>
      </c>
      <c r="B53" s="204"/>
      <c r="C53" s="205">
        <f>1/4*((D38+G38)-(B38+E38))</f>
        <v>2.2816666666666663</v>
      </c>
      <c r="D53" s="205"/>
      <c r="E53" s="205">
        <f>1/4*((D44+G44)-(E44+B44))</f>
        <v>2.2699999999999996</v>
      </c>
      <c r="F53" s="205"/>
      <c r="I53" s="9"/>
      <c r="J53" s="9"/>
    </row>
    <row r="54" spans="1:10" ht="24.95" customHeight="1" x14ac:dyDescent="0.25">
      <c r="A54" s="204" t="s">
        <v>35</v>
      </c>
      <c r="B54" s="204"/>
      <c r="C54" s="205">
        <f>1/3*((E38+F38+G38)-(B38+C38+D38))</f>
        <v>0.10888888888888459</v>
      </c>
      <c r="D54" s="205"/>
      <c r="E54" s="205">
        <f>1/3*((E44+F44+G44)-(B44+C44+D44))</f>
        <v>0.19777777777777789</v>
      </c>
      <c r="F54" s="205"/>
      <c r="I54" s="9"/>
      <c r="J54" s="9"/>
    </row>
    <row r="55" spans="1:10" ht="24.95" customHeight="1" x14ac:dyDescent="0.25">
      <c r="A55" s="204" t="s">
        <v>36</v>
      </c>
      <c r="B55" s="204"/>
      <c r="C55" s="205">
        <f>C53/LOG10(2)</f>
        <v>7.5795326031679968</v>
      </c>
      <c r="D55" s="205"/>
      <c r="E55" s="205">
        <f>E53/LOG10(2)</f>
        <v>7.5407767753943107</v>
      </c>
      <c r="F55" s="205"/>
      <c r="I55" s="9"/>
      <c r="J55" s="9"/>
    </row>
    <row r="56" spans="1:10" ht="24.95" customHeight="1" x14ac:dyDescent="0.25">
      <c r="A56" s="204" t="s">
        <v>37</v>
      </c>
      <c r="B56" s="204"/>
      <c r="C56" s="205">
        <f>C54/C55</f>
        <v>1.4366174616542002E-2</v>
      </c>
      <c r="D56" s="205"/>
      <c r="E56" s="205">
        <f>E54/E55</f>
        <v>2.6227772505231863E-2</v>
      </c>
      <c r="F56" s="205"/>
      <c r="I56" s="9"/>
      <c r="J56" s="9"/>
    </row>
    <row r="57" spans="1:10" ht="24.95" customHeight="1" x14ac:dyDescent="0.25">
      <c r="A57" s="204" t="s">
        <v>38</v>
      </c>
      <c r="B57" s="204"/>
      <c r="C57" s="204">
        <f>POWER(10,C56)</f>
        <v>1.033632543893291</v>
      </c>
      <c r="D57" s="204"/>
      <c r="E57" s="204">
        <f>POWER(10,E56)</f>
        <v>1.0622525260124731</v>
      </c>
      <c r="F57" s="204"/>
      <c r="I57" s="9"/>
      <c r="J57" s="9"/>
    </row>
    <row r="58" spans="1:10" ht="24.95" customHeight="1" x14ac:dyDescent="0.25">
      <c r="A58" s="57" t="s">
        <v>39</v>
      </c>
      <c r="B58" s="57"/>
      <c r="C58" s="208">
        <f>C57*B47/B50</f>
        <v>1.0473145005401923</v>
      </c>
      <c r="D58" s="208"/>
      <c r="E58" s="208">
        <f>E57*D47/B50</f>
        <v>1.0659468169769819</v>
      </c>
      <c r="F58" s="208"/>
      <c r="I58" s="9"/>
      <c r="J58" s="9"/>
    </row>
    <row r="59" spans="1:10" ht="24.95" customHeight="1" x14ac:dyDescent="0.25">
      <c r="B59" s="32"/>
      <c r="C59" s="32"/>
      <c r="D59" s="32"/>
      <c r="E59" s="32"/>
      <c r="F59" s="32"/>
      <c r="I59" s="9"/>
      <c r="J59" s="9"/>
    </row>
    <row r="60" spans="1:10" ht="15.95" customHeight="1" x14ac:dyDescent="0.25">
      <c r="A60" s="34" t="s">
        <v>63</v>
      </c>
      <c r="B60" s="35"/>
      <c r="C60" s="116">
        <v>57.24</v>
      </c>
      <c r="I60" s="9"/>
      <c r="J60" s="9"/>
    </row>
    <row r="61" spans="1:10" ht="15.95" customHeight="1" x14ac:dyDescent="0.3">
      <c r="A61" s="36" t="s">
        <v>62</v>
      </c>
      <c r="B61" s="32"/>
      <c r="C61" s="53">
        <f>500/Uniformity!C46*C60</f>
        <v>32.046562692627887</v>
      </c>
      <c r="I61" s="9"/>
      <c r="J61" s="9"/>
    </row>
    <row r="62" spans="1:10" ht="15.95" customHeight="1" x14ac:dyDescent="0.25">
      <c r="A62" s="32"/>
      <c r="B62" s="32"/>
      <c r="C62" s="32"/>
      <c r="I62" s="9"/>
      <c r="J62" s="9"/>
    </row>
    <row r="63" spans="1:10" ht="15.95" customHeight="1" x14ac:dyDescent="0.25">
      <c r="A63" s="37" t="s">
        <v>18</v>
      </c>
      <c r="B63" s="38"/>
      <c r="C63" s="38"/>
      <c r="D63" s="38"/>
      <c r="E63" s="38"/>
      <c r="F63" s="38"/>
      <c r="G63" s="38"/>
      <c r="I63" s="9"/>
      <c r="J63" s="9"/>
    </row>
    <row r="64" spans="1:10" ht="15.95" customHeight="1" x14ac:dyDescent="0.25">
      <c r="A64" s="39" t="s">
        <v>40</v>
      </c>
      <c r="B64" s="40"/>
      <c r="C64" s="40"/>
      <c r="D64" s="40"/>
      <c r="E64" s="40"/>
      <c r="F64" s="40"/>
      <c r="G64" s="41"/>
      <c r="I64" s="9"/>
      <c r="J64" s="9"/>
    </row>
    <row r="65" spans="1:10" ht="15.95" customHeight="1" x14ac:dyDescent="0.25">
      <c r="A65" s="42" t="s">
        <v>20</v>
      </c>
      <c r="B65" s="43" t="s">
        <v>21</v>
      </c>
      <c r="C65" s="43" t="s">
        <v>22</v>
      </c>
      <c r="D65" s="43" t="s">
        <v>23</v>
      </c>
      <c r="E65" s="43" t="s">
        <v>24</v>
      </c>
      <c r="F65" s="43" t="s">
        <v>25</v>
      </c>
      <c r="G65" s="43" t="s">
        <v>26</v>
      </c>
      <c r="I65" s="9"/>
      <c r="J65" s="9"/>
    </row>
    <row r="66" spans="1:10" ht="15.95" customHeight="1" x14ac:dyDescent="0.25">
      <c r="A66" s="42">
        <v>1</v>
      </c>
      <c r="B66" s="44">
        <v>16.62</v>
      </c>
      <c r="C66" s="44">
        <v>18.52</v>
      </c>
      <c r="D66" s="44">
        <v>21.12</v>
      </c>
      <c r="E66" s="44">
        <v>16.559999999999999</v>
      </c>
      <c r="F66" s="44">
        <v>18.84</v>
      </c>
      <c r="G66" s="44">
        <v>21.2</v>
      </c>
      <c r="I66" s="9"/>
      <c r="J66" s="9"/>
    </row>
    <row r="67" spans="1:10" ht="15.95" customHeight="1" x14ac:dyDescent="0.25">
      <c r="A67" s="42">
        <v>2</v>
      </c>
      <c r="B67" s="44">
        <v>16.52</v>
      </c>
      <c r="C67" s="44">
        <v>18.68</v>
      </c>
      <c r="D67" s="44">
        <v>21.02</v>
      </c>
      <c r="E67" s="44">
        <v>16.600000000000001</v>
      </c>
      <c r="F67" s="44">
        <v>18.920000000000002</v>
      </c>
      <c r="G67" s="44">
        <v>21.08</v>
      </c>
      <c r="I67" s="9"/>
      <c r="J67" s="9"/>
    </row>
    <row r="68" spans="1:10" ht="15.95" customHeight="1" x14ac:dyDescent="0.25">
      <c r="A68" s="42">
        <v>3</v>
      </c>
      <c r="B68" s="44">
        <v>16.64</v>
      </c>
      <c r="C68" s="44">
        <v>18.8</v>
      </c>
      <c r="D68" s="44">
        <v>21.1</v>
      </c>
      <c r="E68" s="44">
        <v>16.579999999999998</v>
      </c>
      <c r="F68" s="44">
        <v>18.88</v>
      </c>
      <c r="G68" s="44">
        <v>21.1</v>
      </c>
      <c r="I68" s="9"/>
      <c r="J68" s="9"/>
    </row>
    <row r="69" spans="1:10" ht="15.95" customHeight="1" x14ac:dyDescent="0.25">
      <c r="A69" s="45" t="s">
        <v>27</v>
      </c>
      <c r="B69" s="46">
        <f t="shared" ref="B69:G69" si="2">AVERAGE(B66:B68)</f>
        <v>16.593333333333334</v>
      </c>
      <c r="C69" s="46">
        <f t="shared" si="2"/>
        <v>18.666666666666668</v>
      </c>
      <c r="D69" s="46">
        <f t="shared" si="2"/>
        <v>21.080000000000002</v>
      </c>
      <c r="E69" s="46">
        <f t="shared" si="2"/>
        <v>16.579999999999998</v>
      </c>
      <c r="F69" s="46">
        <f t="shared" si="2"/>
        <v>18.88</v>
      </c>
      <c r="G69" s="46">
        <f t="shared" si="2"/>
        <v>21.126666666666669</v>
      </c>
      <c r="I69" s="9"/>
      <c r="J69" s="9"/>
    </row>
    <row r="70" spans="1:10" ht="15.95" customHeight="1" x14ac:dyDescent="0.25">
      <c r="A70" s="47" t="s">
        <v>41</v>
      </c>
      <c r="B70" s="48"/>
      <c r="C70" s="48"/>
      <c r="D70" s="48"/>
      <c r="E70" s="48"/>
      <c r="F70" s="48"/>
      <c r="G70" s="49"/>
      <c r="I70" s="9"/>
      <c r="J70" s="9"/>
    </row>
    <row r="71" spans="1:10" ht="15.95" customHeight="1" x14ac:dyDescent="0.25">
      <c r="A71" s="42" t="s">
        <v>20</v>
      </c>
      <c r="B71" s="43" t="s">
        <v>21</v>
      </c>
      <c r="C71" s="43" t="s">
        <v>22</v>
      </c>
      <c r="D71" s="43" t="s">
        <v>23</v>
      </c>
      <c r="E71" s="43" t="s">
        <v>24</v>
      </c>
      <c r="F71" s="43" t="s">
        <v>25</v>
      </c>
      <c r="G71" s="43" t="s">
        <v>26</v>
      </c>
      <c r="I71" s="9"/>
      <c r="J71" s="9"/>
    </row>
    <row r="72" spans="1:10" ht="15.95" customHeight="1" x14ac:dyDescent="0.25">
      <c r="A72" s="42">
        <v>1</v>
      </c>
      <c r="B72" s="44">
        <v>16.48</v>
      </c>
      <c r="C72" s="44">
        <v>18.739999999999998</v>
      </c>
      <c r="D72" s="44">
        <v>21.12</v>
      </c>
      <c r="E72" s="44">
        <v>16.66</v>
      </c>
      <c r="F72" s="44">
        <v>18.899999999999999</v>
      </c>
      <c r="G72" s="44">
        <v>20.98</v>
      </c>
      <c r="I72" s="9"/>
      <c r="J72" s="9"/>
    </row>
    <row r="73" spans="1:10" ht="15.95" customHeight="1" x14ac:dyDescent="0.25">
      <c r="A73" s="42">
        <v>2</v>
      </c>
      <c r="B73" s="44">
        <v>16.440000000000001</v>
      </c>
      <c r="C73" s="44">
        <v>18.62</v>
      </c>
      <c r="D73" s="44">
        <v>21.18</v>
      </c>
      <c r="E73" s="44">
        <v>16.62</v>
      </c>
      <c r="F73" s="44">
        <v>18.84</v>
      </c>
      <c r="G73" s="44">
        <v>21.02</v>
      </c>
      <c r="I73" s="9"/>
      <c r="J73" s="9"/>
    </row>
    <row r="74" spans="1:10" ht="15.95" customHeight="1" x14ac:dyDescent="0.25">
      <c r="A74" s="42">
        <v>3</v>
      </c>
      <c r="B74" s="44">
        <v>16.5</v>
      </c>
      <c r="C74" s="44">
        <v>18.78</v>
      </c>
      <c r="D74" s="44">
        <v>21.02</v>
      </c>
      <c r="E74" s="44">
        <v>16.7</v>
      </c>
      <c r="F74" s="44">
        <v>18.82</v>
      </c>
      <c r="G74" s="44">
        <v>21.14</v>
      </c>
      <c r="I74" s="9"/>
      <c r="J74" s="9"/>
    </row>
    <row r="75" spans="1:10" ht="16.5" customHeight="1" x14ac:dyDescent="0.25">
      <c r="A75" s="50" t="s">
        <v>27</v>
      </c>
      <c r="B75" s="51">
        <f t="shared" ref="B75:G75" si="3">AVERAGE(B72:B74)</f>
        <v>16.473333333333333</v>
      </c>
      <c r="C75" s="51">
        <f t="shared" si="3"/>
        <v>18.713333333333335</v>
      </c>
      <c r="D75" s="51">
        <f t="shared" si="3"/>
        <v>21.106666666666666</v>
      </c>
      <c r="E75" s="51">
        <f t="shared" si="3"/>
        <v>16.66</v>
      </c>
      <c r="F75" s="51">
        <f t="shared" si="3"/>
        <v>18.853333333333332</v>
      </c>
      <c r="G75" s="51">
        <f t="shared" si="3"/>
        <v>21.046666666666667</v>
      </c>
      <c r="I75" s="9"/>
      <c r="J75" s="9"/>
    </row>
    <row r="76" spans="1:10" x14ac:dyDescent="0.25">
      <c r="I76" s="9"/>
      <c r="J76" s="9"/>
    </row>
    <row r="77" spans="1:10" x14ac:dyDescent="0.25">
      <c r="I77" s="9"/>
      <c r="J77" s="9"/>
    </row>
    <row r="78" spans="1:10" x14ac:dyDescent="0.25">
      <c r="I78" s="9"/>
      <c r="J78" s="9"/>
    </row>
    <row r="79" spans="1:10" x14ac:dyDescent="0.25">
      <c r="A79" s="32" t="s">
        <v>68</v>
      </c>
      <c r="B79" s="32"/>
      <c r="C79" s="32"/>
      <c r="D79" s="32"/>
      <c r="E79" s="32"/>
      <c r="F79" s="32"/>
      <c r="I79" s="9"/>
      <c r="J79" s="9"/>
    </row>
    <row r="80" spans="1:10" ht="16.5" customHeight="1" x14ac:dyDescent="0.25">
      <c r="A80" s="32" t="s">
        <v>29</v>
      </c>
      <c r="B80" s="52">
        <f>$E$24/25*5/25</f>
        <v>0.13124448</v>
      </c>
      <c r="C80" s="32" t="s">
        <v>30</v>
      </c>
      <c r="D80" s="52">
        <f>$E$26/25*5/25</f>
        <v>0.1299804</v>
      </c>
      <c r="E80" s="32"/>
      <c r="F80" s="32"/>
      <c r="I80" s="9"/>
      <c r="J80" s="9"/>
    </row>
    <row r="81" spans="1:10" x14ac:dyDescent="0.25">
      <c r="A81" s="32"/>
      <c r="B81" s="53"/>
      <c r="C81" s="32"/>
      <c r="D81" s="53"/>
      <c r="E81" s="32"/>
      <c r="F81" s="32"/>
      <c r="I81" s="9"/>
      <c r="J81" s="9"/>
    </row>
    <row r="82" spans="1:10" x14ac:dyDescent="0.25">
      <c r="A82" s="32" t="s">
        <v>69</v>
      </c>
      <c r="B82" s="32"/>
      <c r="C82" s="32"/>
      <c r="D82" s="54"/>
      <c r="E82" s="54"/>
      <c r="F82" s="55"/>
      <c r="I82" s="9"/>
      <c r="J82" s="9"/>
    </row>
    <row r="83" spans="1:10" ht="16.5" customHeight="1" x14ac:dyDescent="0.25">
      <c r="A83" s="32" t="s">
        <v>31</v>
      </c>
      <c r="B83" s="52">
        <f>$C$61/50*5/25</f>
        <v>0.12818625077051155</v>
      </c>
      <c r="C83" s="32"/>
      <c r="D83" s="54"/>
      <c r="E83" s="56"/>
      <c r="F83" s="32"/>
      <c r="I83" s="9"/>
      <c r="J83" s="9"/>
    </row>
    <row r="84" spans="1:10" x14ac:dyDescent="0.25">
      <c r="A84" s="32"/>
      <c r="B84" s="53"/>
      <c r="C84" s="32"/>
      <c r="D84" s="32"/>
      <c r="E84" s="32"/>
      <c r="F84" s="32"/>
      <c r="H84" s="58"/>
      <c r="I84" s="9"/>
      <c r="J84" s="9"/>
    </row>
    <row r="85" spans="1:10" ht="16.5" customHeight="1" x14ac:dyDescent="0.25">
      <c r="A85" s="213" t="s">
        <v>32</v>
      </c>
      <c r="B85" s="213"/>
      <c r="C85" s="213" t="s">
        <v>40</v>
      </c>
      <c r="D85" s="213"/>
      <c r="E85" s="213" t="s">
        <v>41</v>
      </c>
      <c r="F85" s="213"/>
      <c r="H85" s="59"/>
      <c r="I85" s="9"/>
      <c r="J85" s="9"/>
    </row>
    <row r="86" spans="1:10" ht="18.75" customHeight="1" x14ac:dyDescent="0.25">
      <c r="A86" s="204" t="s">
        <v>34</v>
      </c>
      <c r="B86" s="204"/>
      <c r="C86" s="205">
        <f>1/4*((D69+G69)-(B69+E69))</f>
        <v>2.2583333333333346</v>
      </c>
      <c r="D86" s="205"/>
      <c r="E86" s="205">
        <f>1/4*((D75+G75)-(E75+B75))</f>
        <v>2.2550000000000008</v>
      </c>
      <c r="F86" s="205"/>
      <c r="H86" s="59"/>
      <c r="I86" s="9"/>
      <c r="J86" s="9"/>
    </row>
    <row r="87" spans="1:10" ht="18.75" customHeight="1" x14ac:dyDescent="0.25">
      <c r="A87" s="204" t="s">
        <v>35</v>
      </c>
      <c r="B87" s="204"/>
      <c r="C87" s="205">
        <f>1/3*((E69+F69+G69)-(B69+C69+D69))</f>
        <v>8.2222222222218491E-2</v>
      </c>
      <c r="D87" s="205"/>
      <c r="E87" s="205">
        <f>1/3*((E75+F75+G75)-(B75+C75+D75))</f>
        <v>8.8888888888888573E-2</v>
      </c>
      <c r="F87" s="205"/>
      <c r="H87" s="59"/>
      <c r="I87" s="9"/>
      <c r="J87" s="9"/>
    </row>
    <row r="88" spans="1:10" x14ac:dyDescent="0.25">
      <c r="A88" s="204" t="s">
        <v>36</v>
      </c>
      <c r="B88" s="204"/>
      <c r="C88" s="205">
        <f>C86/LOG10(2)</f>
        <v>7.5020209476206308</v>
      </c>
      <c r="D88" s="205"/>
      <c r="E88" s="205">
        <f>E86/LOG10(2)</f>
        <v>7.4909478539710044</v>
      </c>
      <c r="F88" s="205"/>
      <c r="I88" s="9"/>
      <c r="J88" s="9"/>
    </row>
    <row r="89" spans="1:10" x14ac:dyDescent="0.25">
      <c r="A89" s="204" t="s">
        <v>37</v>
      </c>
      <c r="B89" s="204"/>
      <c r="C89" s="205">
        <f>C87/C88</f>
        <v>1.0960009682230546E-2</v>
      </c>
      <c r="D89" s="205"/>
      <c r="E89" s="205">
        <f>E87/E88</f>
        <v>1.1866173763546884E-2</v>
      </c>
      <c r="F89" s="205"/>
      <c r="I89" s="9"/>
      <c r="J89" s="9"/>
    </row>
    <row r="90" spans="1:10" x14ac:dyDescent="0.25">
      <c r="A90" s="204" t="s">
        <v>38</v>
      </c>
      <c r="B90" s="204"/>
      <c r="C90" s="204">
        <f>POWER(10,C89)</f>
        <v>1.0255574874320983</v>
      </c>
      <c r="D90" s="204"/>
      <c r="E90" s="204">
        <f>POWER(10,E89)</f>
        <v>1.0276995675130278</v>
      </c>
      <c r="F90" s="204"/>
      <c r="I90" s="9"/>
      <c r="J90" s="9"/>
    </row>
    <row r="91" spans="1:10" ht="16.5" customHeight="1" x14ac:dyDescent="0.25">
      <c r="A91" s="57" t="s">
        <v>39</v>
      </c>
      <c r="B91" s="57"/>
      <c r="C91" s="208">
        <f>C90*B80/B83</f>
        <v>1.0500249312159138</v>
      </c>
      <c r="D91" s="208"/>
      <c r="E91" s="208">
        <f>E90*D80/B83</f>
        <v>1.0420836873083723</v>
      </c>
      <c r="F91" s="208"/>
      <c r="I91" s="9"/>
      <c r="J91" s="9"/>
    </row>
    <row r="92" spans="1:10" x14ac:dyDescent="0.25">
      <c r="B92" s="32"/>
      <c r="C92" s="32"/>
      <c r="D92" s="32"/>
      <c r="E92" s="32"/>
      <c r="F92" s="32"/>
      <c r="I92" s="9"/>
      <c r="J92" s="9"/>
    </row>
    <row r="93" spans="1:10" ht="16.5" customHeight="1" x14ac:dyDescent="0.25">
      <c r="A93" s="34" t="s">
        <v>63</v>
      </c>
      <c r="B93" s="35"/>
      <c r="C93" s="116">
        <v>57.13</v>
      </c>
      <c r="I93" s="9"/>
      <c r="J93" s="9"/>
    </row>
    <row r="94" spans="1:10" ht="16.5" customHeight="1" x14ac:dyDescent="0.3">
      <c r="A94" s="36" t="s">
        <v>62</v>
      </c>
      <c r="B94" s="32"/>
      <c r="C94" s="53">
        <f>500/Uniformity!C46*C93</f>
        <v>31.984977753840514</v>
      </c>
    </row>
    <row r="95" spans="1:10" x14ac:dyDescent="0.25">
      <c r="A95" s="32"/>
      <c r="B95" s="32"/>
      <c r="C95" s="32"/>
    </row>
    <row r="96" spans="1:10" ht="16.5" customHeight="1" x14ac:dyDescent="0.25">
      <c r="A96" s="37" t="s">
        <v>18</v>
      </c>
      <c r="B96" s="38"/>
      <c r="C96" s="38"/>
      <c r="D96" s="38"/>
      <c r="E96" s="38"/>
      <c r="F96" s="38"/>
      <c r="G96" s="38"/>
    </row>
    <row r="97" spans="1:7" ht="16.5" customHeight="1" x14ac:dyDescent="0.25">
      <c r="A97" s="39" t="s">
        <v>42</v>
      </c>
      <c r="B97" s="40"/>
      <c r="C97" s="40"/>
      <c r="D97" s="40"/>
      <c r="E97" s="40"/>
      <c r="F97" s="40"/>
      <c r="G97" s="41"/>
    </row>
    <row r="98" spans="1:7" ht="19.5" customHeight="1" x14ac:dyDescent="0.25">
      <c r="A98" s="42" t="s">
        <v>20</v>
      </c>
      <c r="B98" s="43" t="s">
        <v>21</v>
      </c>
      <c r="C98" s="43" t="s">
        <v>22</v>
      </c>
      <c r="D98" s="43" t="s">
        <v>23</v>
      </c>
      <c r="E98" s="43" t="s">
        <v>24</v>
      </c>
      <c r="F98" s="43" t="s">
        <v>25</v>
      </c>
      <c r="G98" s="43" t="s">
        <v>26</v>
      </c>
    </row>
    <row r="99" spans="1:7" x14ac:dyDescent="0.25">
      <c r="A99" s="42">
        <v>1</v>
      </c>
      <c r="B99" s="44">
        <v>16.399999999999999</v>
      </c>
      <c r="C99" s="44">
        <v>18.440000000000001</v>
      </c>
      <c r="D99" s="44">
        <v>21.14</v>
      </c>
      <c r="E99" s="44">
        <v>16.54</v>
      </c>
      <c r="F99" s="44">
        <v>18.760000000000002</v>
      </c>
      <c r="G99" s="44">
        <v>20.9</v>
      </c>
    </row>
    <row r="100" spans="1:7" x14ac:dyDescent="0.25">
      <c r="A100" s="42">
        <v>2</v>
      </c>
      <c r="B100" s="44">
        <v>16.559999999999999</v>
      </c>
      <c r="C100" s="44">
        <v>18.940000000000001</v>
      </c>
      <c r="D100" s="44">
        <v>21.18</v>
      </c>
      <c r="E100" s="44">
        <v>16.600000000000001</v>
      </c>
      <c r="F100" s="44">
        <v>18.62</v>
      </c>
      <c r="G100" s="44">
        <v>20.98</v>
      </c>
    </row>
    <row r="101" spans="1:7" x14ac:dyDescent="0.25">
      <c r="A101" s="42">
        <v>3</v>
      </c>
      <c r="B101" s="44">
        <v>16.600000000000001</v>
      </c>
      <c r="C101" s="44">
        <v>18.68</v>
      </c>
      <c r="D101" s="44">
        <v>21.06</v>
      </c>
      <c r="E101" s="44">
        <v>16.72</v>
      </c>
      <c r="F101" s="44">
        <v>18.84</v>
      </c>
      <c r="G101" s="44">
        <v>20.94</v>
      </c>
    </row>
    <row r="102" spans="1:7" ht="16.5" customHeight="1" x14ac:dyDescent="0.25">
      <c r="A102" s="45" t="s">
        <v>27</v>
      </c>
      <c r="B102" s="46">
        <f t="shared" ref="B102:G102" si="4">AVERAGE(B99:B101)</f>
        <v>16.52</v>
      </c>
      <c r="C102" s="46">
        <f t="shared" si="4"/>
        <v>18.686666666666667</v>
      </c>
      <c r="D102" s="46">
        <f t="shared" si="4"/>
        <v>21.126666666666665</v>
      </c>
      <c r="E102" s="46">
        <f>AVERAGE(E99:E101)</f>
        <v>16.62</v>
      </c>
      <c r="F102" s="46">
        <f t="shared" si="4"/>
        <v>18.739999999999998</v>
      </c>
      <c r="G102" s="46">
        <f t="shared" si="4"/>
        <v>20.939999999999998</v>
      </c>
    </row>
    <row r="103" spans="1:7" ht="16.5" customHeight="1" x14ac:dyDescent="0.25">
      <c r="A103" s="47" t="s">
        <v>43</v>
      </c>
      <c r="B103" s="48"/>
      <c r="C103" s="48"/>
      <c r="D103" s="48"/>
      <c r="E103" s="48"/>
      <c r="F103" s="48"/>
      <c r="G103" s="49"/>
    </row>
    <row r="104" spans="1:7" ht="19.5" customHeight="1" x14ac:dyDescent="0.25">
      <c r="A104" s="42" t="s">
        <v>20</v>
      </c>
      <c r="B104" s="43" t="s">
        <v>21</v>
      </c>
      <c r="C104" s="43" t="s">
        <v>22</v>
      </c>
      <c r="D104" s="43" t="s">
        <v>23</v>
      </c>
      <c r="E104" s="43" t="s">
        <v>24</v>
      </c>
      <c r="F104" s="43" t="s">
        <v>25</v>
      </c>
      <c r="G104" s="43" t="s">
        <v>26</v>
      </c>
    </row>
    <row r="105" spans="1:7" x14ac:dyDescent="0.25">
      <c r="A105" s="42">
        <v>1</v>
      </c>
      <c r="B105" s="44">
        <v>16.48</v>
      </c>
      <c r="C105" s="44">
        <v>18.48</v>
      </c>
      <c r="D105" s="44">
        <v>21.02</v>
      </c>
      <c r="E105" s="44">
        <v>16.68</v>
      </c>
      <c r="F105" s="44">
        <v>18.86</v>
      </c>
      <c r="G105" s="44">
        <v>21.1</v>
      </c>
    </row>
    <row r="106" spans="1:7" ht="15.75" customHeight="1" x14ac:dyDescent="0.25">
      <c r="A106" s="42">
        <v>2</v>
      </c>
      <c r="B106" s="44">
        <v>16.600000000000001</v>
      </c>
      <c r="C106" s="44">
        <v>18.62</v>
      </c>
      <c r="D106" s="44">
        <v>21.04</v>
      </c>
      <c r="E106" s="44">
        <v>16.8</v>
      </c>
      <c r="F106" s="44">
        <v>18.7</v>
      </c>
      <c r="G106" s="44">
        <v>21.2</v>
      </c>
    </row>
    <row r="107" spans="1:7" x14ac:dyDescent="0.25">
      <c r="A107" s="42">
        <v>3</v>
      </c>
      <c r="B107" s="44">
        <v>16.579999999999998</v>
      </c>
      <c r="C107" s="44">
        <v>18.66</v>
      </c>
      <c r="D107" s="44">
        <v>21.12</v>
      </c>
      <c r="E107" s="44">
        <v>16.78</v>
      </c>
      <c r="F107" s="44">
        <v>18.84</v>
      </c>
      <c r="G107" s="44">
        <v>21.14</v>
      </c>
    </row>
    <row r="108" spans="1:7" ht="16.5" customHeight="1" x14ac:dyDescent="0.25">
      <c r="A108" s="50" t="s">
        <v>27</v>
      </c>
      <c r="B108" s="51">
        <f t="shared" ref="B108:G108" si="5">AVERAGE(B105:B107)</f>
        <v>16.553333333333331</v>
      </c>
      <c r="C108" s="51">
        <f>AVERAGE(C105:C107)</f>
        <v>18.58666666666667</v>
      </c>
      <c r="D108" s="51">
        <f t="shared" si="5"/>
        <v>21.060000000000002</v>
      </c>
      <c r="E108" s="51">
        <f t="shared" si="5"/>
        <v>16.753333333333334</v>
      </c>
      <c r="F108" s="51">
        <f t="shared" si="5"/>
        <v>18.8</v>
      </c>
      <c r="G108" s="51">
        <f t="shared" si="5"/>
        <v>21.146666666666665</v>
      </c>
    </row>
    <row r="110" spans="1:7" x14ac:dyDescent="0.25">
      <c r="A110" s="32" t="s">
        <v>68</v>
      </c>
      <c r="B110" s="32"/>
      <c r="C110" s="32"/>
      <c r="D110" s="32"/>
      <c r="E110" s="32"/>
      <c r="F110" s="32"/>
    </row>
    <row r="111" spans="1:7" ht="16.5" customHeight="1" x14ac:dyDescent="0.25">
      <c r="A111" s="32" t="s">
        <v>29</v>
      </c>
      <c r="B111" s="52">
        <f>$E$24/25*5/25</f>
        <v>0.13124448</v>
      </c>
      <c r="C111" s="32" t="s">
        <v>30</v>
      </c>
      <c r="D111" s="52">
        <f>$E$26/25*5/25</f>
        <v>0.1299804</v>
      </c>
      <c r="E111" s="32"/>
      <c r="F111" s="32"/>
    </row>
    <row r="112" spans="1:7" x14ac:dyDescent="0.25">
      <c r="A112" s="32"/>
      <c r="B112" s="53" t="s">
        <v>64</v>
      </c>
      <c r="C112" s="32"/>
      <c r="D112" s="53"/>
      <c r="E112" s="32"/>
      <c r="F112" s="32"/>
    </row>
    <row r="113" spans="1:7" x14ac:dyDescent="0.25">
      <c r="A113" s="32" t="s">
        <v>69</v>
      </c>
      <c r="B113" s="32"/>
      <c r="C113" s="32"/>
      <c r="D113" s="54"/>
      <c r="E113" s="54"/>
      <c r="F113" s="55"/>
    </row>
    <row r="114" spans="1:7" ht="16.5" customHeight="1" x14ac:dyDescent="0.25">
      <c r="A114" s="32" t="s">
        <v>31</v>
      </c>
      <c r="B114" s="52">
        <f>$C$94/50*5/25</f>
        <v>0.12793991101536206</v>
      </c>
      <c r="C114" s="32"/>
      <c r="D114" s="54"/>
      <c r="E114" s="56"/>
      <c r="F114" s="54"/>
    </row>
    <row r="115" spans="1:7" x14ac:dyDescent="0.25">
      <c r="A115" s="32"/>
      <c r="B115" s="53"/>
      <c r="C115" s="32"/>
      <c r="D115" s="32"/>
      <c r="E115" s="32"/>
      <c r="F115" s="32"/>
    </row>
    <row r="116" spans="1:7" ht="16.5" customHeight="1" x14ac:dyDescent="0.25">
      <c r="A116" s="213" t="s">
        <v>32</v>
      </c>
      <c r="B116" s="213"/>
      <c r="C116" s="213" t="s">
        <v>44</v>
      </c>
      <c r="D116" s="213"/>
      <c r="E116" s="213" t="s">
        <v>43</v>
      </c>
      <c r="F116" s="213"/>
    </row>
    <row r="117" spans="1:7" ht="18.75" customHeight="1" x14ac:dyDescent="0.25">
      <c r="A117" s="204" t="s">
        <v>34</v>
      </c>
      <c r="B117" s="204"/>
      <c r="C117" s="205">
        <f>1/4*((D102+G102)-(B102+E102))</f>
        <v>2.2316666666666656</v>
      </c>
      <c r="D117" s="205"/>
      <c r="E117" s="206">
        <f>1/4*((D108+G108)-(E108+B108))</f>
        <v>2.2249999999999996</v>
      </c>
      <c r="F117" s="206"/>
    </row>
    <row r="118" spans="1:7" ht="18.75" customHeight="1" x14ac:dyDescent="0.25">
      <c r="A118" s="204" t="s">
        <v>35</v>
      </c>
      <c r="B118" s="204"/>
      <c r="C118" s="205">
        <f>1/3*((E102+F102+G102)-(B102+C102+D102))</f>
        <v>-1.1111111111110478E-2</v>
      </c>
      <c r="D118" s="205"/>
      <c r="E118" s="206">
        <f>1/3*((E108+F108+G108)-(B108+C108+D108))</f>
        <v>0.16666666666666666</v>
      </c>
      <c r="F118" s="206"/>
    </row>
    <row r="119" spans="1:7" x14ac:dyDescent="0.25">
      <c r="A119" s="204" t="s">
        <v>36</v>
      </c>
      <c r="B119" s="204"/>
      <c r="C119" s="205">
        <f>C117/LOG10(2)</f>
        <v>7.4134361984236268</v>
      </c>
      <c r="D119" s="205"/>
      <c r="E119" s="206">
        <f>E117/LOG10(2)</f>
        <v>7.3912900111243802</v>
      </c>
      <c r="F119" s="206"/>
    </row>
    <row r="120" spans="1:7" x14ac:dyDescent="0.25">
      <c r="A120" s="204" t="s">
        <v>37</v>
      </c>
      <c r="B120" s="204"/>
      <c r="C120" s="205">
        <f>C118/C119</f>
        <v>-1.4987801626286492E-3</v>
      </c>
      <c r="D120" s="205"/>
      <c r="E120" s="206">
        <f>E118/E119</f>
        <v>2.2549063345616571E-2</v>
      </c>
      <c r="F120" s="206"/>
    </row>
    <row r="121" spans="1:7" x14ac:dyDescent="0.25">
      <c r="A121" s="204" t="s">
        <v>38</v>
      </c>
      <c r="B121" s="204"/>
      <c r="C121" s="204">
        <f>POWER(10,C120)</f>
        <v>0.99655487923360042</v>
      </c>
      <c r="D121" s="204"/>
      <c r="E121" s="207">
        <f>POWER(10,E120)</f>
        <v>1.053292673544787</v>
      </c>
      <c r="F121" s="207"/>
    </row>
    <row r="122" spans="1:7" ht="16.5" customHeight="1" x14ac:dyDescent="0.25">
      <c r="A122" s="57" t="s">
        <v>39</v>
      </c>
      <c r="B122" s="57"/>
      <c r="C122" s="208">
        <f>C121*B111/B114</f>
        <v>1.0222949654918247</v>
      </c>
      <c r="D122" s="208"/>
      <c r="E122" s="209">
        <f>E121*D111/B114</f>
        <v>1.0700914354081581</v>
      </c>
      <c r="F122" s="209"/>
    </row>
    <row r="123" spans="1:7" x14ac:dyDescent="0.25">
      <c r="A123" s="60"/>
      <c r="B123" s="60"/>
      <c r="C123" s="60"/>
      <c r="D123" s="60"/>
      <c r="E123" s="60"/>
      <c r="F123" s="60"/>
      <c r="G123" s="60"/>
    </row>
    <row r="124" spans="1:7" x14ac:dyDescent="0.25">
      <c r="A124" s="60"/>
      <c r="B124" s="60"/>
      <c r="C124" s="60"/>
      <c r="D124" s="60"/>
      <c r="E124" s="60"/>
      <c r="F124" s="60"/>
      <c r="G124" s="60"/>
    </row>
    <row r="125" spans="1:7" x14ac:dyDescent="0.25">
      <c r="G125" s="60"/>
    </row>
    <row r="126" spans="1:7" x14ac:dyDescent="0.25">
      <c r="G126" s="60"/>
    </row>
    <row r="127" spans="1:7" ht="16.5" customHeight="1" x14ac:dyDescent="0.3">
      <c r="A127" s="210" t="s">
        <v>45</v>
      </c>
      <c r="B127" s="210"/>
      <c r="C127" s="210"/>
      <c r="G127" s="60"/>
    </row>
    <row r="128" spans="1:7" ht="16.5" customHeight="1" x14ac:dyDescent="0.3">
      <c r="A128" s="211"/>
      <c r="B128" s="212"/>
      <c r="C128" s="61" t="s">
        <v>46</v>
      </c>
      <c r="G128" s="60"/>
    </row>
    <row r="129" spans="1:7" ht="16.5" customHeight="1" x14ac:dyDescent="0.25">
      <c r="A129" s="200" t="s">
        <v>19</v>
      </c>
      <c r="B129" s="201"/>
      <c r="C129" s="62">
        <f>C58</f>
        <v>1.0473145005401923</v>
      </c>
      <c r="G129" s="60"/>
    </row>
    <row r="130" spans="1:7" ht="16.5" customHeight="1" x14ac:dyDescent="0.25">
      <c r="A130" s="200" t="s">
        <v>33</v>
      </c>
      <c r="B130" s="201"/>
      <c r="C130" s="62">
        <f>E58</f>
        <v>1.0659468169769819</v>
      </c>
      <c r="G130" s="60"/>
    </row>
    <row r="131" spans="1:7" ht="16.5" customHeight="1" x14ac:dyDescent="0.25">
      <c r="A131" s="200" t="s">
        <v>40</v>
      </c>
      <c r="B131" s="201"/>
      <c r="C131" s="62">
        <f>C91</f>
        <v>1.0500249312159138</v>
      </c>
      <c r="G131" s="60"/>
    </row>
    <row r="132" spans="1:7" ht="16.5" customHeight="1" x14ac:dyDescent="0.25">
      <c r="A132" s="200" t="s">
        <v>41</v>
      </c>
      <c r="B132" s="201"/>
      <c r="C132" s="62">
        <f>E91</f>
        <v>1.0420836873083723</v>
      </c>
      <c r="G132" s="60"/>
    </row>
    <row r="133" spans="1:7" ht="16.5" customHeight="1" x14ac:dyDescent="0.25">
      <c r="A133" s="200" t="s">
        <v>44</v>
      </c>
      <c r="B133" s="201"/>
      <c r="C133" s="70">
        <f>C122</f>
        <v>1.0222949654918247</v>
      </c>
      <c r="G133" s="60"/>
    </row>
    <row r="134" spans="1:7" ht="16.5" customHeight="1" x14ac:dyDescent="0.25">
      <c r="A134" s="200" t="s">
        <v>43</v>
      </c>
      <c r="B134" s="201"/>
      <c r="C134" s="62">
        <f>E122</f>
        <v>1.0700914354081581</v>
      </c>
      <c r="G134" s="60"/>
    </row>
    <row r="135" spans="1:7" ht="16.5" customHeight="1" x14ac:dyDescent="0.25">
      <c r="A135" s="202"/>
      <c r="B135" s="203"/>
      <c r="C135" s="31"/>
      <c r="G135" s="60"/>
    </row>
    <row r="136" spans="1:7" x14ac:dyDescent="0.25">
      <c r="A136" s="63"/>
      <c r="B136" s="64" t="s">
        <v>47</v>
      </c>
      <c r="C136" s="65">
        <f>AVERAGE(C129:C134)</f>
        <v>1.0496260561569073</v>
      </c>
      <c r="G136" s="60"/>
    </row>
    <row r="137" spans="1:7" x14ac:dyDescent="0.25">
      <c r="A137" s="30"/>
      <c r="B137" s="64" t="s">
        <v>48</v>
      </c>
      <c r="C137" s="117">
        <f>STDEV(C129:C134)/C136</f>
        <v>1.6471743603296184E-2</v>
      </c>
      <c r="G137" s="60"/>
    </row>
    <row r="138" spans="1:7" x14ac:dyDescent="0.25">
      <c r="G138" s="5"/>
    </row>
    <row r="139" spans="1:7" x14ac:dyDescent="0.25">
      <c r="A139" s="9" t="s">
        <v>70</v>
      </c>
      <c r="D139" s="66">
        <f>C136</f>
        <v>1.0496260561569073</v>
      </c>
      <c r="G139" s="60"/>
    </row>
    <row r="140" spans="1:7" x14ac:dyDescent="0.25">
      <c r="G140" s="60"/>
    </row>
    <row r="141" spans="1:7" ht="16.5" customHeight="1" x14ac:dyDescent="0.3">
      <c r="A141" s="67" t="s">
        <v>49</v>
      </c>
      <c r="C141" s="67" t="s">
        <v>50</v>
      </c>
      <c r="D141" s="67"/>
      <c r="E141" s="67" t="s">
        <v>51</v>
      </c>
      <c r="F141" s="67"/>
      <c r="G141" s="60"/>
    </row>
    <row r="142" spans="1:7" ht="17.25" customHeight="1" thickBot="1" x14ac:dyDescent="0.35">
      <c r="A142" s="68" t="s">
        <v>60</v>
      </c>
      <c r="B142" s="69"/>
      <c r="C142" s="68" t="s">
        <v>65</v>
      </c>
      <c r="E142" s="68" t="s">
        <v>52</v>
      </c>
      <c r="G142" s="60"/>
    </row>
  </sheetData>
  <sheetProtection formatCells="0" formatColumns="0" formatRows="0" insertColumns="0" insertRows="0" insertHyperlinks="0" deleteColumns="0" deleteRows="0" sort="0" autoFilter="0" pivotTables="0"/>
  <mergeCells count="71">
    <mergeCell ref="A53:B53"/>
    <mergeCell ref="C53:D53"/>
    <mergeCell ref="E53:F53"/>
    <mergeCell ref="A23:B23"/>
    <mergeCell ref="C23:D23"/>
    <mergeCell ref="A52:B52"/>
    <mergeCell ref="C52:D52"/>
    <mergeCell ref="E52:F52"/>
    <mergeCell ref="A54:B54"/>
    <mergeCell ref="C54:D54"/>
    <mergeCell ref="E54:F54"/>
    <mergeCell ref="A55:B55"/>
    <mergeCell ref="C55:D55"/>
    <mergeCell ref="E55:F55"/>
    <mergeCell ref="A86:B86"/>
    <mergeCell ref="C86:D86"/>
    <mergeCell ref="E86:F86"/>
    <mergeCell ref="A56:B56"/>
    <mergeCell ref="C56:D56"/>
    <mergeCell ref="E56:F56"/>
    <mergeCell ref="A57:B57"/>
    <mergeCell ref="C57:D57"/>
    <mergeCell ref="E57:F57"/>
    <mergeCell ref="C58:D58"/>
    <mergeCell ref="E58:F58"/>
    <mergeCell ref="A85:B85"/>
    <mergeCell ref="C85:D85"/>
    <mergeCell ref="E85:F85"/>
    <mergeCell ref="A87:B87"/>
    <mergeCell ref="C87:D87"/>
    <mergeCell ref="E87:F87"/>
    <mergeCell ref="A88:B88"/>
    <mergeCell ref="C88:D88"/>
    <mergeCell ref="E88:F88"/>
    <mergeCell ref="A117:B117"/>
    <mergeCell ref="C117:D117"/>
    <mergeCell ref="E117:F117"/>
    <mergeCell ref="A89:B89"/>
    <mergeCell ref="C89:D89"/>
    <mergeCell ref="E89:F89"/>
    <mergeCell ref="A90:B90"/>
    <mergeCell ref="C90:D90"/>
    <mergeCell ref="E90:F90"/>
    <mergeCell ref="C91:D91"/>
    <mergeCell ref="E91:F91"/>
    <mergeCell ref="A116:B116"/>
    <mergeCell ref="C116:D116"/>
    <mergeCell ref="E116:F116"/>
    <mergeCell ref="A118:B118"/>
    <mergeCell ref="C118:D118"/>
    <mergeCell ref="E118:F118"/>
    <mergeCell ref="A119:B119"/>
    <mergeCell ref="C119:D119"/>
    <mergeCell ref="E119:F119"/>
    <mergeCell ref="A130:B130"/>
    <mergeCell ref="A120:B120"/>
    <mergeCell ref="C120:D120"/>
    <mergeCell ref="E120:F120"/>
    <mergeCell ref="A121:B121"/>
    <mergeCell ref="C121:D121"/>
    <mergeCell ref="E121:F121"/>
    <mergeCell ref="C122:D122"/>
    <mergeCell ref="E122:F122"/>
    <mergeCell ref="A127:C127"/>
    <mergeCell ref="A128:B128"/>
    <mergeCell ref="A129:B129"/>
    <mergeCell ref="A131:B131"/>
    <mergeCell ref="A132:B132"/>
    <mergeCell ref="A133:B133"/>
    <mergeCell ref="A134:B134"/>
    <mergeCell ref="A135:B135"/>
  </mergeCells>
  <pageMargins left="0.7" right="0.7" top="0.75" bottom="0.75" header="0.3" footer="0.3"/>
  <pageSetup scale="51" orientation="portrait" r:id="rId1"/>
  <headerFooter>
    <oddFooter>&amp;L&amp;B NDQB201603838 / Microbial Assay / Download 1  /  Analyst - Eric Ngamau /  Date 19-05-2016 &amp;RPage &amp;P of &amp;N</oddFooter>
  </headerFooter>
  <rowBreaks count="1" manualBreakCount="1">
    <brk id="77" max="6" man="1"/>
  </rowBreaks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view="pageBreakPreview" zoomScale="60" zoomScaleNormal="70" workbookViewId="0">
      <selection activeCell="B4" sqref="B4:C4"/>
    </sheetView>
  </sheetViews>
  <sheetFormatPr defaultRowHeight="12.75" x14ac:dyDescent="0.2"/>
  <cols>
    <col min="1" max="1" width="45.85546875" customWidth="1"/>
    <col min="2" max="2" width="31.7109375" customWidth="1"/>
    <col min="3" max="3" width="42" customWidth="1"/>
    <col min="4" max="4" width="21" customWidth="1"/>
    <col min="5" max="5" width="30.5703125" customWidth="1"/>
    <col min="6" max="6" width="33.5703125" customWidth="1"/>
    <col min="7" max="7" width="30.28515625" customWidth="1"/>
    <col min="8" max="8" width="12.7109375" customWidth="1"/>
  </cols>
  <sheetData>
    <row r="1" spans="1:12" s="8" customFormat="1" ht="18.75" x14ac:dyDescent="0.3">
      <c r="A1" s="118" t="s">
        <v>110</v>
      </c>
      <c r="B1" s="118" t="s">
        <v>111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s="8" customFormat="1" ht="18.75" x14ac:dyDescent="0.3">
      <c r="A2" s="269" t="s">
        <v>4</v>
      </c>
      <c r="B2" s="118" t="str">
        <f>NDQD201605939!B14</f>
        <v>ERYMAC 500 TABLETS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2" s="8" customFormat="1" ht="26.25" customHeight="1" x14ac:dyDescent="0.3">
      <c r="A3" s="269" t="s">
        <v>5</v>
      </c>
      <c r="B3" s="118" t="str">
        <f>NDQD201605939!B15</f>
        <v>NDQB201605939</v>
      </c>
      <c r="D3" s="119"/>
      <c r="E3" s="119"/>
      <c r="F3" s="119"/>
      <c r="G3" s="119"/>
      <c r="H3" s="119"/>
      <c r="I3" s="119"/>
      <c r="J3" s="119"/>
      <c r="K3" s="119"/>
      <c r="L3" s="119"/>
    </row>
    <row r="4" spans="1:12" s="8" customFormat="1" ht="26.25" customHeight="1" x14ac:dyDescent="0.4">
      <c r="A4" s="120" t="s">
        <v>83</v>
      </c>
      <c r="B4" s="225" t="str">
        <f>NDQD201605939!B16</f>
        <v xml:space="preserve">Erythromycin Stearate  </v>
      </c>
      <c r="C4" s="225"/>
      <c r="D4" s="119"/>
      <c r="E4" s="119"/>
      <c r="F4" s="119"/>
      <c r="G4" s="119"/>
      <c r="H4" s="119"/>
      <c r="I4" s="119"/>
      <c r="J4" s="119"/>
      <c r="K4" s="119"/>
      <c r="L4" s="119"/>
    </row>
    <row r="5" spans="1:12" s="8" customFormat="1" ht="27" customHeight="1" thickBot="1" x14ac:dyDescent="0.45">
      <c r="A5" s="121" t="s">
        <v>84</v>
      </c>
      <c r="B5" s="122">
        <v>68.7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</row>
    <row r="6" spans="1:12" s="124" customFormat="1" ht="27" customHeight="1" thickBot="1" x14ac:dyDescent="0.45">
      <c r="A6" s="121" t="s">
        <v>85</v>
      </c>
      <c r="B6" s="123">
        <v>0</v>
      </c>
      <c r="C6" s="226" t="s">
        <v>86</v>
      </c>
      <c r="D6" s="227"/>
      <c r="E6" s="227"/>
      <c r="F6" s="227"/>
      <c r="G6" s="228"/>
      <c r="I6" s="125"/>
      <c r="J6" s="125"/>
      <c r="K6" s="125"/>
      <c r="L6" s="125"/>
    </row>
    <row r="7" spans="1:12" s="124" customFormat="1" ht="19.5" customHeight="1" thickBot="1" x14ac:dyDescent="0.35">
      <c r="A7" s="121" t="s">
        <v>87</v>
      </c>
      <c r="B7" s="126">
        <f>B5-B6</f>
        <v>68.7</v>
      </c>
      <c r="C7" s="127"/>
      <c r="D7" s="127"/>
      <c r="E7" s="127"/>
      <c r="F7" s="127"/>
      <c r="G7" s="128"/>
      <c r="I7" s="125"/>
      <c r="J7" s="125"/>
      <c r="K7" s="125"/>
      <c r="L7" s="125"/>
    </row>
    <row r="8" spans="1:12" s="124" customFormat="1" ht="27" customHeight="1" thickBot="1" x14ac:dyDescent="0.45">
      <c r="A8" s="121" t="s">
        <v>88</v>
      </c>
      <c r="B8" s="129">
        <v>1</v>
      </c>
      <c r="C8" s="229" t="s">
        <v>112</v>
      </c>
      <c r="D8" s="230"/>
      <c r="E8" s="230"/>
      <c r="F8" s="230"/>
      <c r="G8" s="230"/>
      <c r="H8" s="231"/>
      <c r="I8" s="125"/>
      <c r="J8" s="125"/>
      <c r="K8" s="125"/>
      <c r="L8" s="125"/>
    </row>
    <row r="9" spans="1:12" s="124" customFormat="1" ht="27" customHeight="1" thickBot="1" x14ac:dyDescent="0.45">
      <c r="A9" s="121" t="s">
        <v>89</v>
      </c>
      <c r="B9" s="129">
        <v>1</v>
      </c>
      <c r="C9" s="229" t="s">
        <v>113</v>
      </c>
      <c r="D9" s="230"/>
      <c r="E9" s="230"/>
      <c r="F9" s="230"/>
      <c r="G9" s="230"/>
      <c r="H9" s="231"/>
      <c r="I9" s="125"/>
      <c r="J9" s="125"/>
      <c r="K9" s="125"/>
      <c r="L9" s="125"/>
    </row>
    <row r="10" spans="1:12" s="124" customFormat="1" ht="18.75" x14ac:dyDescent="0.3">
      <c r="A10" s="121" t="s">
        <v>7</v>
      </c>
      <c r="B10" s="130">
        <v>500</v>
      </c>
      <c r="C10" s="131" t="s">
        <v>141</v>
      </c>
      <c r="D10" s="131"/>
      <c r="E10" s="131"/>
      <c r="F10" s="131"/>
      <c r="G10" s="131"/>
      <c r="H10" s="131"/>
      <c r="I10" s="125"/>
      <c r="J10" s="125"/>
      <c r="K10" s="125"/>
      <c r="L10" s="125"/>
    </row>
    <row r="11" spans="1:12" s="124" customFormat="1" ht="18.75" x14ac:dyDescent="0.3">
      <c r="A11" s="121" t="s">
        <v>90</v>
      </c>
      <c r="B11" s="132">
        <f>B8/B9</f>
        <v>1</v>
      </c>
      <c r="C11" s="133" t="s">
        <v>91</v>
      </c>
      <c r="D11" s="133"/>
      <c r="E11" s="133"/>
      <c r="F11" s="133"/>
      <c r="G11" s="133"/>
      <c r="I11" s="125"/>
      <c r="J11" s="125"/>
      <c r="K11" s="125"/>
      <c r="L11" s="125"/>
    </row>
    <row r="12" spans="1:12" s="8" customFormat="1" ht="19.5" customHeight="1" thickBot="1" x14ac:dyDescent="0.35">
      <c r="A12" s="118"/>
      <c r="B12" s="118"/>
      <c r="C12" s="119"/>
      <c r="D12" s="119"/>
      <c r="E12" s="119"/>
      <c r="F12" s="119"/>
      <c r="G12" s="119"/>
      <c r="H12" s="119"/>
      <c r="I12" s="119"/>
      <c r="J12" s="119"/>
      <c r="K12" s="119"/>
      <c r="L12" s="119"/>
    </row>
    <row r="13" spans="1:12" s="8" customFormat="1" ht="27" customHeight="1" thickBot="1" x14ac:dyDescent="0.45">
      <c r="A13" s="134" t="s">
        <v>92</v>
      </c>
      <c r="B13" s="135">
        <v>25</v>
      </c>
      <c r="C13" s="119"/>
      <c r="D13" s="238" t="s">
        <v>93</v>
      </c>
      <c r="E13" s="239"/>
      <c r="F13" s="240" t="s">
        <v>94</v>
      </c>
      <c r="G13" s="241"/>
      <c r="H13" s="119"/>
      <c r="I13" s="252"/>
      <c r="J13" s="119"/>
      <c r="K13" s="119"/>
      <c r="L13" s="119"/>
    </row>
    <row r="14" spans="1:12" s="8" customFormat="1" ht="27" customHeight="1" thickBot="1" x14ac:dyDescent="0.45">
      <c r="A14" s="137" t="s">
        <v>114</v>
      </c>
      <c r="B14" s="138">
        <v>5</v>
      </c>
      <c r="C14" s="139" t="s">
        <v>95</v>
      </c>
      <c r="D14" s="242" t="s">
        <v>96</v>
      </c>
      <c r="E14" s="141" t="s">
        <v>97</v>
      </c>
      <c r="F14" s="140" t="s">
        <v>96</v>
      </c>
      <c r="G14" s="243" t="s">
        <v>97</v>
      </c>
      <c r="H14" s="119"/>
      <c r="I14" s="251" t="s">
        <v>98</v>
      </c>
      <c r="J14" s="119"/>
      <c r="K14" s="119"/>
      <c r="L14" s="119"/>
    </row>
    <row r="15" spans="1:12" s="8" customFormat="1" ht="26.25" customHeight="1" x14ac:dyDescent="0.4">
      <c r="A15" s="137" t="s">
        <v>115</v>
      </c>
      <c r="B15" s="138">
        <v>100</v>
      </c>
      <c r="C15" s="142">
        <v>1</v>
      </c>
      <c r="D15" s="244">
        <v>0.51800000000000002</v>
      </c>
      <c r="E15" s="253">
        <f>IF(ISBLANK(D15),"-",$D$25/$D$22*D15)</f>
        <v>0.50371633745400524</v>
      </c>
      <c r="F15" s="232">
        <v>0.51400000000000001</v>
      </c>
      <c r="G15" s="253">
        <f>IF(ISBLANK(F15),"-",$D$25/$D$22*F15)</f>
        <v>0.49982663600648397</v>
      </c>
      <c r="H15" s="119"/>
      <c r="I15" s="143"/>
      <c r="J15" s="119"/>
      <c r="K15" s="119"/>
      <c r="L15" s="119"/>
    </row>
    <row r="16" spans="1:12" s="8" customFormat="1" ht="26.25" customHeight="1" x14ac:dyDescent="0.4">
      <c r="A16" s="137" t="s">
        <v>116</v>
      </c>
      <c r="B16" s="138">
        <v>1</v>
      </c>
      <c r="C16" s="144">
        <v>2</v>
      </c>
      <c r="D16" s="245">
        <v>0.51600000000000001</v>
      </c>
      <c r="E16" s="254">
        <f t="shared" ref="E16:E17" si="0">IF(ISBLANK(D16),"-",$D$25/$D$22*D16)</f>
        <v>0.50177148673024463</v>
      </c>
      <c r="F16" s="233">
        <v>0.51500000000000001</v>
      </c>
      <c r="G16" s="254">
        <f t="shared" ref="G16:G17" si="1">IF(ISBLANK(F16),"-",$D$25/$D$22*F16)</f>
        <v>0.50079906136836427</v>
      </c>
      <c r="H16" s="119"/>
      <c r="I16" s="216">
        <f>ABS((F20/D20*D19)-F19)/D19</f>
        <v>2.0610311307984277E-3</v>
      </c>
      <c r="J16" s="119"/>
      <c r="K16" s="119"/>
      <c r="L16" s="119"/>
    </row>
    <row r="17" spans="1:12" s="8" customFormat="1" ht="26.25" customHeight="1" x14ac:dyDescent="0.4">
      <c r="A17" s="137" t="s">
        <v>117</v>
      </c>
      <c r="B17" s="138">
        <v>1</v>
      </c>
      <c r="C17" s="144">
        <v>3</v>
      </c>
      <c r="D17" s="245">
        <v>0.51400000000000001</v>
      </c>
      <c r="E17" s="254">
        <f t="shared" si="0"/>
        <v>0.49982663600648397</v>
      </c>
      <c r="F17" s="233">
        <v>0.51400000000000001</v>
      </c>
      <c r="G17" s="254">
        <f t="shared" si="1"/>
        <v>0.49982663600648397</v>
      </c>
      <c r="H17" s="119"/>
      <c r="I17" s="216"/>
      <c r="J17" s="119"/>
      <c r="K17" s="119"/>
      <c r="L17" s="119"/>
    </row>
    <row r="18" spans="1:12" s="8" customFormat="1" ht="27" customHeight="1" thickBot="1" x14ac:dyDescent="0.45">
      <c r="A18" s="137" t="s">
        <v>118</v>
      </c>
      <c r="B18" s="138">
        <v>1</v>
      </c>
      <c r="C18" s="145">
        <v>4</v>
      </c>
      <c r="D18" s="246"/>
      <c r="E18" s="235" t="str">
        <f>IF(ISBLANK(D18),"-",$D$101/$D$98*D18)</f>
        <v>-</v>
      </c>
      <c r="F18" s="234"/>
      <c r="G18" s="235" t="str">
        <f>IF(ISBLANK(F18),"-",$D$101/$F$98*F18)</f>
        <v>-</v>
      </c>
      <c r="H18" s="119"/>
      <c r="I18" s="146"/>
      <c r="J18" s="119"/>
      <c r="K18" s="119"/>
      <c r="L18" s="119"/>
    </row>
    <row r="19" spans="1:12" s="8" customFormat="1" ht="27" customHeight="1" thickBot="1" x14ac:dyDescent="0.45">
      <c r="A19" s="137" t="s">
        <v>119</v>
      </c>
      <c r="B19" s="147">
        <v>1</v>
      </c>
      <c r="C19" s="121" t="s">
        <v>99</v>
      </c>
      <c r="D19" s="247">
        <f>AVERAGE(D15:D18)</f>
        <v>0.51600000000000001</v>
      </c>
      <c r="E19" s="248">
        <f>AVERAGE(E15:E18)</f>
        <v>0.50177148673024463</v>
      </c>
      <c r="F19" s="249">
        <f>AVERAGE(F15:F18)</f>
        <v>0.51433333333333331</v>
      </c>
      <c r="G19" s="250">
        <f>AVERAGE(G15:G18)</f>
        <v>0.50015077779377737</v>
      </c>
      <c r="H19" s="119"/>
      <c r="I19" s="119"/>
      <c r="J19" s="119"/>
      <c r="K19" s="119"/>
      <c r="L19" s="119"/>
    </row>
    <row r="20" spans="1:12" s="8" customFormat="1" ht="26.25" customHeight="1" x14ac:dyDescent="0.4">
      <c r="A20" s="137" t="s">
        <v>120</v>
      </c>
      <c r="B20" s="122">
        <v>1</v>
      </c>
      <c r="C20" s="148" t="s">
        <v>121</v>
      </c>
      <c r="D20" s="236">
        <v>20.79</v>
      </c>
      <c r="E20" s="133"/>
      <c r="F20" s="237">
        <v>20.68</v>
      </c>
      <c r="G20" s="119"/>
      <c r="H20" s="119"/>
      <c r="I20" s="119"/>
      <c r="J20" s="119"/>
      <c r="K20" s="119"/>
      <c r="L20" s="119"/>
    </row>
    <row r="21" spans="1:12" s="8" customFormat="1" ht="26.25" customHeight="1" x14ac:dyDescent="0.4">
      <c r="A21" s="137" t="s">
        <v>122</v>
      </c>
      <c r="B21" s="122">
        <v>1</v>
      </c>
      <c r="C21" s="149" t="s">
        <v>123</v>
      </c>
      <c r="D21" s="150">
        <f>$D$20*$B$11</f>
        <v>20.79</v>
      </c>
      <c r="E21" s="144"/>
      <c r="F21" s="150">
        <f>$F$20*$B$11</f>
        <v>20.68</v>
      </c>
      <c r="G21" s="119"/>
      <c r="H21" s="119"/>
      <c r="I21" s="119"/>
      <c r="J21" s="119"/>
      <c r="K21" s="119"/>
      <c r="L21" s="119"/>
    </row>
    <row r="22" spans="1:12" s="8" customFormat="1" ht="19.5" customHeight="1" thickBot="1" x14ac:dyDescent="0.35">
      <c r="A22" s="137" t="s">
        <v>100</v>
      </c>
      <c r="B22" s="144">
        <f>(B21/B20)*(B19/B18)*(B17/B16)*(B15/B14)*B13</f>
        <v>500</v>
      </c>
      <c r="C22" s="149" t="s">
        <v>124</v>
      </c>
      <c r="D22" s="151">
        <f>D21*$B$7/100</f>
        <v>14.282729999999999</v>
      </c>
      <c r="E22" s="152"/>
      <c r="F22" s="151">
        <f>F21*$B$7/100</f>
        <v>14.207160000000002</v>
      </c>
      <c r="G22" s="119"/>
      <c r="H22" s="119"/>
      <c r="I22" s="119"/>
      <c r="J22" s="119"/>
      <c r="K22" s="119"/>
      <c r="L22" s="119"/>
    </row>
    <row r="23" spans="1:12" s="8" customFormat="1" ht="19.5" customHeight="1" x14ac:dyDescent="0.3">
      <c r="A23" s="217" t="s">
        <v>101</v>
      </c>
      <c r="B23" s="218"/>
      <c r="C23" s="149" t="s">
        <v>125</v>
      </c>
      <c r="D23" s="153">
        <f>$D$22/$B$22</f>
        <v>2.8565459999999997E-2</v>
      </c>
      <c r="E23" s="152"/>
      <c r="F23" s="153">
        <f>$F$22/$B$22</f>
        <v>2.8414320000000003E-2</v>
      </c>
      <c r="G23" s="119"/>
      <c r="H23" s="154"/>
      <c r="I23" s="119"/>
      <c r="J23" s="119"/>
      <c r="K23" s="119"/>
      <c r="L23" s="119"/>
    </row>
    <row r="24" spans="1:12" s="8" customFormat="1" ht="19.5" customHeight="1" thickBot="1" x14ac:dyDescent="0.35">
      <c r="A24" s="219"/>
      <c r="B24" s="220"/>
      <c r="C24" s="149" t="s">
        <v>102</v>
      </c>
      <c r="D24" s="155">
        <f>$B$10/$B$40</f>
        <v>2.7777777777777776E-2</v>
      </c>
      <c r="E24" s="119"/>
      <c r="F24" s="156"/>
      <c r="G24" s="157"/>
      <c r="H24" s="154"/>
      <c r="I24" s="119"/>
      <c r="J24" s="119"/>
      <c r="K24" s="119"/>
      <c r="L24" s="119"/>
    </row>
    <row r="25" spans="1:12" s="8" customFormat="1" ht="18.75" x14ac:dyDescent="0.3">
      <c r="A25" s="119"/>
      <c r="B25" s="119"/>
      <c r="C25" s="149" t="s">
        <v>103</v>
      </c>
      <c r="D25" s="150">
        <f>D24*$B$22</f>
        <v>13.888888888888888</v>
      </c>
      <c r="E25" s="119"/>
      <c r="F25" s="156"/>
      <c r="G25" s="119"/>
      <c r="H25" s="154"/>
      <c r="I25" s="119"/>
      <c r="J25" s="119"/>
      <c r="K25" s="119"/>
      <c r="L25" s="119"/>
    </row>
    <row r="26" spans="1:12" s="8" customFormat="1" ht="19.5" customHeight="1" thickBot="1" x14ac:dyDescent="0.35">
      <c r="A26" s="119"/>
      <c r="B26" s="119"/>
      <c r="C26" s="158" t="s">
        <v>104</v>
      </c>
      <c r="D26" s="159">
        <f>D25/B11</f>
        <v>13.888888888888888</v>
      </c>
      <c r="E26" s="119"/>
      <c r="F26" s="160"/>
      <c r="G26" s="119"/>
      <c r="H26" s="154"/>
      <c r="I26" s="119"/>
      <c r="J26" s="161"/>
      <c r="K26" s="119"/>
      <c r="L26" s="119"/>
    </row>
    <row r="27" spans="1:12" s="8" customFormat="1" ht="18.75" x14ac:dyDescent="0.3">
      <c r="A27" s="119"/>
      <c r="B27" s="119"/>
      <c r="C27" s="162" t="s">
        <v>126</v>
      </c>
      <c r="D27" s="163">
        <f>AVERAGE(E15:E18,G15:G18)</f>
        <v>0.500961132262011</v>
      </c>
      <c r="E27" s="119"/>
      <c r="F27" s="160"/>
      <c r="G27" s="157"/>
      <c r="H27" s="154"/>
      <c r="I27" s="119"/>
      <c r="J27" s="164"/>
      <c r="K27" s="119"/>
      <c r="L27" s="119"/>
    </row>
    <row r="28" spans="1:12" s="8" customFormat="1" ht="18.75" x14ac:dyDescent="0.3">
      <c r="A28" s="119"/>
      <c r="B28" s="119"/>
      <c r="C28" s="165" t="s">
        <v>105</v>
      </c>
      <c r="D28" s="166">
        <f>STDEV(E15:E18,G15:G18)/D27</f>
        <v>3.1098323754637095E-3</v>
      </c>
      <c r="E28" s="119"/>
      <c r="F28" s="160"/>
      <c r="G28" s="119"/>
      <c r="H28" s="154"/>
      <c r="I28" s="119"/>
      <c r="J28" s="164"/>
      <c r="K28" s="119"/>
      <c r="L28" s="119"/>
    </row>
    <row r="29" spans="1:12" s="8" customFormat="1" ht="19.5" customHeight="1" thickBot="1" x14ac:dyDescent="0.35">
      <c r="A29" s="119"/>
      <c r="B29" s="119"/>
      <c r="C29" s="167" t="s">
        <v>106</v>
      </c>
      <c r="D29" s="168">
        <f>COUNT(E15:E18,G15:G18)</f>
        <v>6</v>
      </c>
      <c r="E29" s="119"/>
      <c r="F29" s="160"/>
      <c r="G29" s="119"/>
      <c r="H29" s="154"/>
      <c r="I29" s="119"/>
      <c r="J29" s="164"/>
      <c r="K29" s="119"/>
      <c r="L29" s="119"/>
    </row>
    <row r="30" spans="1:12" s="8" customFormat="1" ht="19.5" customHeight="1" thickBot="1" x14ac:dyDescent="0.35">
      <c r="A30" s="169"/>
      <c r="B30" s="169"/>
      <c r="C30" s="169"/>
      <c r="D30" s="169"/>
      <c r="E30" s="169"/>
      <c r="F30" s="119"/>
      <c r="G30" s="119"/>
      <c r="H30" s="119"/>
      <c r="I30" s="119"/>
      <c r="J30" s="119"/>
      <c r="K30" s="119"/>
      <c r="L30" s="119"/>
    </row>
    <row r="31" spans="1:12" s="8" customFormat="1" ht="26.25" customHeight="1" x14ac:dyDescent="0.4">
      <c r="A31" s="134" t="s">
        <v>127</v>
      </c>
      <c r="B31" s="170">
        <v>900</v>
      </c>
      <c r="C31" s="136" t="s">
        <v>128</v>
      </c>
      <c r="D31" s="171" t="s">
        <v>96</v>
      </c>
      <c r="E31" s="172" t="s">
        <v>129</v>
      </c>
      <c r="F31" s="173" t="s">
        <v>130</v>
      </c>
      <c r="G31" s="119"/>
      <c r="H31" s="119"/>
      <c r="I31" s="119"/>
      <c r="J31" s="119"/>
      <c r="K31" s="119"/>
      <c r="L31" s="119"/>
    </row>
    <row r="32" spans="1:12" s="8" customFormat="1" ht="26.25" customHeight="1" x14ac:dyDescent="0.4">
      <c r="A32" s="137" t="s">
        <v>131</v>
      </c>
      <c r="B32" s="147">
        <v>5</v>
      </c>
      <c r="C32" s="174">
        <v>1</v>
      </c>
      <c r="D32" s="255">
        <v>0.435</v>
      </c>
      <c r="E32" s="257">
        <f>IF(ISBLANK(D32),"-",D32/$D$27*$D$24*$B$40)</f>
        <v>434.16541921708182</v>
      </c>
      <c r="F32" s="260">
        <f>IF(ISBLANK(D32), "-", E32/$B$10)</f>
        <v>0.86833083843416359</v>
      </c>
      <c r="G32" s="119"/>
      <c r="H32" s="119"/>
      <c r="I32" s="119"/>
      <c r="J32" s="119"/>
      <c r="K32" s="119"/>
      <c r="L32" s="119"/>
    </row>
    <row r="33" spans="1:12" s="8" customFormat="1" ht="26.25" customHeight="1" x14ac:dyDescent="0.4">
      <c r="A33" s="137" t="s">
        <v>132</v>
      </c>
      <c r="B33" s="147">
        <v>100</v>
      </c>
      <c r="C33" s="174">
        <v>2</v>
      </c>
      <c r="D33" s="255">
        <v>0.49</v>
      </c>
      <c r="E33" s="258">
        <f t="shared" ref="E33:E37" si="2">IF(ISBLANK(D33),"-",D33/$D$27*$D$24*$B$40)</f>
        <v>489.05989750889677</v>
      </c>
      <c r="F33" s="261">
        <f t="shared" ref="F33:F37" si="3">IF(ISBLANK(D33), "-", E33/$B$10)</f>
        <v>0.97811979501779356</v>
      </c>
      <c r="G33" s="119"/>
      <c r="H33" s="119"/>
      <c r="I33" s="119"/>
      <c r="J33" s="119"/>
      <c r="K33" s="119"/>
      <c r="L33" s="119"/>
    </row>
    <row r="34" spans="1:12" s="8" customFormat="1" ht="26.25" customHeight="1" x14ac:dyDescent="0.4">
      <c r="A34" s="137" t="s">
        <v>133</v>
      </c>
      <c r="B34" s="147">
        <v>1</v>
      </c>
      <c r="C34" s="174">
        <v>3</v>
      </c>
      <c r="D34" s="255">
        <v>0.48799999999999999</v>
      </c>
      <c r="E34" s="258">
        <f t="shared" si="2"/>
        <v>487.06373466192167</v>
      </c>
      <c r="F34" s="261">
        <f t="shared" si="3"/>
        <v>0.97412746932384331</v>
      </c>
      <c r="G34" s="119"/>
      <c r="H34" s="119"/>
      <c r="I34" s="119"/>
      <c r="J34" s="119"/>
      <c r="K34" s="119"/>
      <c r="L34" s="119"/>
    </row>
    <row r="35" spans="1:12" s="8" customFormat="1" ht="26.25" customHeight="1" x14ac:dyDescent="0.4">
      <c r="A35" s="137" t="s">
        <v>134</v>
      </c>
      <c r="B35" s="147">
        <v>1</v>
      </c>
      <c r="C35" s="174">
        <v>4</v>
      </c>
      <c r="D35" s="255">
        <v>0.46700000000000003</v>
      </c>
      <c r="E35" s="258">
        <f t="shared" si="2"/>
        <v>466.1040247686833</v>
      </c>
      <c r="F35" s="261">
        <f t="shared" si="3"/>
        <v>0.93220804953736658</v>
      </c>
      <c r="G35" s="119"/>
      <c r="H35" s="119"/>
      <c r="I35" s="119"/>
      <c r="J35" s="119"/>
      <c r="K35" s="119"/>
      <c r="L35" s="119"/>
    </row>
    <row r="36" spans="1:12" s="8" customFormat="1" ht="26.25" customHeight="1" x14ac:dyDescent="0.4">
      <c r="A36" s="137" t="s">
        <v>135</v>
      </c>
      <c r="B36" s="147">
        <v>1</v>
      </c>
      <c r="C36" s="174">
        <v>5</v>
      </c>
      <c r="D36" s="255">
        <v>0.48299999999999998</v>
      </c>
      <c r="E36" s="258">
        <f t="shared" si="2"/>
        <v>482.07332754448402</v>
      </c>
      <c r="F36" s="261">
        <f t="shared" si="3"/>
        <v>0.96414665508896802</v>
      </c>
      <c r="G36" s="119"/>
      <c r="H36" s="119"/>
      <c r="I36" s="119"/>
      <c r="J36" s="119"/>
      <c r="K36" s="119"/>
      <c r="L36" s="119"/>
    </row>
    <row r="37" spans="1:12" s="8" customFormat="1" ht="26.25" customHeight="1" x14ac:dyDescent="0.4">
      <c r="A37" s="137" t="s">
        <v>136</v>
      </c>
      <c r="B37" s="147">
        <v>1</v>
      </c>
      <c r="C37" s="175">
        <v>6</v>
      </c>
      <c r="D37" s="256">
        <v>0.48099999999999998</v>
      </c>
      <c r="E37" s="259">
        <f t="shared" si="2"/>
        <v>480.07716469750881</v>
      </c>
      <c r="F37" s="262">
        <f t="shared" si="3"/>
        <v>0.96015432939501766</v>
      </c>
      <c r="G37" s="119"/>
      <c r="H37" s="119"/>
      <c r="I37" s="119"/>
      <c r="J37" s="119"/>
      <c r="K37" s="119"/>
      <c r="L37" s="119"/>
    </row>
    <row r="38" spans="1:12" s="8" customFormat="1" ht="26.25" customHeight="1" x14ac:dyDescent="0.4">
      <c r="A38" s="137" t="s">
        <v>137</v>
      </c>
      <c r="B38" s="147">
        <v>1</v>
      </c>
      <c r="C38" s="174"/>
      <c r="D38" s="144"/>
      <c r="E38" s="133"/>
      <c r="F38" s="176"/>
      <c r="G38" s="119"/>
      <c r="H38" s="119"/>
      <c r="I38" s="119"/>
      <c r="J38" s="119"/>
      <c r="K38" s="119"/>
      <c r="L38" s="119"/>
    </row>
    <row r="39" spans="1:12" s="8" customFormat="1" ht="26.25" customHeight="1" x14ac:dyDescent="0.4">
      <c r="A39" s="137" t="s">
        <v>138</v>
      </c>
      <c r="B39" s="147">
        <v>1</v>
      </c>
      <c r="C39" s="174"/>
      <c r="D39" s="266" t="s">
        <v>99</v>
      </c>
      <c r="E39" s="263">
        <f>AVERAGE(E32:E37)</f>
        <v>473.090594733096</v>
      </c>
      <c r="F39" s="177">
        <f>AVERAGE(F32:F37)</f>
        <v>0.94618118946619223</v>
      </c>
      <c r="G39" s="119"/>
      <c r="H39" s="119"/>
      <c r="I39" s="119"/>
      <c r="J39" s="119"/>
      <c r="K39" s="119"/>
      <c r="L39" s="119"/>
    </row>
    <row r="40" spans="1:12" s="8" customFormat="1" ht="27" customHeight="1" thickBot="1" x14ac:dyDescent="0.45">
      <c r="A40" s="137" t="s">
        <v>107</v>
      </c>
      <c r="B40" s="178">
        <f>(B39/B38)*(B37/B36)*(B35/B34)*(B33/B32)*B31</f>
        <v>18000</v>
      </c>
      <c r="C40" s="179"/>
      <c r="D40" s="267" t="s">
        <v>105</v>
      </c>
      <c r="E40" s="264">
        <f>STDEV(E32:E37)/E39</f>
        <v>4.3768109636759291E-2</v>
      </c>
      <c r="F40" s="180">
        <f>STDEV(F32:F37)/F39</f>
        <v>4.3768109636759304E-2</v>
      </c>
      <c r="G40" s="119"/>
      <c r="H40" s="119"/>
      <c r="I40" s="133"/>
      <c r="J40" s="119"/>
      <c r="K40" s="119"/>
      <c r="L40" s="119"/>
    </row>
    <row r="41" spans="1:12" s="8" customFormat="1" ht="27" customHeight="1" thickBot="1" x14ac:dyDescent="0.45">
      <c r="A41" s="217" t="s">
        <v>101</v>
      </c>
      <c r="B41" s="221"/>
      <c r="C41" s="181"/>
      <c r="D41" s="268" t="s">
        <v>106</v>
      </c>
      <c r="E41" s="265">
        <f>COUNT(E32:E37)</f>
        <v>6</v>
      </c>
      <c r="F41" s="182">
        <f>COUNT(F32:F37)</f>
        <v>6</v>
      </c>
      <c r="G41" s="119"/>
      <c r="H41" s="119"/>
      <c r="I41" s="133"/>
      <c r="J41" s="164"/>
      <c r="K41" s="119"/>
      <c r="L41" s="119"/>
    </row>
    <row r="42" spans="1:12" s="8" customFormat="1" ht="19.5" customHeight="1" thickBot="1" x14ac:dyDescent="0.35">
      <c r="A42" s="219"/>
      <c r="B42" s="222"/>
      <c r="C42" s="133"/>
      <c r="D42" s="133"/>
      <c r="E42" s="133"/>
      <c r="F42" s="144"/>
      <c r="G42" s="133"/>
      <c r="H42" s="133"/>
      <c r="I42" s="133"/>
      <c r="J42" s="119"/>
      <c r="K42" s="119"/>
      <c r="L42" s="119"/>
    </row>
    <row r="43" spans="1:12" s="8" customFormat="1" ht="18.75" x14ac:dyDescent="0.3">
      <c r="A43" s="183"/>
      <c r="B43" s="131"/>
      <c r="C43" s="133"/>
      <c r="D43" s="133"/>
      <c r="E43" s="133"/>
      <c r="F43" s="144"/>
      <c r="G43" s="133"/>
      <c r="H43" s="133"/>
      <c r="I43" s="133"/>
      <c r="J43" s="119"/>
      <c r="K43" s="119"/>
      <c r="L43" s="119"/>
    </row>
    <row r="44" spans="1:12" s="8" customFormat="1" ht="26.25" customHeight="1" x14ac:dyDescent="0.4">
      <c r="A44" s="120" t="s">
        <v>108</v>
      </c>
      <c r="B44" s="121" t="s">
        <v>139</v>
      </c>
      <c r="C44" s="223" t="str">
        <f>B4</f>
        <v xml:space="preserve">Erythromycin Stearate  </v>
      </c>
      <c r="D44" s="223"/>
      <c r="E44" s="133" t="s">
        <v>140</v>
      </c>
      <c r="F44" s="133"/>
      <c r="G44" s="184">
        <f>F39</f>
        <v>0.94618118946619223</v>
      </c>
      <c r="H44" s="133"/>
      <c r="I44" s="133"/>
      <c r="J44" s="119"/>
      <c r="K44" s="119"/>
      <c r="L44" s="119"/>
    </row>
    <row r="45" spans="1:12" s="8" customFormat="1" ht="19.5" customHeight="1" thickBot="1" x14ac:dyDescent="0.35">
      <c r="A45" s="185"/>
      <c r="B45" s="185"/>
      <c r="C45" s="186"/>
      <c r="D45" s="186"/>
      <c r="E45" s="186"/>
      <c r="F45" s="186"/>
      <c r="G45" s="186"/>
      <c r="H45" s="186"/>
      <c r="I45" s="119"/>
      <c r="J45" s="119"/>
      <c r="K45" s="119"/>
      <c r="L45" s="119"/>
    </row>
    <row r="46" spans="1:12" s="8" customFormat="1" ht="18.75" x14ac:dyDescent="0.3">
      <c r="A46" s="119"/>
      <c r="B46" s="224" t="s">
        <v>57</v>
      </c>
      <c r="C46" s="224"/>
      <c r="D46" s="119"/>
      <c r="E46" s="139" t="s">
        <v>58</v>
      </c>
      <c r="F46" s="187"/>
      <c r="G46" s="224" t="s">
        <v>59</v>
      </c>
      <c r="H46" s="224"/>
      <c r="I46" s="119"/>
      <c r="J46" s="119"/>
      <c r="K46" s="119"/>
      <c r="L46" s="119"/>
    </row>
    <row r="47" spans="1:12" s="8" customFormat="1" ht="69.95" customHeight="1" x14ac:dyDescent="0.3">
      <c r="A47" s="120" t="s">
        <v>49</v>
      </c>
      <c r="B47" s="188"/>
      <c r="C47" s="188" t="s">
        <v>142</v>
      </c>
      <c r="D47" s="119"/>
      <c r="E47" s="188"/>
      <c r="F47" s="133"/>
      <c r="G47" s="188"/>
      <c r="H47" s="188"/>
      <c r="I47" s="119"/>
      <c r="J47" s="119"/>
      <c r="K47" s="119"/>
      <c r="L47" s="119"/>
    </row>
    <row r="48" spans="1:12" s="8" customFormat="1" ht="69.95" customHeight="1" x14ac:dyDescent="0.3">
      <c r="A48" s="120" t="s">
        <v>61</v>
      </c>
      <c r="B48" s="189"/>
      <c r="C48" s="189" t="s">
        <v>109</v>
      </c>
      <c r="D48" s="119"/>
      <c r="E48" s="190">
        <v>42570</v>
      </c>
      <c r="F48" s="133"/>
      <c r="G48" s="191"/>
      <c r="H48" s="191"/>
      <c r="I48" s="119"/>
      <c r="J48" s="119"/>
      <c r="K48" s="119"/>
      <c r="L48" s="119"/>
    </row>
  </sheetData>
  <mergeCells count="11">
    <mergeCell ref="F13:G13"/>
    <mergeCell ref="B4:C4"/>
    <mergeCell ref="C6:G6"/>
    <mergeCell ref="C8:H8"/>
    <mergeCell ref="C9:H9"/>
    <mergeCell ref="I16:I17"/>
    <mergeCell ref="A23:B24"/>
    <mergeCell ref="A41:B42"/>
    <mergeCell ref="C44:D44"/>
    <mergeCell ref="B46:C46"/>
    <mergeCell ref="G46:H46"/>
  </mergeCells>
  <conditionalFormatting sqref="D28">
    <cfRule type="cellIs" dxfId="2" priority="3" operator="greaterThan">
      <formula>0.02</formula>
    </cfRule>
  </conditionalFormatting>
  <conditionalFormatting sqref="I16">
    <cfRule type="cellIs" dxfId="1" priority="2" operator="lessThanOrEqual">
      <formula>0.02</formula>
    </cfRule>
  </conditionalFormatting>
  <conditionalFormatting sqref="I16">
    <cfRule type="cellIs" dxfId="0" priority="1" operator="greaterThan">
      <formula>0.02</formula>
    </cfRule>
  </conditionalFormatting>
  <pageMargins left="0.7" right="0.7" top="0.75" bottom="0.75" header="0.3" footer="0.3"/>
  <pageSetup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NDQD201605939</vt:lpstr>
      <vt:lpstr>Dissolution</vt:lpstr>
      <vt:lpstr>Dissolution!Print_Area</vt:lpstr>
      <vt:lpstr>NDQD201605939!Print_Area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2016-07-20T09:00:01Z</cp:lastPrinted>
  <dcterms:created xsi:type="dcterms:W3CDTF">2003-03-12T11:08:53Z</dcterms:created>
  <dcterms:modified xsi:type="dcterms:W3CDTF">2016-07-20T09:05:18Z</dcterms:modified>
</cp:coreProperties>
</file>