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9255" windowHeight="7620" activeTab="2"/>
  </bookViews>
  <sheets>
    <sheet name="SST" sheetId="1" r:id="rId1"/>
    <sheet name="Uniformity" sheetId="2" r:id="rId2"/>
    <sheet name="Piroxicam" sheetId="3" r:id="rId3"/>
  </sheets>
  <definedNames>
    <definedName name="_xlnm.Print_Area" localSheetId="2">Piroxicam!$A$1:$I$124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57" i="3" l="1"/>
  <c r="C120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B69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3" i="1"/>
  <c r="E51" i="1"/>
  <c r="D51" i="1"/>
  <c r="C51" i="1"/>
  <c r="B51" i="1"/>
  <c r="B52" i="1" s="1"/>
  <c r="B32" i="1"/>
  <c r="D30" i="1"/>
  <c r="C30" i="1"/>
  <c r="B30" i="1"/>
  <c r="B31" i="1" s="1"/>
  <c r="I92" i="3" l="1"/>
  <c r="D101" i="3"/>
  <c r="E92" i="3" s="1"/>
  <c r="F97" i="3"/>
  <c r="I39" i="3"/>
  <c r="D45" i="3"/>
  <c r="D46" i="3" s="1"/>
  <c r="D98" i="3"/>
  <c r="D99" i="3" s="1"/>
  <c r="F98" i="3"/>
  <c r="F99" i="3" s="1"/>
  <c r="B47" i="2"/>
  <c r="C48" i="2"/>
  <c r="C47" i="2"/>
  <c r="D48" i="2"/>
  <c r="D47" i="2"/>
  <c r="E25" i="2"/>
  <c r="E29" i="2"/>
  <c r="E33" i="2"/>
  <c r="E37" i="2"/>
  <c r="D49" i="3"/>
  <c r="E38" i="3"/>
  <c r="E22" i="2"/>
  <c r="E26" i="2"/>
  <c r="E30" i="2"/>
  <c r="E34" i="2"/>
  <c r="E38" i="2"/>
  <c r="E23" i="2"/>
  <c r="E27" i="2"/>
  <c r="E31" i="2"/>
  <c r="E35" i="2"/>
  <c r="E39" i="2"/>
  <c r="E24" i="2"/>
  <c r="E28" i="2"/>
  <c r="E32" i="2"/>
  <c r="E36" i="2"/>
  <c r="E40" i="2"/>
  <c r="D42" i="2"/>
  <c r="F44" i="3"/>
  <c r="F45" i="3" s="1"/>
  <c r="F46" i="3" s="1"/>
  <c r="E21" i="2"/>
  <c r="D102" i="3" l="1"/>
  <c r="E91" i="3"/>
  <c r="G94" i="3"/>
  <c r="G92" i="3"/>
  <c r="G91" i="3"/>
  <c r="E94" i="3"/>
  <c r="E93" i="3"/>
  <c r="G93" i="3"/>
  <c r="E41" i="3"/>
  <c r="E40" i="3"/>
  <c r="E39" i="3"/>
  <c r="G39" i="3"/>
  <c r="G38" i="3"/>
  <c r="G40" i="3"/>
  <c r="G41" i="3"/>
  <c r="E95" i="3" l="1"/>
  <c r="G95" i="3"/>
  <c r="D105" i="3"/>
  <c r="D103" i="3"/>
  <c r="E113" i="3" s="1"/>
  <c r="F113" i="3" s="1"/>
  <c r="E42" i="3"/>
  <c r="D50" i="3"/>
  <c r="G68" i="3" s="1"/>
  <c r="H68" i="3" s="1"/>
  <c r="G42" i="3"/>
  <c r="D52" i="3"/>
  <c r="D51" i="3"/>
  <c r="D104" i="3" l="1"/>
  <c r="E108" i="3"/>
  <c r="E109" i="3"/>
  <c r="F109" i="3" s="1"/>
  <c r="E110" i="3"/>
  <c r="F110" i="3" s="1"/>
  <c r="E111" i="3"/>
  <c r="F111" i="3" s="1"/>
  <c r="E112" i="3"/>
  <c r="F112" i="3" s="1"/>
  <c r="G60" i="3"/>
  <c r="G61" i="3"/>
  <c r="H61" i="3" s="1"/>
  <c r="G66" i="3"/>
  <c r="H66" i="3" s="1"/>
  <c r="G63" i="3"/>
  <c r="H63" i="3" s="1"/>
  <c r="G69" i="3"/>
  <c r="H69" i="3" s="1"/>
  <c r="G70" i="3"/>
  <c r="H70" i="3" s="1"/>
  <c r="G65" i="3"/>
  <c r="H65" i="3" s="1"/>
  <c r="G62" i="3"/>
  <c r="H62" i="3" s="1"/>
  <c r="G71" i="3"/>
  <c r="H71" i="3" s="1"/>
  <c r="G67" i="3"/>
  <c r="H67" i="3" s="1"/>
  <c r="G64" i="3"/>
  <c r="H64" i="3" s="1"/>
  <c r="E115" i="3" l="1"/>
  <c r="E116" i="3" s="1"/>
  <c r="E117" i="3"/>
  <c r="F108" i="3"/>
  <c r="F115" i="3" s="1"/>
  <c r="G72" i="3"/>
  <c r="G73" i="3" s="1"/>
  <c r="H60" i="3"/>
  <c r="H72" i="3" s="1"/>
  <c r="G74" i="3"/>
  <c r="F117" i="3" l="1"/>
  <c r="H74" i="3"/>
  <c r="G120" i="3"/>
  <c r="F116" i="3"/>
  <c r="G76" i="3"/>
  <c r="H73" i="3"/>
</calcChain>
</file>

<file path=xl/sharedStrings.xml><?xml version="1.0" encoding="utf-8"?>
<sst xmlns="http://schemas.openxmlformats.org/spreadsheetml/2006/main" count="236" uniqueCount="132">
  <si>
    <t>HPLC System Suitability Report</t>
  </si>
  <si>
    <t>Analysis Data</t>
  </si>
  <si>
    <t>Assay</t>
  </si>
  <si>
    <t>Sample(s)</t>
  </si>
  <si>
    <t>Reference Substance:</t>
  </si>
  <si>
    <t>PIROXICAM CAPSULES B.P 20 MG</t>
  </si>
  <si>
    <t>% age Purity:</t>
  </si>
  <si>
    <t>NDQD201605940</t>
  </si>
  <si>
    <t>Weight (mg):</t>
  </si>
  <si>
    <t>Piroxicam</t>
  </si>
  <si>
    <t>Standard Conc (mg/mL):</t>
  </si>
  <si>
    <t>Each capsule contains Piroxicam 20 mg</t>
  </si>
  <si>
    <t>2016-05-13 10:31:28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</si>
  <si>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</si>
  <si>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</si>
  <si>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</si>
  <si>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</si>
  <si>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</si>
  <si>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</si>
  <si>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</si>
  <si>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</si>
  <si>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</si>
  <si>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</si>
  <si>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</si>
  <si>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</si>
  <si>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</si>
  <si>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</si>
  <si>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</si>
  <si>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</si>
  <si>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</si>
  <si>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</si>
  <si>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</si>
  <si>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</si>
  <si>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</si>
  <si>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</si>
  <si>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</si>
  <si>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</si>
  <si>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</si>
  <si>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</si>
  <si>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2016-08-04 15:37:22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</si>
  <si>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</si>
  <si>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</si>
  <si>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</si>
  <si>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</si>
  <si>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</si>
  <si>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</si>
  <si>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</si>
  <si>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</si>
  <si>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</si>
  <si>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</si>
  <si>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</si>
  <si>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</si>
  <si>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</si>
  <si>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</si>
  <si>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</si>
  <si>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</si>
  <si>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</si>
  <si>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</si>
  <si>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</si>
  <si>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</si>
  <si>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</si>
  <si>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</si>
  <si>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</si>
  <si>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</si>
  <si>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</si>
  <si>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</si>
  <si>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</si>
  <si>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</si>
  <si>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</si>
  <si>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</si>
  <si>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</si>
  <si>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</si>
  <si>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</si>
  <si>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</si>
  <si>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</si>
  <si>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</si>
  <si>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</si>
  <si>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</si>
  <si>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</si>
  <si>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</si>
  <si>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</si>
  <si>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</si>
  <si>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</si>
  <si>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</si>
  <si>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</si>
  <si>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</si>
  <si>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</si>
  <si>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</si>
  <si>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</si>
  <si>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</si>
  <si>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</si>
  <si>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</si>
  <si>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</si>
  <si>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</si>
  <si>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</si>
  <si>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</si>
  <si>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</si>
  <si>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</si>
  <si>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</si>
  <si>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</si>
  <si>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</si>
  <si>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</si>
  <si>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</si>
  <si>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</si>
  <si>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</si>
  <si>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</si>
  <si>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</si>
  <si>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</si>
  <si>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</si>
  <si>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</si>
  <si>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</si>
  <si>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</si>
  <si>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</si>
  <si>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</si>
  <si>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</si>
  <si>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</si>
  <si>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</si>
  <si>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</si>
  <si>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</si>
  <si>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</si>
  <si>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</si>
  <si>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</si>
  <si>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</si>
  <si>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</si>
  <si>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</si>
  <si>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</si>
  <si>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</si>
  <si>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</si>
  <si>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P32-1</t>
  </si>
  <si>
    <r>
      <t xml:space="preserve">The Assymetry of all peaks were </t>
    </r>
    <r>
      <rPr>
        <b/>
        <sz val="12"/>
        <color rgb="FF000000"/>
        <rFont val="Book Antiqua"/>
        <family val="1"/>
      </rPr>
      <t>NMT 1.5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</si>
  <si>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500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</si>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</sst>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6" formatCode="0.00000%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2" borderId="0" xfId="0" applyFont="1" applyFill="1" applyAlignment="1" applyProtection="1">
      <alignment horizontal="left"/>
      <protection locked="0"/>
    </xf>
    <xf numFmtId="0" fontId="26" fillId="2" borderId="7" xfId="0" applyFont="1" applyFill="1" applyBorder="1"/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3" fillId="3" borderId="4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171" fontId="12" fillId="6" borderId="56" xfId="0" applyNumberFormat="1" applyFont="1" applyFill="1" applyBorder="1" applyAlignment="1">
      <alignment horizontal="center"/>
    </xf>
    <xf numFmtId="171" fontId="12" fillId="6" borderId="57" xfId="0" applyNumberFormat="1" applyFont="1" applyFill="1" applyBorder="1" applyAlignment="1">
      <alignment horizontal="center"/>
    </xf>
    <xf numFmtId="176" fontId="13" fillId="6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100.18</v>
      </c>
      <c r="C19" s="10"/>
      <c r="D19" s="10"/>
      <c r="E19" s="10"/>
    </row>
    <row r="20" spans="1:6" ht="16.5" customHeight="1" x14ac:dyDescent="0.3">
      <c r="A20" s="7" t="s">
        <v>8</v>
      </c>
      <c r="B20" s="13">
        <v>13.53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13.53/50*10/50</f>
        <v>5.4120000000000001E-2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37682089</v>
      </c>
      <c r="C24" s="18">
        <v>4294.67</v>
      </c>
      <c r="D24" s="19">
        <v>0.96</v>
      </c>
      <c r="E24" s="20">
        <v>10.84</v>
      </c>
    </row>
    <row r="25" spans="1:6" ht="16.5" customHeight="1" x14ac:dyDescent="0.3">
      <c r="A25" s="17">
        <v>2</v>
      </c>
      <c r="B25" s="18">
        <v>37617242</v>
      </c>
      <c r="C25" s="18">
        <v>4239.04</v>
      </c>
      <c r="D25" s="19">
        <v>0.95</v>
      </c>
      <c r="E25" s="19">
        <v>10.84</v>
      </c>
    </row>
    <row r="26" spans="1:6" ht="16.5" customHeight="1" x14ac:dyDescent="0.3">
      <c r="A26" s="17">
        <v>3</v>
      </c>
      <c r="B26" s="18">
        <v>37629001</v>
      </c>
      <c r="C26" s="18">
        <v>4186.2</v>
      </c>
      <c r="D26" s="19">
        <v>0.95</v>
      </c>
      <c r="E26" s="19">
        <v>10.85</v>
      </c>
    </row>
    <row r="27" spans="1:6" ht="16.5" customHeight="1" x14ac:dyDescent="0.3">
      <c r="A27" s="17">
        <v>4</v>
      </c>
      <c r="B27" s="18">
        <v>37531917</v>
      </c>
      <c r="C27" s="18">
        <v>4135.41</v>
      </c>
      <c r="D27" s="19">
        <v>0.95</v>
      </c>
      <c r="E27" s="19">
        <v>10.86</v>
      </c>
    </row>
    <row r="28" spans="1:6" ht="16.5" customHeight="1" x14ac:dyDescent="0.3">
      <c r="A28" s="17">
        <v>5</v>
      </c>
      <c r="B28" s="18">
        <v>37692438</v>
      </c>
      <c r="C28" s="18">
        <v>4118.72</v>
      </c>
      <c r="D28" s="19">
        <v>0.95</v>
      </c>
      <c r="E28" s="19">
        <v>10.86</v>
      </c>
    </row>
    <row r="29" spans="1:6" ht="16.5" customHeight="1" x14ac:dyDescent="0.3">
      <c r="A29" s="17">
        <v>6</v>
      </c>
      <c r="B29" s="21">
        <v>37698922</v>
      </c>
      <c r="C29" s="21">
        <v>4114.6400000000003</v>
      </c>
      <c r="D29" s="22">
        <v>0.95</v>
      </c>
      <c r="E29" s="22">
        <v>10.86</v>
      </c>
    </row>
    <row r="30" spans="1:6" ht="16.5" customHeight="1" x14ac:dyDescent="0.3">
      <c r="A30" s="23" t="s">
        <v>18</v>
      </c>
      <c r="B30" s="24">
        <f>AVERAGE(B24:B29)</f>
        <v>37641934.833333336</v>
      </c>
      <c r="C30" s="25">
        <f>AVERAGE(C24:C29)</f>
        <v>4181.4466666666667</v>
      </c>
      <c r="D30" s="26">
        <f>AVERAGE(D24:D29)</f>
        <v>0.95166666666666666</v>
      </c>
      <c r="E30" s="26">
        <v>10.85</v>
      </c>
    </row>
    <row r="31" spans="1:6" ht="16.5" customHeight="1" x14ac:dyDescent="0.3">
      <c r="A31" s="27" t="s">
        <v>19</v>
      </c>
      <c r="B31" s="28">
        <f>(STDEV(B24:B29)/B30)</f>
        <v>1.6923849285852279E-3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298" t="s">
        <v>130</v>
      </c>
      <c r="C35" s="38"/>
      <c r="D35" s="38"/>
      <c r="E35" s="39"/>
      <c r="F35" s="2"/>
    </row>
    <row r="36" spans="1:6" ht="16.5" customHeight="1" x14ac:dyDescent="0.3">
      <c r="A36" s="11"/>
      <c r="B36" s="298" t="s">
        <v>129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26</v>
      </c>
      <c r="C59" s="30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99" t="s">
        <v>131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1" workbookViewId="0">
      <selection activeCell="E17" sqref="E17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9" t="s">
        <v>31</v>
      </c>
      <c r="B8" s="309"/>
      <c r="C8" s="309"/>
      <c r="D8" s="309"/>
      <c r="E8" s="309"/>
      <c r="F8" s="309"/>
      <c r="G8" s="30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0" t="s">
        <v>32</v>
      </c>
      <c r="B10" s="310"/>
      <c r="C10" s="310"/>
      <c r="D10" s="310"/>
      <c r="E10" s="310"/>
      <c r="F10" s="310"/>
      <c r="G10" s="31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33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34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35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36</v>
      </c>
      <c r="B14" s="304"/>
      <c r="C14" s="308" t="s">
        <v>11</v>
      </c>
      <c r="D14" s="308"/>
      <c r="E14" s="308"/>
      <c r="F14" s="308"/>
      <c r="G14" s="30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37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38</v>
      </c>
      <c r="B16" s="304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371.01</v>
      </c>
      <c r="C21" s="83">
        <v>65.02</v>
      </c>
      <c r="D21" s="84">
        <f t="shared" ref="D21:D40" si="0">B21-C21</f>
        <v>305.99</v>
      </c>
      <c r="E21" s="85">
        <f t="shared" ref="E21:E40" si="1">(D21-$D$43)/$D$43</f>
        <v>7.3910681657311378E-3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377.74</v>
      </c>
      <c r="C22" s="88">
        <v>61.63</v>
      </c>
      <c r="D22" s="89">
        <f t="shared" si="0"/>
        <v>316.11</v>
      </c>
      <c r="E22" s="85">
        <f t="shared" si="1"/>
        <v>4.0708489028626012E-2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369.69</v>
      </c>
      <c r="C23" s="88">
        <v>66.75</v>
      </c>
      <c r="D23" s="89">
        <f t="shared" si="0"/>
        <v>302.94</v>
      </c>
      <c r="E23" s="85">
        <f t="shared" si="1"/>
        <v>-2.6502493868212048E-3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373.92</v>
      </c>
      <c r="C24" s="88">
        <v>64.650000000000006</v>
      </c>
      <c r="D24" s="89">
        <f t="shared" si="0"/>
        <v>309.27</v>
      </c>
      <c r="E24" s="85">
        <f t="shared" si="1"/>
        <v>1.818959982880369E-2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362.31</v>
      </c>
      <c r="C25" s="88">
        <v>66.27</v>
      </c>
      <c r="D25" s="89">
        <f t="shared" si="0"/>
        <v>296.04000000000002</v>
      </c>
      <c r="E25" s="85">
        <f t="shared" si="1"/>
        <v>-2.5366672702431262E-2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368.69</v>
      </c>
      <c r="C26" s="88">
        <v>64.2</v>
      </c>
      <c r="D26" s="89">
        <f t="shared" si="0"/>
        <v>304.49</v>
      </c>
      <c r="E26" s="85">
        <f t="shared" si="1"/>
        <v>2.4527152710332829E-3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345.18</v>
      </c>
      <c r="C27" s="88">
        <v>62.35</v>
      </c>
      <c r="D27" s="89">
        <f t="shared" si="0"/>
        <v>282.83</v>
      </c>
      <c r="E27" s="85">
        <f t="shared" si="1"/>
        <v>-6.8857100528403825E-2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364.72</v>
      </c>
      <c r="C28" s="88">
        <v>64.069999999999993</v>
      </c>
      <c r="D28" s="89">
        <f t="shared" si="0"/>
        <v>300.65000000000003</v>
      </c>
      <c r="E28" s="85">
        <f t="shared" si="1"/>
        <v>-1.0189468139393143E-2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378.42</v>
      </c>
      <c r="C29" s="88">
        <v>66.03</v>
      </c>
      <c r="D29" s="89">
        <f t="shared" si="0"/>
        <v>312.39</v>
      </c>
      <c r="E29" s="85">
        <f t="shared" si="1"/>
        <v>2.8461373849775245E-2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369.49</v>
      </c>
      <c r="C30" s="88">
        <v>64.510000000000005</v>
      </c>
      <c r="D30" s="89">
        <f t="shared" si="0"/>
        <v>304.98</v>
      </c>
      <c r="E30" s="85">
        <f t="shared" si="1"/>
        <v>4.0659105499679452E-3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348.01</v>
      </c>
      <c r="C31" s="88">
        <v>61.67</v>
      </c>
      <c r="D31" s="89">
        <f t="shared" si="0"/>
        <v>286.33999999999997</v>
      </c>
      <c r="E31" s="85">
        <f t="shared" si="1"/>
        <v>-5.7301354754810872E-2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359.93</v>
      </c>
      <c r="C32" s="88">
        <v>64.89</v>
      </c>
      <c r="D32" s="89">
        <f t="shared" si="0"/>
        <v>295.04000000000002</v>
      </c>
      <c r="E32" s="85">
        <f t="shared" si="1"/>
        <v>-2.8658907965563165E-2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367.59</v>
      </c>
      <c r="C33" s="88">
        <v>65.069999999999993</v>
      </c>
      <c r="D33" s="89">
        <f t="shared" si="0"/>
        <v>302.52</v>
      </c>
      <c r="E33" s="85">
        <f t="shared" si="1"/>
        <v>-4.0329881973366561E-3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374.56</v>
      </c>
      <c r="C34" s="88">
        <v>64.930000000000007</v>
      </c>
      <c r="D34" s="89">
        <f t="shared" si="0"/>
        <v>309.63</v>
      </c>
      <c r="E34" s="85">
        <f t="shared" si="1"/>
        <v>1.9374804523531221E-2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369.16</v>
      </c>
      <c r="C35" s="88">
        <v>64.89</v>
      </c>
      <c r="D35" s="89">
        <f t="shared" si="0"/>
        <v>304.27000000000004</v>
      </c>
      <c r="E35" s="85">
        <f t="shared" si="1"/>
        <v>1.7284235131443616E-3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387.12</v>
      </c>
      <c r="C36" s="88">
        <v>65.84</v>
      </c>
      <c r="D36" s="89">
        <f t="shared" si="0"/>
        <v>321.27999999999997</v>
      </c>
      <c r="E36" s="85">
        <f t="shared" si="1"/>
        <v>5.7729345339017822E-2</v>
      </c>
      <c r="G36" s="66"/>
      <c r="H36" s="66"/>
    </row>
    <row r="37" spans="1:15" ht="15" x14ac:dyDescent="0.3">
      <c r="A37" s="86">
        <v>17</v>
      </c>
      <c r="B37" s="90">
        <v>360.91</v>
      </c>
      <c r="C37" s="88">
        <v>65.989999999999995</v>
      </c>
      <c r="D37" s="89">
        <f t="shared" si="0"/>
        <v>294.92</v>
      </c>
      <c r="E37" s="85">
        <f t="shared" si="1"/>
        <v>-2.9053976197139009E-2</v>
      </c>
    </row>
    <row r="38" spans="1:15" ht="15" x14ac:dyDescent="0.3">
      <c r="A38" s="86">
        <v>18</v>
      </c>
      <c r="B38" s="90">
        <v>366.85</v>
      </c>
      <c r="C38" s="88">
        <v>61.06</v>
      </c>
      <c r="D38" s="89">
        <f t="shared" si="0"/>
        <v>305.79000000000002</v>
      </c>
      <c r="E38" s="85">
        <f t="shared" si="1"/>
        <v>6.7326211131047949E-3</v>
      </c>
    </row>
    <row r="39" spans="1:15" ht="15" x14ac:dyDescent="0.3">
      <c r="A39" s="86">
        <v>19</v>
      </c>
      <c r="B39" s="90">
        <v>375.09</v>
      </c>
      <c r="C39" s="88">
        <v>64.27</v>
      </c>
      <c r="D39" s="89">
        <f t="shared" si="0"/>
        <v>310.82</v>
      </c>
      <c r="E39" s="85">
        <f t="shared" si="1"/>
        <v>2.3292564486658177E-2</v>
      </c>
    </row>
    <row r="40" spans="1:15" ht="14.25" customHeight="1" x14ac:dyDescent="0.3">
      <c r="A40" s="91">
        <v>20</v>
      </c>
      <c r="B40" s="92">
        <v>370.45</v>
      </c>
      <c r="C40" s="93">
        <v>61.85</v>
      </c>
      <c r="D40" s="94">
        <f t="shared" si="0"/>
        <v>308.59999999999997</v>
      </c>
      <c r="E40" s="95">
        <f t="shared" si="1"/>
        <v>1.5983802202505264E-2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7360.8400000000011</v>
      </c>
      <c r="C42" s="98">
        <f>SUM(C21:C40)</f>
        <v>1285.9399999999998</v>
      </c>
      <c r="D42" s="99">
        <f>SUM(D21:D40)</f>
        <v>6074.9000000000005</v>
      </c>
    </row>
    <row r="43" spans="1:15" ht="15.75" customHeight="1" x14ac:dyDescent="0.3">
      <c r="A43" s="100" t="s">
        <v>47</v>
      </c>
      <c r="B43" s="101">
        <f>AVERAGE(B21:B40)</f>
        <v>368.04200000000003</v>
      </c>
      <c r="C43" s="102">
        <f>AVERAGE(C21:C40)</f>
        <v>64.296999999999997</v>
      </c>
      <c r="D43" s="103">
        <f>AVERAGE(D21:D40)</f>
        <v>303.745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6">
        <f>D43</f>
        <v>303.745</v>
      </c>
      <c r="C47" s="107">
        <f>-(IF(D43&gt;300, 7.5%, 10%))</f>
        <v>-7.4999999999999997E-2</v>
      </c>
      <c r="D47" s="108">
        <f>IF(D43&lt;300, D43*0.9, D43*0.925)</f>
        <v>280.96412500000002</v>
      </c>
    </row>
    <row r="48" spans="1:15" ht="15.75" customHeight="1" x14ac:dyDescent="0.3">
      <c r="B48" s="307"/>
      <c r="C48" s="109">
        <f>+(IF(D43&gt;300, 7.5%, 10%))</f>
        <v>7.4999999999999997E-2</v>
      </c>
      <c r="D48" s="108">
        <f>IF(D43&lt;300, D43*1.1, D43*1.075)</f>
        <v>326.52587499999998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26</v>
      </c>
      <c r="C50" s="30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60" zoomScaleNormal="40" zoomScalePageLayoutView="50" workbookViewId="0">
      <selection activeCell="H73" sqref="H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49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50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9"/>
    </row>
    <row r="16" spans="1:9" ht="19.5" customHeight="1" x14ac:dyDescent="0.3">
      <c r="A16" s="312" t="s">
        <v>31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51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1" t="s">
        <v>33</v>
      </c>
      <c r="B18" s="311" t="s">
        <v>5</v>
      </c>
      <c r="C18" s="311"/>
      <c r="D18" s="284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7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6" t="s">
        <v>9</v>
      </c>
      <c r="C20" s="316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6" t="s">
        <v>11</v>
      </c>
      <c r="C21" s="316"/>
      <c r="D21" s="316"/>
      <c r="E21" s="316"/>
      <c r="F21" s="316"/>
      <c r="G21" s="316"/>
      <c r="H21" s="316"/>
      <c r="I21" s="125"/>
    </row>
    <row r="22" spans="1:14" ht="26.25" customHeight="1" x14ac:dyDescent="0.4">
      <c r="A22" s="121" t="s">
        <v>37</v>
      </c>
      <c r="B22" s="126">
        <v>42585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42586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1" t="s">
        <v>9</v>
      </c>
      <c r="C26" s="311"/>
    </row>
    <row r="27" spans="1:14" ht="26.25" customHeight="1" x14ac:dyDescent="0.4">
      <c r="A27" s="130" t="s">
        <v>52</v>
      </c>
      <c r="B27" s="317" t="s">
        <v>128</v>
      </c>
      <c r="C27" s="317"/>
    </row>
    <row r="28" spans="1:14" ht="27" customHeight="1" x14ac:dyDescent="0.4">
      <c r="A28" s="130" t="s">
        <v>6</v>
      </c>
      <c r="B28" s="131">
        <v>100.18</v>
      </c>
    </row>
    <row r="29" spans="1:14" s="14" customFormat="1" ht="27" customHeight="1" x14ac:dyDescent="0.4">
      <c r="A29" s="130" t="s">
        <v>53</v>
      </c>
      <c r="B29" s="132">
        <v>0</v>
      </c>
      <c r="C29" s="318" t="s">
        <v>54</v>
      </c>
      <c r="D29" s="319"/>
      <c r="E29" s="319"/>
      <c r="F29" s="319"/>
      <c r="G29" s="320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100.18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1" t="s">
        <v>57</v>
      </c>
      <c r="D31" s="322"/>
      <c r="E31" s="322"/>
      <c r="F31" s="322"/>
      <c r="G31" s="322"/>
      <c r="H31" s="323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1" t="s">
        <v>59</v>
      </c>
      <c r="D32" s="322"/>
      <c r="E32" s="322"/>
      <c r="F32" s="322"/>
      <c r="G32" s="322"/>
      <c r="H32" s="32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24" t="s">
        <v>63</v>
      </c>
      <c r="E36" s="325"/>
      <c r="F36" s="324" t="s">
        <v>64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10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50</v>
      </c>
      <c r="C38" s="152">
        <v>1</v>
      </c>
      <c r="D38" s="153">
        <v>37673158</v>
      </c>
      <c r="E38" s="154">
        <f>IF(ISBLANK(D38),"-",$D$48/$D$45*D38)</f>
        <v>34742671.985695519</v>
      </c>
      <c r="F38" s="153">
        <v>35118707</v>
      </c>
      <c r="G38" s="155">
        <f>IF(ISBLANK(F38),"-",$D$48/$F$45*F38)</f>
        <v>34888143.817243606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37714991</v>
      </c>
      <c r="E39" s="159">
        <f>IF(ISBLANK(D39),"-",$D$48/$D$45*D39)</f>
        <v>34781250.917601831</v>
      </c>
      <c r="F39" s="158">
        <v>35109996</v>
      </c>
      <c r="G39" s="160">
        <f>IF(ISBLANK(F39),"-",$D$48/$F$45*F39)</f>
        <v>34879490.007159084</v>
      </c>
      <c r="I39" s="328">
        <f>ABS((F43/D43*D42)-F42)/D42</f>
        <v>3.5597283352823265E-3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37761292</v>
      </c>
      <c r="E40" s="159">
        <f>IF(ISBLANK(D40),"-",$D$48/$D$45*D40)</f>
        <v>34823950.29670909</v>
      </c>
      <c r="F40" s="158">
        <v>35211549</v>
      </c>
      <c r="G40" s="160">
        <f>IF(ISBLANK(F40),"-",$D$48/$F$45*F40)</f>
        <v>34980376.286060885</v>
      </c>
      <c r="I40" s="328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37716480.333333336</v>
      </c>
      <c r="E42" s="169">
        <f>AVERAGE(E38:E41)</f>
        <v>34782624.400002144</v>
      </c>
      <c r="F42" s="168">
        <f>AVERAGE(F38:F41)</f>
        <v>35146750.666666664</v>
      </c>
      <c r="G42" s="170">
        <f>AVERAGE(G38:G41)</f>
        <v>34916003.370154522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13.53</v>
      </c>
      <c r="E43" s="161"/>
      <c r="F43" s="173">
        <v>12.56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13.53</v>
      </c>
      <c r="E44" s="176"/>
      <c r="F44" s="175">
        <f>F43*$B$34</f>
        <v>12.56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250</v>
      </c>
      <c r="C45" s="174" t="s">
        <v>81</v>
      </c>
      <c r="D45" s="178">
        <f>D44*$B$30/100</f>
        <v>13.554354</v>
      </c>
      <c r="E45" s="179"/>
      <c r="F45" s="178">
        <f>F44*$B$30/100</f>
        <v>12.582608000000002</v>
      </c>
      <c r="H45" s="171"/>
    </row>
    <row r="46" spans="1:14" ht="19.5" customHeight="1" x14ac:dyDescent="0.3">
      <c r="A46" s="329" t="s">
        <v>82</v>
      </c>
      <c r="B46" s="330"/>
      <c r="C46" s="174" t="s">
        <v>83</v>
      </c>
      <c r="D46" s="180">
        <f>D45/$B$45</f>
        <v>5.4217415999999997E-2</v>
      </c>
      <c r="E46" s="181"/>
      <c r="F46" s="182">
        <f>F45/$B$45</f>
        <v>5.0330432000000008E-2</v>
      </c>
      <c r="H46" s="171"/>
    </row>
    <row r="47" spans="1:14" ht="27" customHeight="1" x14ac:dyDescent="0.4">
      <c r="A47" s="331"/>
      <c r="B47" s="332"/>
      <c r="C47" s="183" t="s">
        <v>84</v>
      </c>
      <c r="D47" s="184">
        <v>0.05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12.5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12.5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34849313.885078341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2.4430893951210204E-3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Piroxicam 20 mg</v>
      </c>
    </row>
    <row r="56" spans="1:12" ht="26.25" customHeight="1" x14ac:dyDescent="0.4">
      <c r="A56" s="198" t="s">
        <v>91</v>
      </c>
      <c r="B56" s="199">
        <v>20</v>
      </c>
      <c r="C56" s="120" t="str">
        <f>B20</f>
        <v>Piroxicam</v>
      </c>
      <c r="H56" s="200"/>
    </row>
    <row r="57" spans="1:12" ht="18.75" x14ac:dyDescent="0.3">
      <c r="A57" s="197" t="s">
        <v>92</v>
      </c>
      <c r="B57" s="285">
        <f>Uniformity!D43</f>
        <v>303.745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5</v>
      </c>
      <c r="C60" s="333" t="s">
        <v>98</v>
      </c>
      <c r="D60" s="336">
        <v>751.49</v>
      </c>
      <c r="E60" s="203">
        <v>1</v>
      </c>
      <c r="F60" s="204">
        <v>34440609</v>
      </c>
      <c r="G60" s="286">
        <f>IF(ISBLANK(F60),"-",(F60/$D$50*$D$47*$B$68)*($B$57/$D$60))</f>
        <v>19.972504439085544</v>
      </c>
      <c r="H60" s="205">
        <f t="shared" ref="H60:H71" si="0">IF(ISBLANK(F60),"-",G60/$B$56)</f>
        <v>0.99862522195427716</v>
      </c>
      <c r="L60" s="133"/>
    </row>
    <row r="61" spans="1:12" s="14" customFormat="1" ht="26.25" customHeight="1" x14ac:dyDescent="0.4">
      <c r="A61" s="145" t="s">
        <v>99</v>
      </c>
      <c r="B61" s="146">
        <v>50</v>
      </c>
      <c r="C61" s="334"/>
      <c r="D61" s="337"/>
      <c r="E61" s="206">
        <v>2</v>
      </c>
      <c r="F61" s="158">
        <v>34431170</v>
      </c>
      <c r="G61" s="287">
        <f>IF(ISBLANK(F61),"-",(F61/$D$50*$D$47*$B$68)*($B$57/$D$60))</f>
        <v>19.967030654652739</v>
      </c>
      <c r="H61" s="207">
        <f t="shared" si="0"/>
        <v>0.99835153273263688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4"/>
      <c r="D62" s="337"/>
      <c r="E62" s="206">
        <v>3</v>
      </c>
      <c r="F62" s="208">
        <v>34448195</v>
      </c>
      <c r="G62" s="287">
        <f>IF(ISBLANK(F62),"-",(F62/$D$50*$D$47*$B$68)*($B$57/$D$60))</f>
        <v>19.976903647551193</v>
      </c>
      <c r="H62" s="207">
        <f t="shared" si="0"/>
        <v>0.9988451823775597</v>
      </c>
      <c r="L62" s="133"/>
    </row>
    <row r="63" spans="1:12" ht="27" customHeight="1" x14ac:dyDescent="0.4">
      <c r="A63" s="145" t="s">
        <v>101</v>
      </c>
      <c r="B63" s="146">
        <v>1</v>
      </c>
      <c r="C63" s="335"/>
      <c r="D63" s="338"/>
      <c r="E63" s="209">
        <v>4</v>
      </c>
      <c r="F63" s="210"/>
      <c r="G63" s="287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3" t="s">
        <v>103</v>
      </c>
      <c r="D64" s="336">
        <v>756.35</v>
      </c>
      <c r="E64" s="203">
        <v>1</v>
      </c>
      <c r="F64" s="204">
        <v>34681446</v>
      </c>
      <c r="G64" s="288">
        <f>IF(ISBLANK(F64),"-",(F64/$D$50*$D$47*$B$68)*($B$57/$D$64))</f>
        <v>19.982935897156267</v>
      </c>
      <c r="H64" s="211">
        <f t="shared" si="0"/>
        <v>0.99914679485781333</v>
      </c>
    </row>
    <row r="65" spans="1:8" ht="26.25" customHeight="1" x14ac:dyDescent="0.4">
      <c r="A65" s="145" t="s">
        <v>104</v>
      </c>
      <c r="B65" s="146">
        <v>1</v>
      </c>
      <c r="C65" s="334"/>
      <c r="D65" s="337"/>
      <c r="E65" s="206">
        <v>2</v>
      </c>
      <c r="F65" s="158">
        <v>34759134</v>
      </c>
      <c r="G65" s="289">
        <f>IF(ISBLANK(F65),"-",(F65/$D$50*$D$47*$B$68)*($B$57/$D$64))</f>
        <v>20.02769857296795</v>
      </c>
      <c r="H65" s="212">
        <f t="shared" si="0"/>
        <v>1.0013849286483976</v>
      </c>
    </row>
    <row r="66" spans="1:8" ht="26.25" customHeight="1" x14ac:dyDescent="0.4">
      <c r="A66" s="145" t="s">
        <v>105</v>
      </c>
      <c r="B66" s="146">
        <v>1</v>
      </c>
      <c r="C66" s="334"/>
      <c r="D66" s="337"/>
      <c r="E66" s="206">
        <v>3</v>
      </c>
      <c r="F66" s="158">
        <v>34789457</v>
      </c>
      <c r="G66" s="289">
        <f>IF(ISBLANK(F66),"-",(F66/$D$50*$D$47*$B$68)*($B$57/$D$64))</f>
        <v>20.045170236785236</v>
      </c>
      <c r="H66" s="212">
        <f t="shared" si="0"/>
        <v>1.0022585118392617</v>
      </c>
    </row>
    <row r="67" spans="1:8" ht="27" customHeight="1" x14ac:dyDescent="0.4">
      <c r="A67" s="145" t="s">
        <v>106</v>
      </c>
      <c r="B67" s="146">
        <v>1</v>
      </c>
      <c r="C67" s="335"/>
      <c r="D67" s="338"/>
      <c r="E67" s="209">
        <v>4</v>
      </c>
      <c r="F67" s="210"/>
      <c r="G67" s="290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1000</v>
      </c>
      <c r="C68" s="333" t="s">
        <v>108</v>
      </c>
      <c r="D68" s="336">
        <v>753.45</v>
      </c>
      <c r="E68" s="203">
        <v>1</v>
      </c>
      <c r="F68" s="204">
        <v>35965317</v>
      </c>
      <c r="G68" s="288">
        <f>IF(ISBLANK(F68),"-",(F68/$D$50*$D$47*$B$68)*($B$57/$D$68))</f>
        <v>20.802444175259961</v>
      </c>
      <c r="H68" s="207">
        <f t="shared" si="0"/>
        <v>1.040122208762998</v>
      </c>
    </row>
    <row r="69" spans="1:8" ht="27" customHeight="1" x14ac:dyDescent="0.4">
      <c r="A69" s="193" t="s">
        <v>109</v>
      </c>
      <c r="B69" s="215">
        <f>(D47*B68)/B56*B57</f>
        <v>759.36249999999995</v>
      </c>
      <c r="C69" s="334"/>
      <c r="D69" s="337"/>
      <c r="E69" s="206">
        <v>2</v>
      </c>
      <c r="F69" s="158">
        <v>36009673</v>
      </c>
      <c r="G69" s="289">
        <f>IF(ISBLANK(F69),"-",(F69/$D$50*$D$47*$B$68)*($B$57/$D$68))</f>
        <v>20.828099814937428</v>
      </c>
      <c r="H69" s="207">
        <f t="shared" si="0"/>
        <v>1.0414049907468714</v>
      </c>
    </row>
    <row r="70" spans="1:8" ht="26.25" customHeight="1" x14ac:dyDescent="0.4">
      <c r="A70" s="346" t="s">
        <v>82</v>
      </c>
      <c r="B70" s="347"/>
      <c r="C70" s="334"/>
      <c r="D70" s="337"/>
      <c r="E70" s="206">
        <v>3</v>
      </c>
      <c r="F70" s="158">
        <v>35924341</v>
      </c>
      <c r="G70" s="289">
        <f>IF(ISBLANK(F70),"-",(F70/$D$50*$D$47*$B$68)*($B$57/$D$68))</f>
        <v>20.778743537433648</v>
      </c>
      <c r="H70" s="207">
        <f t="shared" si="0"/>
        <v>1.0389371768716824</v>
      </c>
    </row>
    <row r="71" spans="1:8" ht="27" customHeight="1" x14ac:dyDescent="0.4">
      <c r="A71" s="348"/>
      <c r="B71" s="349"/>
      <c r="C71" s="345"/>
      <c r="D71" s="338"/>
      <c r="E71" s="209">
        <v>4</v>
      </c>
      <c r="F71" s="210"/>
      <c r="G71" s="290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5">
        <f>AVERAGE(G60:G71)</f>
        <v>20.264614552869997</v>
      </c>
      <c r="H72" s="220">
        <f>AVERAGE(H60:H71)</f>
        <v>1.0132307276435</v>
      </c>
    </row>
    <row r="73" spans="1:8" ht="26.25" customHeight="1" x14ac:dyDescent="0.4">
      <c r="C73" s="217"/>
      <c r="D73" s="217"/>
      <c r="E73" s="217"/>
      <c r="F73" s="221" t="s">
        <v>88</v>
      </c>
      <c r="G73" s="291">
        <f>STDEV(G60:G71)/G72</f>
        <v>1.9979444046129512E-2</v>
      </c>
      <c r="H73" s="352">
        <f>STDEV(H60:H71)/H72</f>
        <v>1.9979444046129509E-2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1" t="str">
        <f>B20</f>
        <v>Piroxicam</v>
      </c>
      <c r="D76" s="341"/>
      <c r="E76" s="226" t="s">
        <v>112</v>
      </c>
      <c r="F76" s="226"/>
      <c r="G76" s="227">
        <f>H72</f>
        <v>1.0132307276435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7" t="str">
        <f>B26</f>
        <v>Piroxicam</v>
      </c>
      <c r="C79" s="327"/>
    </row>
    <row r="80" spans="1:8" ht="26.25" customHeight="1" x14ac:dyDescent="0.4">
      <c r="A80" s="130" t="s">
        <v>52</v>
      </c>
      <c r="B80" s="327" t="str">
        <f>B27</f>
        <v>P32-1</v>
      </c>
      <c r="C80" s="327"/>
    </row>
    <row r="81" spans="1:12" ht="27" customHeight="1" x14ac:dyDescent="0.4">
      <c r="A81" s="130" t="s">
        <v>6</v>
      </c>
      <c r="B81" s="229">
        <f>B28</f>
        <v>100.18</v>
      </c>
    </row>
    <row r="82" spans="1:12" s="14" customFormat="1" ht="27" customHeight="1" x14ac:dyDescent="0.4">
      <c r="A82" s="130" t="s">
        <v>53</v>
      </c>
      <c r="B82" s="132">
        <v>0</v>
      </c>
      <c r="C82" s="318" t="s">
        <v>54</v>
      </c>
      <c r="D82" s="319"/>
      <c r="E82" s="319"/>
      <c r="F82" s="319"/>
      <c r="G82" s="320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100.18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1" t="s">
        <v>115</v>
      </c>
      <c r="D84" s="322"/>
      <c r="E84" s="322"/>
      <c r="F84" s="322"/>
      <c r="G84" s="322"/>
      <c r="H84" s="323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1" t="s">
        <v>116</v>
      </c>
      <c r="D85" s="322"/>
      <c r="E85" s="322"/>
      <c r="F85" s="322"/>
      <c r="G85" s="322"/>
      <c r="H85" s="32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50</v>
      </c>
      <c r="D89" s="230" t="s">
        <v>63</v>
      </c>
      <c r="E89" s="231"/>
      <c r="F89" s="324" t="s">
        <v>64</v>
      </c>
      <c r="G89" s="326"/>
    </row>
    <row r="90" spans="1:12" ht="27" customHeight="1" x14ac:dyDescent="0.4">
      <c r="A90" s="145" t="s">
        <v>65</v>
      </c>
      <c r="B90" s="146">
        <v>15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100</v>
      </c>
      <c r="C91" s="234">
        <v>1</v>
      </c>
      <c r="D91" s="153">
        <v>0.57199999999999995</v>
      </c>
      <c r="E91" s="154">
        <f>IF(ISBLANK(D91),"-",$D$101/$D$98*D91)</f>
        <v>0.69620149361388783</v>
      </c>
      <c r="F91" s="153">
        <v>0.60499999999999998</v>
      </c>
      <c r="G91" s="155">
        <f>IF(ISBLANK(F91),"-",$D$101/$F$98*F91)</f>
        <v>0.70006718446412741</v>
      </c>
      <c r="I91" s="156"/>
    </row>
    <row r="92" spans="1:12" ht="26.25" customHeight="1" x14ac:dyDescent="0.4">
      <c r="A92" s="145" t="s">
        <v>71</v>
      </c>
      <c r="B92" s="146">
        <v>10</v>
      </c>
      <c r="C92" s="218">
        <v>2</v>
      </c>
      <c r="D92" s="158">
        <v>0.57199999999999995</v>
      </c>
      <c r="E92" s="159">
        <f>IF(ISBLANK(D92),"-",$D$101/$D$98*D92)</f>
        <v>0.69620149361388783</v>
      </c>
      <c r="F92" s="158">
        <v>0.60499999999999998</v>
      </c>
      <c r="G92" s="160">
        <f>IF(ISBLANK(F92),"-",$D$101/$F$98*F92)</f>
        <v>0.70006718446412741</v>
      </c>
      <c r="I92" s="328">
        <f>ABS((F96/D96*D95)-F95)/D95</f>
        <v>5.874095670014067E-3</v>
      </c>
    </row>
    <row r="93" spans="1:12" ht="26.25" customHeight="1" x14ac:dyDescent="0.4">
      <c r="A93" s="145" t="s">
        <v>72</v>
      </c>
      <c r="B93" s="146">
        <v>100</v>
      </c>
      <c r="C93" s="218">
        <v>3</v>
      </c>
      <c r="D93" s="158">
        <v>0.57099999999999995</v>
      </c>
      <c r="E93" s="159">
        <f>IF(ISBLANK(D93),"-",$D$101/$D$98*D93)</f>
        <v>0.69498435813554182</v>
      </c>
      <c r="F93" s="158">
        <v>0.60399999999999998</v>
      </c>
      <c r="G93" s="160">
        <f>IF(ISBLANK(F93),"-",$D$101/$F$98*F93)</f>
        <v>0.69891004862203798</v>
      </c>
      <c r="I93" s="328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350">
        <f>AVERAGE(D91:D94)</f>
        <v>0.57166666666666666</v>
      </c>
      <c r="E95" s="169">
        <f>AVERAGE(E91:E94)</f>
        <v>0.69579578178777257</v>
      </c>
      <c r="F95" s="351">
        <f>AVERAGE(F91:F94)</f>
        <v>0.60466666666666669</v>
      </c>
      <c r="G95" s="238">
        <f>AVERAGE(G91:G94)</f>
        <v>0.69968147251676427</v>
      </c>
    </row>
    <row r="96" spans="1:12" ht="26.25" customHeight="1" x14ac:dyDescent="0.4">
      <c r="A96" s="145" t="s">
        <v>76</v>
      </c>
      <c r="B96" s="131">
        <v>1</v>
      </c>
      <c r="C96" s="239" t="s">
        <v>117</v>
      </c>
      <c r="D96" s="240">
        <v>24.3</v>
      </c>
      <c r="E96" s="161"/>
      <c r="F96" s="173">
        <v>25.56</v>
      </c>
    </row>
    <row r="97" spans="1:10" ht="26.25" customHeight="1" x14ac:dyDescent="0.4">
      <c r="A97" s="145" t="s">
        <v>78</v>
      </c>
      <c r="B97" s="131">
        <v>1</v>
      </c>
      <c r="C97" s="241" t="s">
        <v>118</v>
      </c>
      <c r="D97" s="242">
        <f>D96*$B$87</f>
        <v>24.3</v>
      </c>
      <c r="E97" s="176"/>
      <c r="F97" s="175">
        <f>F96*$B$87</f>
        <v>25.56</v>
      </c>
    </row>
    <row r="98" spans="1:10" ht="19.5" customHeight="1" x14ac:dyDescent="0.3">
      <c r="A98" s="145" t="s">
        <v>80</v>
      </c>
      <c r="B98" s="243">
        <f>(B97/B96)*(B95/B94)*(B93/B92)*(B91/B90)*B89</f>
        <v>3333.3333333333335</v>
      </c>
      <c r="C98" s="241" t="s">
        <v>119</v>
      </c>
      <c r="D98" s="244">
        <f>D97*$B$83/100</f>
        <v>24.343740000000004</v>
      </c>
      <c r="E98" s="179"/>
      <c r="F98" s="178">
        <f>F97*$B$83/100</f>
        <v>25.606008000000003</v>
      </c>
    </row>
    <row r="99" spans="1:10" ht="19.5" customHeight="1" x14ac:dyDescent="0.3">
      <c r="A99" s="329" t="s">
        <v>82</v>
      </c>
      <c r="B99" s="343"/>
      <c r="C99" s="241" t="s">
        <v>120</v>
      </c>
      <c r="D99" s="245">
        <f>D98/$B$98</f>
        <v>7.3031220000000004E-3</v>
      </c>
      <c r="E99" s="179"/>
      <c r="F99" s="182">
        <f>F98/$B$98</f>
        <v>7.6818024000000007E-3</v>
      </c>
      <c r="G99" s="246"/>
      <c r="H99" s="171"/>
    </row>
    <row r="100" spans="1:10" ht="19.5" customHeight="1" x14ac:dyDescent="0.3">
      <c r="A100" s="331"/>
      <c r="B100" s="344"/>
      <c r="C100" s="241" t="s">
        <v>84</v>
      </c>
      <c r="D100" s="247">
        <f>$B$56/$B$116</f>
        <v>8.8888888888888889E-3</v>
      </c>
      <c r="F100" s="187"/>
      <c r="G100" s="248"/>
      <c r="H100" s="171"/>
    </row>
    <row r="101" spans="1:10" ht="18.75" x14ac:dyDescent="0.3">
      <c r="C101" s="241" t="s">
        <v>85</v>
      </c>
      <c r="D101" s="242">
        <f>D100*$B$98</f>
        <v>29.62962962962963</v>
      </c>
      <c r="F101" s="187"/>
      <c r="G101" s="246"/>
      <c r="H101" s="171"/>
    </row>
    <row r="102" spans="1:10" ht="19.5" customHeight="1" x14ac:dyDescent="0.3">
      <c r="C102" s="249" t="s">
        <v>86</v>
      </c>
      <c r="D102" s="250">
        <f>D101/B34</f>
        <v>29.62962962962963</v>
      </c>
      <c r="F102" s="191"/>
      <c r="G102" s="246"/>
      <c r="H102" s="171"/>
      <c r="J102" s="251"/>
    </row>
    <row r="103" spans="1:10" ht="18.75" x14ac:dyDescent="0.3">
      <c r="C103" s="252" t="s">
        <v>121</v>
      </c>
      <c r="D103" s="253">
        <f>AVERAGE(E91:E94,G91:G94)</f>
        <v>0.69773862715226842</v>
      </c>
      <c r="F103" s="191"/>
      <c r="G103" s="254"/>
      <c r="H103" s="171"/>
      <c r="J103" s="255"/>
    </row>
    <row r="104" spans="1:10" ht="18.75" x14ac:dyDescent="0.3">
      <c r="C104" s="221" t="s">
        <v>88</v>
      </c>
      <c r="D104" s="256">
        <f>STDEV(E91:E94,G91:G94)/D103</f>
        <v>3.1743482457811177E-3</v>
      </c>
      <c r="F104" s="191"/>
      <c r="G104" s="246"/>
      <c r="H104" s="171"/>
      <c r="J104" s="255"/>
    </row>
    <row r="105" spans="1:10" ht="19.5" customHeight="1" x14ac:dyDescent="0.3">
      <c r="C105" s="223" t="s">
        <v>20</v>
      </c>
      <c r="D105" s="257">
        <f>COUNT(E91:E94,G91:G94)</f>
        <v>6</v>
      </c>
      <c r="F105" s="191"/>
      <c r="G105" s="246"/>
      <c r="H105" s="171"/>
      <c r="J105" s="255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58" t="s">
        <v>41</v>
      </c>
      <c r="D107" s="259" t="s">
        <v>67</v>
      </c>
      <c r="E107" s="260" t="s">
        <v>123</v>
      </c>
      <c r="F107" s="261" t="s">
        <v>124</v>
      </c>
    </row>
    <row r="108" spans="1:10" ht="26.25" customHeight="1" x14ac:dyDescent="0.4">
      <c r="A108" s="145" t="s">
        <v>125</v>
      </c>
      <c r="B108" s="146">
        <v>10</v>
      </c>
      <c r="C108" s="262">
        <v>1</v>
      </c>
      <c r="D108" s="300">
        <v>0.65900000000000003</v>
      </c>
      <c r="E108" s="292">
        <f t="shared" ref="E108:E113" si="1">IF(ISBLANK(D108),"-",D108/$D$103*$D$100*$B$116)</f>
        <v>18.889594881384877</v>
      </c>
      <c r="F108" s="263">
        <f t="shared" ref="F108:F113" si="2">IF(ISBLANK(D108), "-", E108/$B$56)</f>
        <v>0.94447974406924384</v>
      </c>
    </row>
    <row r="109" spans="1:10" ht="26.25" customHeight="1" x14ac:dyDescent="0.4">
      <c r="A109" s="145" t="s">
        <v>99</v>
      </c>
      <c r="B109" s="146">
        <v>25</v>
      </c>
      <c r="C109" s="262">
        <v>2</v>
      </c>
      <c r="D109" s="300">
        <v>0.7</v>
      </c>
      <c r="E109" s="293">
        <f t="shared" si="1"/>
        <v>20.064820056099258</v>
      </c>
      <c r="F109" s="264">
        <f t="shared" si="2"/>
        <v>1.003241002804963</v>
      </c>
    </row>
    <row r="110" spans="1:10" ht="26.25" customHeight="1" x14ac:dyDescent="0.4">
      <c r="A110" s="145" t="s">
        <v>100</v>
      </c>
      <c r="B110" s="146">
        <v>1</v>
      </c>
      <c r="C110" s="262">
        <v>3</v>
      </c>
      <c r="D110" s="300">
        <v>0.67200000000000004</v>
      </c>
      <c r="E110" s="293">
        <f t="shared" si="1"/>
        <v>19.262227253855293</v>
      </c>
      <c r="F110" s="264">
        <f t="shared" si="2"/>
        <v>0.96311136269276465</v>
      </c>
    </row>
    <row r="111" spans="1:10" ht="26.25" customHeight="1" x14ac:dyDescent="0.4">
      <c r="A111" s="145" t="s">
        <v>101</v>
      </c>
      <c r="B111" s="146">
        <v>1</v>
      </c>
      <c r="C111" s="262">
        <v>4</v>
      </c>
      <c r="D111" s="300">
        <v>0.66300000000000003</v>
      </c>
      <c r="E111" s="293">
        <f t="shared" si="1"/>
        <v>19.004250995991157</v>
      </c>
      <c r="F111" s="264">
        <f t="shared" si="2"/>
        <v>0.95021254979955783</v>
      </c>
    </row>
    <row r="112" spans="1:10" ht="26.25" customHeight="1" x14ac:dyDescent="0.4">
      <c r="A112" s="145" t="s">
        <v>102</v>
      </c>
      <c r="B112" s="146">
        <v>1</v>
      </c>
      <c r="C112" s="262">
        <v>5</v>
      </c>
      <c r="D112" s="300">
        <v>0.7</v>
      </c>
      <c r="E112" s="293">
        <f t="shared" si="1"/>
        <v>20.064820056099258</v>
      </c>
      <c r="F112" s="264">
        <f t="shared" si="2"/>
        <v>1.003241002804963</v>
      </c>
    </row>
    <row r="113" spans="1:10" ht="26.25" customHeight="1" x14ac:dyDescent="0.4">
      <c r="A113" s="145" t="s">
        <v>104</v>
      </c>
      <c r="B113" s="146">
        <v>1</v>
      </c>
      <c r="C113" s="265">
        <v>6</v>
      </c>
      <c r="D113" s="301">
        <v>0.67200000000000004</v>
      </c>
      <c r="E113" s="294">
        <f t="shared" si="1"/>
        <v>19.262227253855293</v>
      </c>
      <c r="F113" s="266">
        <f t="shared" si="2"/>
        <v>0.96311136269276465</v>
      </c>
    </row>
    <row r="114" spans="1:10" ht="26.25" customHeight="1" x14ac:dyDescent="0.4">
      <c r="A114" s="145" t="s">
        <v>105</v>
      </c>
      <c r="B114" s="146">
        <v>1</v>
      </c>
      <c r="C114" s="262"/>
      <c r="D114" s="218"/>
      <c r="E114" s="119"/>
      <c r="F114" s="267"/>
    </row>
    <row r="115" spans="1:10" ht="26.25" customHeight="1" x14ac:dyDescent="0.4">
      <c r="A115" s="145" t="s">
        <v>106</v>
      </c>
      <c r="B115" s="146">
        <v>1</v>
      </c>
      <c r="C115" s="262"/>
      <c r="D115" s="268" t="s">
        <v>75</v>
      </c>
      <c r="E115" s="296">
        <f>AVERAGE(E108:E113)</f>
        <v>19.42465674954752</v>
      </c>
      <c r="F115" s="269">
        <f>AVERAGE(F108:F113)</f>
        <v>0.9712328374773761</v>
      </c>
    </row>
    <row r="116" spans="1:10" ht="27" customHeight="1" x14ac:dyDescent="0.4">
      <c r="A116" s="145" t="s">
        <v>107</v>
      </c>
      <c r="B116" s="177">
        <f>(B115/B114)*(B113/B112)*(B111/B110)*(B109/B108)*B107</f>
        <v>2250</v>
      </c>
      <c r="C116" s="270"/>
      <c r="D116" s="237" t="s">
        <v>88</v>
      </c>
      <c r="E116" s="271">
        <f>STDEV(E108:E113)/E115</f>
        <v>2.6605418519178262E-2</v>
      </c>
      <c r="F116" s="271">
        <f>STDEV(F108:F113)/F115</f>
        <v>2.660541851917831E-2</v>
      </c>
      <c r="I116" s="119"/>
    </row>
    <row r="117" spans="1:10" ht="27" customHeight="1" x14ac:dyDescent="0.4">
      <c r="A117" s="329" t="s">
        <v>82</v>
      </c>
      <c r="B117" s="330"/>
      <c r="C117" s="272"/>
      <c r="D117" s="273" t="s">
        <v>20</v>
      </c>
      <c r="E117" s="274">
        <f>COUNT(E108:E113)</f>
        <v>6</v>
      </c>
      <c r="F117" s="274">
        <f>COUNT(F108:F113)</f>
        <v>6</v>
      </c>
      <c r="I117" s="119"/>
      <c r="J117" s="255"/>
    </row>
    <row r="118" spans="1:10" ht="19.5" customHeight="1" x14ac:dyDescent="0.3">
      <c r="A118" s="331"/>
      <c r="B118" s="33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3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1" t="str">
        <f>B20</f>
        <v>Piroxicam</v>
      </c>
      <c r="D120" s="341"/>
      <c r="E120" s="226" t="s">
        <v>127</v>
      </c>
      <c r="F120" s="226"/>
      <c r="G120" s="227">
        <f>F115</f>
        <v>0.9712328374773761</v>
      </c>
      <c r="H120" s="119"/>
      <c r="I120" s="119"/>
    </row>
    <row r="121" spans="1:10" ht="19.5" customHeight="1" x14ac:dyDescent="0.3">
      <c r="A121" s="275"/>
      <c r="B121" s="275"/>
      <c r="C121" s="276"/>
      <c r="D121" s="276"/>
      <c r="E121" s="276"/>
      <c r="F121" s="276"/>
      <c r="G121" s="276"/>
      <c r="H121" s="276"/>
    </row>
    <row r="122" spans="1:10" ht="18.75" x14ac:dyDescent="0.3">
      <c r="B122" s="342" t="s">
        <v>26</v>
      </c>
      <c r="C122" s="342"/>
      <c r="E122" s="232" t="s">
        <v>27</v>
      </c>
      <c r="F122" s="277"/>
      <c r="G122" s="342" t="s">
        <v>28</v>
      </c>
      <c r="H122" s="342"/>
    </row>
    <row r="123" spans="1:10" ht="69.95" customHeight="1" x14ac:dyDescent="0.3">
      <c r="A123" s="278" t="s">
        <v>29</v>
      </c>
      <c r="B123" s="279"/>
      <c r="C123" s="279"/>
      <c r="E123" s="279"/>
      <c r="F123" s="119"/>
      <c r="G123" s="280"/>
      <c r="H123" s="280"/>
    </row>
    <row r="124" spans="1:10" ht="69.95" customHeight="1" x14ac:dyDescent="0.3">
      <c r="A124" s="278" t="s">
        <v>30</v>
      </c>
      <c r="B124" s="281"/>
      <c r="C124" s="281"/>
      <c r="E124" s="281"/>
      <c r="F124" s="119"/>
      <c r="G124" s="282"/>
      <c r="H124" s="282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Piroxicam</vt:lpstr>
      <vt:lpstr>Piroxicam!Print_Area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2016-10-13T12:22:31Z</cp:lastPrinted>
  <dcterms:created xsi:type="dcterms:W3CDTF">2005-07-05T10:19:27Z</dcterms:created>
  <dcterms:modified xsi:type="dcterms:W3CDTF">2016-10-13T12:24:34Z</dcterms:modified>
</cp:coreProperties>
</file>