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" sheetId="2" r:id="rId2"/>
    <sheet name="amoxicillin" sheetId="3" r:id="rId3"/>
    <sheet name="Clavulanate lithium" sheetId="4" r:id="rId4"/>
  </sheets>
  <calcPr calcId="145621"/>
</workbook>
</file>

<file path=xl/calcChain.xml><?xml version="1.0" encoding="utf-8"?>
<calcChain xmlns="http://schemas.openxmlformats.org/spreadsheetml/2006/main">
  <c r="B57" i="4" l="1"/>
  <c r="B57" i="3"/>
  <c r="C76" i="4" l="1"/>
  <c r="H71" i="4"/>
  <c r="G71" i="4"/>
  <c r="B68" i="4"/>
  <c r="G70" i="4" s="1"/>
  <c r="H70" i="4" s="1"/>
  <c r="H67" i="4"/>
  <c r="G67" i="4"/>
  <c r="G66" i="4"/>
  <c r="H66" i="4" s="1"/>
  <c r="G65" i="4"/>
  <c r="H65" i="4" s="1"/>
  <c r="G64" i="4"/>
  <c r="H64" i="4" s="1"/>
  <c r="H63" i="4"/>
  <c r="G63" i="4"/>
  <c r="G62" i="4"/>
  <c r="H62" i="4" s="1"/>
  <c r="G61" i="4"/>
  <c r="H61" i="4" s="1"/>
  <c r="G60" i="4"/>
  <c r="H60" i="4" s="1"/>
  <c r="B69" i="4"/>
  <c r="C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76" i="3"/>
  <c r="H71" i="3"/>
  <c r="G71" i="3"/>
  <c r="G70" i="3"/>
  <c r="H70" i="3" s="1"/>
  <c r="G69" i="3"/>
  <c r="H69" i="3" s="1"/>
  <c r="G68" i="3"/>
  <c r="H68" i="3" s="1"/>
  <c r="B68" i="3"/>
  <c r="H67" i="3"/>
  <c r="G67" i="3"/>
  <c r="G66" i="3"/>
  <c r="H66" i="3" s="1"/>
  <c r="G65" i="3"/>
  <c r="H65" i="3" s="1"/>
  <c r="G64" i="3"/>
  <c r="H64" i="3" s="1"/>
  <c r="H63" i="3"/>
  <c r="G63" i="3"/>
  <c r="G62" i="3"/>
  <c r="H62" i="3" s="1"/>
  <c r="G61" i="3"/>
  <c r="H61" i="3" s="1"/>
  <c r="G60" i="3"/>
  <c r="H60" i="3" s="1"/>
  <c r="B69" i="3"/>
  <c r="C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68" i="4" l="1"/>
  <c r="H68" i="4" s="1"/>
  <c r="G69" i="4"/>
  <c r="H69" i="4" s="1"/>
  <c r="H74" i="4"/>
  <c r="D45" i="4"/>
  <c r="F45" i="4"/>
  <c r="H72" i="4"/>
  <c r="H73" i="4" s="1"/>
  <c r="E40" i="3"/>
  <c r="H72" i="3"/>
  <c r="H73" i="3" s="1"/>
  <c r="D45" i="3"/>
  <c r="E38" i="3" s="1"/>
  <c r="H74" i="3"/>
  <c r="F45" i="3"/>
  <c r="E23" i="2"/>
  <c r="E39" i="2"/>
  <c r="E29" i="2"/>
  <c r="D43" i="2"/>
  <c r="E31" i="2" s="1"/>
  <c r="F46" i="4" l="1"/>
  <c r="G40" i="4"/>
  <c r="G39" i="4"/>
  <c r="G38" i="4"/>
  <c r="G76" i="4"/>
  <c r="D46" i="4"/>
  <c r="E39" i="4"/>
  <c r="E40" i="4"/>
  <c r="E38" i="4"/>
  <c r="F46" i="3"/>
  <c r="G38" i="3"/>
  <c r="G40" i="3"/>
  <c r="G39" i="3"/>
  <c r="G76" i="3"/>
  <c r="D46" i="3"/>
  <c r="E39" i="3"/>
  <c r="E42" i="3" s="1"/>
  <c r="E25" i="2"/>
  <c r="E35" i="2"/>
  <c r="D48" i="2"/>
  <c r="B47" i="2"/>
  <c r="E36" i="2"/>
  <c r="E30" i="2"/>
  <c r="E22" i="2"/>
  <c r="C48" i="2"/>
  <c r="C47" i="2"/>
  <c r="E40" i="2"/>
  <c r="E38" i="2"/>
  <c r="E34" i="2"/>
  <c r="E32" i="2"/>
  <c r="E28" i="2"/>
  <c r="E24" i="2"/>
  <c r="D47" i="2"/>
  <c r="E26" i="2"/>
  <c r="E37" i="2"/>
  <c r="E21" i="2"/>
  <c r="E33" i="2"/>
  <c r="E27" i="2"/>
  <c r="G42" i="4" l="1"/>
  <c r="D50" i="4"/>
  <c r="D51" i="4" s="1"/>
  <c r="D52" i="4"/>
  <c r="E42" i="4"/>
  <c r="G42" i="3"/>
  <c r="D50" i="3"/>
  <c r="D51" i="3" s="1"/>
  <c r="D52" i="3"/>
</calcChain>
</file>

<file path=xl/sharedStrings.xml><?xml version="1.0" encoding="utf-8"?>
<sst xmlns="http://schemas.openxmlformats.org/spreadsheetml/2006/main" count="266" uniqueCount="118">
  <si>
    <t>HPLC System Suitability Report</t>
  </si>
  <si>
    <t>Analysis Data</t>
  </si>
  <si>
    <t>Assay</t>
  </si>
  <si>
    <t>Sample(s)</t>
  </si>
  <si>
    <t>Reference Substance:</t>
  </si>
  <si>
    <t>JUIMENTIN 1.2 G INJECTION</t>
  </si>
  <si>
    <t>% age Purity:</t>
  </si>
  <si>
    <t>NDQD201605949</t>
  </si>
  <si>
    <t>Weight (mg):</t>
  </si>
  <si>
    <t>Amoxicillin and Clavulanic Acid</t>
  </si>
  <si>
    <t>Standard Conc (mg/mL):</t>
  </si>
  <si>
    <t>Each vial contains Amoxicillin 1 G and Clavulanic Acid 200 mg</t>
  </si>
  <si>
    <t>2016-05-13 15:24:22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</si>
  <si>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</si>
  <si>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</si>
  <si>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</si>
  <si>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</si>
  <si>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</si>
  <si>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</si>
  <si>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</si>
  <si>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</si>
  <si>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</si>
  <si>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</si>
  <si>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</si>
  <si>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</si>
  <si>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</si>
  <si>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</si>
  <si>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</si>
  <si>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</si>
  <si>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</si>
  <si>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</si>
  <si>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</si>
  <si>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</si>
  <si>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</si>
  <si>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</si>
  <si>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</si>
  <si>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</si>
  <si>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</si>
  <si>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</si>
  <si>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2016-06-29 14:46:03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</si>
  <si>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</si>
  <si>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</si>
  <si>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</si>
  <si>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</si>
  <si>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</si>
  <si>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</si>
  <si>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</si>
  <si>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</si>
  <si>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</si>
  <si>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</si>
  <si>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</si>
  <si>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</si>
  <si>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</si>
  <si>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</si>
  <si>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</si>
  <si>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</si>
  <si>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</si>
  <si>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</si>
  <si>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</si>
  <si>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</si>
  <si>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</si>
  <si>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</si>
  <si>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</si>
  <si>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</si>
  <si>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</si>
  <si>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</si>
  <si>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</si>
  <si>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</si>
  <si>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</si>
  <si>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</si>
  <si>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</si>
  <si>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</si>
  <si>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</si>
  <si>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</si>
  <si>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</si>
  <si>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</si>
  <si>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</si>
  <si>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</si>
  <si>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</si>
  <si>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</si>
  <si>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</si>
  <si>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</si>
  <si>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</si>
  <si>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</si>
  <si>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</si>
  <si>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</si>
  <si>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</si>
  <si>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</si>
  <si>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</si>
  <si>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</si>
  <si>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</si>
  <si>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</si>
  <si>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</si>
  <si>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</si>
  <si>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</si>
  <si>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</si>
  <si>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</si>
  <si>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</si>
  <si>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</si>
  <si>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</si>
  <si>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</si>
  <si>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</si>
  <si>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</si>
  <si>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</si>
  <si>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</si>
  <si>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</si>
  <si>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</si>
  <si>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</si>
  <si>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</si>
  <si>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</si>
  <si>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</si>
  <si>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</si>
  <si>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Amoxicillin</t>
  </si>
  <si>
    <t>WRS A1-3</t>
  </si>
  <si>
    <t>Clavulanic acid</t>
  </si>
  <si>
    <t>wrs c64-3</t>
  </si>
  <si>
    <t>amoxicillin</t>
  </si>
  <si>
    <t>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</si>
</sst>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45" sqref="E4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20.63</v>
      </c>
      <c r="C20" s="10"/>
      <c r="D20" s="10"/>
      <c r="E20" s="10"/>
    </row>
    <row r="21" spans="1:6" ht="16.5" customHeight="1" x14ac:dyDescent="0.3">
      <c r="A21" s="7" t="s">
        <v>10</v>
      </c>
      <c r="B21" s="13">
        <v>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120272327</v>
      </c>
      <c r="C24" s="18">
        <v>5452.15</v>
      </c>
      <c r="D24" s="19">
        <v>1.04</v>
      </c>
      <c r="E24" s="20">
        <v>5.25</v>
      </c>
    </row>
    <row r="25" spans="1:6" ht="16.5" customHeight="1" x14ac:dyDescent="0.3">
      <c r="A25" s="17">
        <v>2</v>
      </c>
      <c r="B25" s="18">
        <v>118993952</v>
      </c>
      <c r="C25" s="18">
        <v>5614.24</v>
      </c>
      <c r="D25" s="19">
        <v>1.05</v>
      </c>
      <c r="E25" s="19">
        <v>5.25</v>
      </c>
    </row>
    <row r="26" spans="1:6" ht="16.5" customHeight="1" x14ac:dyDescent="0.3">
      <c r="A26" s="17">
        <v>3</v>
      </c>
      <c r="B26" s="18">
        <v>119419662</v>
      </c>
      <c r="C26" s="18">
        <v>5665.93</v>
      </c>
      <c r="D26" s="19">
        <v>1.03</v>
      </c>
      <c r="E26" s="19">
        <v>5.25</v>
      </c>
    </row>
    <row r="27" spans="1:6" ht="16.5" customHeight="1" x14ac:dyDescent="0.3">
      <c r="A27" s="17">
        <v>4</v>
      </c>
      <c r="B27" s="18">
        <v>119876489</v>
      </c>
      <c r="C27" s="18">
        <v>5646.48</v>
      </c>
      <c r="D27" s="19">
        <v>1.03</v>
      </c>
      <c r="E27" s="19">
        <v>5.24</v>
      </c>
    </row>
    <row r="28" spans="1:6" ht="16.5" customHeight="1" x14ac:dyDescent="0.3">
      <c r="A28" s="17">
        <v>5</v>
      </c>
      <c r="B28" s="18">
        <v>120001453</v>
      </c>
      <c r="C28" s="18">
        <v>5646.01</v>
      </c>
      <c r="D28" s="19">
        <v>1.05</v>
      </c>
      <c r="E28" s="19">
        <v>5.24</v>
      </c>
    </row>
    <row r="29" spans="1:6" ht="16.5" customHeight="1" x14ac:dyDescent="0.3">
      <c r="A29" s="17">
        <v>6</v>
      </c>
      <c r="B29" s="21">
        <v>120145001</v>
      </c>
      <c r="C29" s="21">
        <v>5639.71</v>
      </c>
      <c r="D29" s="22">
        <v>1.06</v>
      </c>
      <c r="E29" s="22">
        <v>5.23</v>
      </c>
    </row>
    <row r="30" spans="1:6" ht="16.5" customHeight="1" x14ac:dyDescent="0.3">
      <c r="A30" s="23" t="s">
        <v>18</v>
      </c>
      <c r="B30" s="24">
        <f>AVERAGE(B24:B29)</f>
        <v>119784814</v>
      </c>
      <c r="C30" s="25">
        <f>AVERAGE(C24:C29)</f>
        <v>5610.7533333333331</v>
      </c>
      <c r="D30" s="26">
        <f>AVERAGE(D24:D29)</f>
        <v>1.0433333333333332</v>
      </c>
      <c r="E30" s="26">
        <f>AVERAGE(E24:E29)</f>
        <v>5.2433333333333341</v>
      </c>
    </row>
    <row r="31" spans="1:6" ht="16.5" customHeight="1" x14ac:dyDescent="0.3">
      <c r="A31" s="27" t="s">
        <v>19</v>
      </c>
      <c r="B31" s="28">
        <f>(STDEV(B24:B29)/B30)</f>
        <v>4.0582357701072812E-3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117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96.96</v>
      </c>
      <c r="C40" s="10"/>
      <c r="D40" s="10"/>
      <c r="E40" s="10"/>
    </row>
    <row r="41" spans="1:6" ht="16.5" customHeight="1" x14ac:dyDescent="0.3">
      <c r="A41" s="7" t="s">
        <v>8</v>
      </c>
      <c r="B41" s="12">
        <v>9.7799999999999994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14649357</v>
      </c>
      <c r="C45" s="18">
        <v>9039.1</v>
      </c>
      <c r="D45" s="19">
        <v>3.53</v>
      </c>
      <c r="E45" s="20">
        <v>1.1299999999999999</v>
      </c>
    </row>
    <row r="46" spans="1:6" ht="16.5" customHeight="1" x14ac:dyDescent="0.3">
      <c r="A46" s="17">
        <v>2</v>
      </c>
      <c r="B46" s="18">
        <v>14496762</v>
      </c>
      <c r="C46" s="18">
        <v>8977.9</v>
      </c>
      <c r="D46" s="19">
        <v>3.53</v>
      </c>
      <c r="E46" s="19">
        <v>1.1200000000000001</v>
      </c>
    </row>
    <row r="47" spans="1:6" ht="16.5" customHeight="1" x14ac:dyDescent="0.3">
      <c r="A47" s="17">
        <v>3</v>
      </c>
      <c r="B47" s="18">
        <v>14576591</v>
      </c>
      <c r="C47" s="18">
        <v>9045.4699999999993</v>
      </c>
      <c r="D47" s="19">
        <v>3.53</v>
      </c>
      <c r="E47" s="19">
        <v>1.1000000000000001</v>
      </c>
    </row>
    <row r="48" spans="1:6" ht="16.5" customHeight="1" x14ac:dyDescent="0.3">
      <c r="A48" s="17">
        <v>4</v>
      </c>
      <c r="B48" s="18">
        <v>14620612</v>
      </c>
      <c r="C48" s="18">
        <v>9072.49</v>
      </c>
      <c r="D48" s="19">
        <v>3.53</v>
      </c>
      <c r="E48" s="19">
        <v>1.08</v>
      </c>
    </row>
    <row r="49" spans="1:7" ht="16.5" customHeight="1" x14ac:dyDescent="0.3">
      <c r="A49" s="17">
        <v>5</v>
      </c>
      <c r="B49" s="18">
        <v>14647821</v>
      </c>
      <c r="C49" s="18">
        <v>9075.1</v>
      </c>
      <c r="D49" s="19">
        <v>3.53</v>
      </c>
      <c r="E49" s="19">
        <v>1.08</v>
      </c>
    </row>
    <row r="50" spans="1:7" ht="16.5" customHeight="1" x14ac:dyDescent="0.3">
      <c r="A50" s="17">
        <v>6</v>
      </c>
      <c r="B50" s="21">
        <v>14660436</v>
      </c>
      <c r="C50" s="21">
        <v>9034.98</v>
      </c>
      <c r="D50" s="22">
        <v>3.52</v>
      </c>
      <c r="E50" s="22">
        <v>1.1000000000000001</v>
      </c>
    </row>
    <row r="51" spans="1:7" ht="16.5" customHeight="1" x14ac:dyDescent="0.3">
      <c r="A51" s="23" t="s">
        <v>18</v>
      </c>
      <c r="B51" s="24">
        <f>AVERAGE(B45:B50)</f>
        <v>14608596.5</v>
      </c>
      <c r="C51" s="25">
        <f>AVERAGE(C45:C50)</f>
        <v>9040.8399999999983</v>
      </c>
      <c r="D51" s="26">
        <f>AVERAGE(D45:D50)</f>
        <v>3.5283333333333329</v>
      </c>
      <c r="E51" s="26">
        <f>AVERAGE(E45:E50)</f>
        <v>1.1016666666666666</v>
      </c>
    </row>
    <row r="52" spans="1:7" ht="16.5" customHeight="1" x14ac:dyDescent="0.3">
      <c r="A52" s="27" t="s">
        <v>19</v>
      </c>
      <c r="B52" s="28">
        <f>(STDEV(B45:B50)/B51)</f>
        <v>4.2817780935286223E-3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2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59" t="s">
        <v>31</v>
      </c>
      <c r="B8" s="359"/>
      <c r="C8" s="359"/>
      <c r="D8" s="359"/>
      <c r="E8" s="359"/>
      <c r="F8" s="359"/>
      <c r="G8" s="35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60" t="s">
        <v>32</v>
      </c>
      <c r="B10" s="360"/>
      <c r="C10" s="360"/>
      <c r="D10" s="360"/>
      <c r="E10" s="360"/>
      <c r="F10" s="360"/>
      <c r="G10" s="36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57" t="s">
        <v>33</v>
      </c>
      <c r="B11" s="35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57" t="s">
        <v>34</v>
      </c>
      <c r="B12" s="35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57" t="s">
        <v>35</v>
      </c>
      <c r="B13" s="35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57" t="s">
        <v>36</v>
      </c>
      <c r="B14" s="357"/>
      <c r="C14" s="358" t="s">
        <v>11</v>
      </c>
      <c r="D14" s="358"/>
      <c r="E14" s="358"/>
      <c r="F14" s="358"/>
      <c r="G14" s="35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57" t="s">
        <v>37</v>
      </c>
      <c r="B15" s="35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57" t="s">
        <v>38</v>
      </c>
      <c r="B16" s="35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61" t="s">
        <v>1</v>
      </c>
      <c r="B18" s="36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38374.79</v>
      </c>
      <c r="C21" s="83">
        <v>36951.449999999997</v>
      </c>
      <c r="D21" s="84">
        <f t="shared" ref="D21:D40" si="0">B21-C21</f>
        <v>1423.3400000000038</v>
      </c>
      <c r="E21" s="85">
        <f t="shared" ref="E21:E40" si="1">(D21-$D$43)/$D$43</f>
        <v>-4.8428037711832532E-3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38433.4</v>
      </c>
      <c r="C22" s="88">
        <v>37003.64</v>
      </c>
      <c r="D22" s="89">
        <f t="shared" si="0"/>
        <v>1429.760000000002</v>
      </c>
      <c r="E22" s="85">
        <f t="shared" si="1"/>
        <v>-3.5412980727635222E-4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38604.54</v>
      </c>
      <c r="C23" s="88">
        <v>37167.120000000003</v>
      </c>
      <c r="D23" s="89">
        <f t="shared" si="0"/>
        <v>1437.4199999999983</v>
      </c>
      <c r="E23" s="85">
        <f t="shared" si="1"/>
        <v>5.0015154518387927E-3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38606.550000000003</v>
      </c>
      <c r="C24" s="88">
        <v>37173.14</v>
      </c>
      <c r="D24" s="89">
        <f t="shared" si="0"/>
        <v>1433.4100000000035</v>
      </c>
      <c r="E24" s="85">
        <f t="shared" si="1"/>
        <v>2.197842150398286E-3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38471.129999999997</v>
      </c>
      <c r="C25" s="88">
        <v>37033.19</v>
      </c>
      <c r="D25" s="89">
        <f t="shared" si="0"/>
        <v>1437.9399999999951</v>
      </c>
      <c r="E25" s="85">
        <f t="shared" si="1"/>
        <v>5.3650840595051257E-3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38360.47</v>
      </c>
      <c r="C26" s="88">
        <v>36937.29</v>
      </c>
      <c r="D26" s="89">
        <f t="shared" si="0"/>
        <v>1423.1800000000003</v>
      </c>
      <c r="E26" s="85">
        <f t="shared" si="1"/>
        <v>-4.9546710350837171E-3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38577.370000000003</v>
      </c>
      <c r="C27" s="88">
        <v>37136.57</v>
      </c>
      <c r="D27" s="89">
        <f t="shared" si="0"/>
        <v>1440.8000000000029</v>
      </c>
      <c r="E27" s="85">
        <f t="shared" si="1"/>
        <v>7.3647114016877581E-3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38438.75</v>
      </c>
      <c r="C28" s="88">
        <v>37012.97</v>
      </c>
      <c r="D28" s="89">
        <f t="shared" si="0"/>
        <v>1425.7799999999988</v>
      </c>
      <c r="E28" s="85">
        <f t="shared" si="1"/>
        <v>-3.1368279967418813E-3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38486.160000000003</v>
      </c>
      <c r="C29" s="88">
        <v>37049.300000000003</v>
      </c>
      <c r="D29" s="89">
        <f t="shared" si="0"/>
        <v>1436.8600000000006</v>
      </c>
      <c r="E29" s="85">
        <f t="shared" si="1"/>
        <v>4.6099800281973451E-3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38399.160000000003</v>
      </c>
      <c r="C30" s="88">
        <v>36966.19</v>
      </c>
      <c r="D30" s="89">
        <f t="shared" si="0"/>
        <v>1432.9700000000012</v>
      </c>
      <c r="E30" s="85">
        <f t="shared" si="1"/>
        <v>1.8902071746770984E-3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38538.800000000003</v>
      </c>
      <c r="C31" s="88">
        <v>37105.47</v>
      </c>
      <c r="D31" s="89">
        <f t="shared" si="0"/>
        <v>1433.3300000000017</v>
      </c>
      <c r="E31" s="85">
        <f t="shared" si="1"/>
        <v>2.1419085184480541E-3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38382.1</v>
      </c>
      <c r="C32" s="88">
        <v>36950.42</v>
      </c>
      <c r="D32" s="89">
        <f t="shared" si="0"/>
        <v>1431.6800000000003</v>
      </c>
      <c r="E32" s="85">
        <f t="shared" si="1"/>
        <v>9.8827735949868763E-4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38376.22</v>
      </c>
      <c r="C33" s="88">
        <v>36951.86</v>
      </c>
      <c r="D33" s="89">
        <f t="shared" si="0"/>
        <v>1424.3600000000006</v>
      </c>
      <c r="E33" s="85">
        <f t="shared" si="1"/>
        <v>-4.1296499638356033E-3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38433.83</v>
      </c>
      <c r="C34" s="88">
        <v>37001.97</v>
      </c>
      <c r="D34" s="89">
        <f t="shared" si="0"/>
        <v>1431.8600000000006</v>
      </c>
      <c r="E34" s="85">
        <f t="shared" si="1"/>
        <v>1.1141280313841657E-3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38078.400000000001</v>
      </c>
      <c r="C35" s="88">
        <v>36661.129999999997</v>
      </c>
      <c r="D35" s="89">
        <f t="shared" si="0"/>
        <v>1417.2700000000041</v>
      </c>
      <c r="E35" s="85">
        <f t="shared" si="1"/>
        <v>-9.0867680953142498E-3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38481.56</v>
      </c>
      <c r="C36" s="88">
        <v>37043.99</v>
      </c>
      <c r="D36" s="89">
        <f t="shared" si="0"/>
        <v>1437.5699999999997</v>
      </c>
      <c r="E36" s="85">
        <f t="shared" si="1"/>
        <v>5.1063910117442055E-3</v>
      </c>
      <c r="G36" s="66"/>
      <c r="H36" s="66"/>
    </row>
    <row r="37" spans="1:15" ht="15" x14ac:dyDescent="0.3">
      <c r="A37" s="86">
        <v>17</v>
      </c>
      <c r="B37" s="90">
        <v>38338.67</v>
      </c>
      <c r="C37" s="88">
        <v>36925.97</v>
      </c>
      <c r="D37" s="89">
        <f t="shared" si="0"/>
        <v>1412.6999999999971</v>
      </c>
      <c r="E37" s="85">
        <f t="shared" si="1"/>
        <v>-1.2281976820406378E-2</v>
      </c>
    </row>
    <row r="38" spans="1:15" ht="15" x14ac:dyDescent="0.3">
      <c r="A38" s="86">
        <v>18</v>
      </c>
      <c r="B38" s="90">
        <v>38720.01</v>
      </c>
      <c r="C38" s="88">
        <v>37278.879999999997</v>
      </c>
      <c r="D38" s="89">
        <f t="shared" si="0"/>
        <v>1441.1300000000047</v>
      </c>
      <c r="E38" s="85">
        <f t="shared" si="1"/>
        <v>7.5954376334786489E-3</v>
      </c>
    </row>
    <row r="39" spans="1:15" ht="15" x14ac:dyDescent="0.3">
      <c r="A39" s="86">
        <v>19</v>
      </c>
      <c r="B39" s="90">
        <v>38396.03</v>
      </c>
      <c r="C39" s="88">
        <v>36967.42</v>
      </c>
      <c r="D39" s="89">
        <f t="shared" si="0"/>
        <v>1428.6100000000006</v>
      </c>
      <c r="E39" s="85">
        <f t="shared" si="1"/>
        <v>-1.1581757665444009E-3</v>
      </c>
    </row>
    <row r="40" spans="1:15" ht="14.25" customHeight="1" x14ac:dyDescent="0.3">
      <c r="A40" s="91">
        <v>20</v>
      </c>
      <c r="B40" s="92">
        <v>38520.379999999997</v>
      </c>
      <c r="C40" s="93">
        <v>37095.019999999997</v>
      </c>
      <c r="D40" s="94">
        <f t="shared" si="0"/>
        <v>1425.3600000000006</v>
      </c>
      <c r="E40" s="95">
        <f t="shared" si="1"/>
        <v>-3.4304795644729672E-3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769018.32000000007</v>
      </c>
      <c r="C42" s="98">
        <f>SUM(C21:C40)</f>
        <v>740412.99</v>
      </c>
      <c r="D42" s="99">
        <f>SUM(D21:D40)</f>
        <v>28605.330000000016</v>
      </c>
    </row>
    <row r="43" spans="1:15" ht="15.75" customHeight="1" x14ac:dyDescent="0.3">
      <c r="A43" s="100" t="s">
        <v>47</v>
      </c>
      <c r="B43" s="101">
        <f>AVERAGE(B21:B40)</f>
        <v>38450.916000000005</v>
      </c>
      <c r="C43" s="102">
        <f>AVERAGE(C21:C40)</f>
        <v>37020.6495</v>
      </c>
      <c r="D43" s="103">
        <f>AVERAGE(D21:D40)</f>
        <v>1430.2665000000009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62">
        <f>D43</f>
        <v>1430.2665000000009</v>
      </c>
      <c r="C47" s="107">
        <f>-(IF(D43&gt;300, 7.5%, 10%))</f>
        <v>-7.4999999999999997E-2</v>
      </c>
      <c r="D47" s="108">
        <f>IF(D43&lt;300, D43*0.9, D43*0.925)</f>
        <v>1322.9965125000008</v>
      </c>
    </row>
    <row r="48" spans="1:15" ht="15.75" customHeight="1" x14ac:dyDescent="0.3">
      <c r="B48" s="363"/>
      <c r="C48" s="109">
        <f>+(IF(D43&gt;300, 7.5%, 10%))</f>
        <v>7.4999999999999997E-2</v>
      </c>
      <c r="D48" s="108">
        <f>IF(D43&lt;300, D43*1.1, D43*1.075)</f>
        <v>1537.5364875000009</v>
      </c>
    </row>
    <row r="49" spans="1:7" ht="14.25" customHeight="1" x14ac:dyDescent="0.3">
      <c r="A49" s="110"/>
      <c r="D49" s="111"/>
    </row>
    <row r="50" spans="1:7" ht="15" customHeight="1" x14ac:dyDescent="0.3">
      <c r="B50" s="356" t="s">
        <v>26</v>
      </c>
      <c r="C50" s="35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34" zoomScale="60" zoomScaleNormal="78" workbookViewId="0">
      <selection activeCell="D60" sqref="D60:D7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64" t="s">
        <v>49</v>
      </c>
      <c r="B1" s="364"/>
      <c r="C1" s="364"/>
      <c r="D1" s="364"/>
      <c r="E1" s="364"/>
      <c r="F1" s="364"/>
      <c r="G1" s="364"/>
      <c r="H1" s="364"/>
    </row>
    <row r="2" spans="1:8" x14ac:dyDescent="0.2">
      <c r="A2" s="364"/>
      <c r="B2" s="364"/>
      <c r="C2" s="364"/>
      <c r="D2" s="364"/>
      <c r="E2" s="364"/>
      <c r="F2" s="364"/>
      <c r="G2" s="364"/>
      <c r="H2" s="364"/>
    </row>
    <row r="3" spans="1:8" x14ac:dyDescent="0.2">
      <c r="A3" s="364"/>
      <c r="B3" s="364"/>
      <c r="C3" s="364"/>
      <c r="D3" s="364"/>
      <c r="E3" s="364"/>
      <c r="F3" s="364"/>
      <c r="G3" s="364"/>
      <c r="H3" s="364"/>
    </row>
    <row r="4" spans="1:8" x14ac:dyDescent="0.2">
      <c r="A4" s="364"/>
      <c r="B4" s="364"/>
      <c r="C4" s="364"/>
      <c r="D4" s="364"/>
      <c r="E4" s="364"/>
      <c r="F4" s="364"/>
      <c r="G4" s="364"/>
      <c r="H4" s="364"/>
    </row>
    <row r="5" spans="1:8" x14ac:dyDescent="0.2">
      <c r="A5" s="364"/>
      <c r="B5" s="364"/>
      <c r="C5" s="364"/>
      <c r="D5" s="364"/>
      <c r="E5" s="364"/>
      <c r="F5" s="364"/>
      <c r="G5" s="364"/>
      <c r="H5" s="364"/>
    </row>
    <row r="6" spans="1:8" x14ac:dyDescent="0.2">
      <c r="A6" s="364"/>
      <c r="B6" s="364"/>
      <c r="C6" s="364"/>
      <c r="D6" s="364"/>
      <c r="E6" s="364"/>
      <c r="F6" s="364"/>
      <c r="G6" s="364"/>
      <c r="H6" s="364"/>
    </row>
    <row r="7" spans="1:8" x14ac:dyDescent="0.2">
      <c r="A7" s="364"/>
      <c r="B7" s="364"/>
      <c r="C7" s="364"/>
      <c r="D7" s="364"/>
      <c r="E7" s="364"/>
      <c r="F7" s="364"/>
      <c r="G7" s="364"/>
      <c r="H7" s="364"/>
    </row>
    <row r="8" spans="1:8" x14ac:dyDescent="0.2">
      <c r="A8" s="365" t="s">
        <v>50</v>
      </c>
      <c r="B8" s="365"/>
      <c r="C8" s="365"/>
      <c r="D8" s="365"/>
      <c r="E8" s="365"/>
      <c r="F8" s="365"/>
      <c r="G8" s="365"/>
      <c r="H8" s="365"/>
    </row>
    <row r="9" spans="1:8" x14ac:dyDescent="0.2">
      <c r="A9" s="365"/>
      <c r="B9" s="365"/>
      <c r="C9" s="365"/>
      <c r="D9" s="365"/>
      <c r="E9" s="365"/>
      <c r="F9" s="365"/>
      <c r="G9" s="365"/>
      <c r="H9" s="365"/>
    </row>
    <row r="10" spans="1:8" x14ac:dyDescent="0.2">
      <c r="A10" s="365"/>
      <c r="B10" s="365"/>
      <c r="C10" s="365"/>
      <c r="D10" s="365"/>
      <c r="E10" s="365"/>
      <c r="F10" s="365"/>
      <c r="G10" s="365"/>
      <c r="H10" s="365"/>
    </row>
    <row r="11" spans="1:8" x14ac:dyDescent="0.2">
      <c r="A11" s="365"/>
      <c r="B11" s="365"/>
      <c r="C11" s="365"/>
      <c r="D11" s="365"/>
      <c r="E11" s="365"/>
      <c r="F11" s="365"/>
      <c r="G11" s="365"/>
      <c r="H11" s="365"/>
    </row>
    <row r="12" spans="1:8" x14ac:dyDescent="0.2">
      <c r="A12" s="365"/>
      <c r="B12" s="365"/>
      <c r="C12" s="365"/>
      <c r="D12" s="365"/>
      <c r="E12" s="365"/>
      <c r="F12" s="365"/>
      <c r="G12" s="365"/>
      <c r="H12" s="365"/>
    </row>
    <row r="13" spans="1:8" x14ac:dyDescent="0.2">
      <c r="A13" s="365"/>
      <c r="B13" s="365"/>
      <c r="C13" s="365"/>
      <c r="D13" s="365"/>
      <c r="E13" s="365"/>
      <c r="F13" s="365"/>
      <c r="G13" s="365"/>
      <c r="H13" s="365"/>
    </row>
    <row r="14" spans="1:8" x14ac:dyDescent="0.2">
      <c r="A14" s="365"/>
      <c r="B14" s="365"/>
      <c r="C14" s="365"/>
      <c r="D14" s="365"/>
      <c r="E14" s="365"/>
      <c r="F14" s="365"/>
      <c r="G14" s="365"/>
      <c r="H14" s="365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72" t="s">
        <v>31</v>
      </c>
      <c r="B16" s="373"/>
      <c r="C16" s="373"/>
      <c r="D16" s="373"/>
      <c r="E16" s="373"/>
      <c r="F16" s="373"/>
      <c r="G16" s="373"/>
      <c r="H16" s="374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375" t="s">
        <v>5</v>
      </c>
      <c r="C18" s="375"/>
      <c r="D18" s="375"/>
      <c r="E18" s="375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376" t="s">
        <v>11</v>
      </c>
      <c r="C21" s="376"/>
      <c r="D21" s="376"/>
      <c r="E21" s="376"/>
      <c r="F21" s="376"/>
      <c r="G21" s="376"/>
      <c r="H21" s="376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75" t="s">
        <v>112</v>
      </c>
      <c r="C26" s="375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376" t="s">
        <v>113</v>
      </c>
      <c r="C27" s="376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87.84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/>
      <c r="C29" s="377" t="s">
        <v>54</v>
      </c>
      <c r="D29" s="378"/>
      <c r="E29" s="378"/>
      <c r="F29" s="378"/>
      <c r="G29" s="378"/>
      <c r="H29" s="379"/>
    </row>
    <row r="30" spans="1:8" ht="19.5" customHeight="1" x14ac:dyDescent="0.3">
      <c r="A30" s="127" t="s">
        <v>55</v>
      </c>
      <c r="B30" s="130">
        <f>B28-B29</f>
        <v>87.84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380" t="s">
        <v>57</v>
      </c>
      <c r="D31" s="381"/>
      <c r="E31" s="381"/>
      <c r="F31" s="381"/>
      <c r="G31" s="381"/>
      <c r="H31" s="382"/>
    </row>
    <row r="32" spans="1:8" ht="27" customHeight="1" x14ac:dyDescent="0.4">
      <c r="A32" s="127" t="s">
        <v>58</v>
      </c>
      <c r="B32" s="133">
        <v>1</v>
      </c>
      <c r="C32" s="380" t="s">
        <v>59</v>
      </c>
      <c r="D32" s="381"/>
      <c r="E32" s="381"/>
      <c r="F32" s="381"/>
      <c r="G32" s="381"/>
      <c r="H32" s="382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20</v>
      </c>
      <c r="C36" s="119"/>
      <c r="D36" s="383" t="s">
        <v>63</v>
      </c>
      <c r="E36" s="384"/>
      <c r="F36" s="383" t="s">
        <v>64</v>
      </c>
      <c r="G36" s="385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v>120017166</v>
      </c>
      <c r="E38" s="148">
        <f>IF(ISBLANK(D38),"-",$D$48/$D$45*D38)</f>
        <v>132459102.47954462</v>
      </c>
      <c r="F38" s="147">
        <v>128603342</v>
      </c>
      <c r="G38" s="149">
        <f>IF(ISBLANK(F38),"-",$D$48/$F$45*F38)</f>
        <v>128089549.20024796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v>118872718</v>
      </c>
      <c r="E39" s="152">
        <f>IF(ISBLANK(D39),"-",$D$48/$D$45*D39)</f>
        <v>131196011.87370154</v>
      </c>
      <c r="F39" s="151">
        <v>129420150</v>
      </c>
      <c r="G39" s="153">
        <f>IF(ISBLANK(F39),"-",$D$48/$F$45*F39)</f>
        <v>128903093.90970936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v>120188619</v>
      </c>
      <c r="E40" s="152">
        <f>IF(ISBLANK(D40),"-",$D$48/$D$45*D40)</f>
        <v>132648329.66474099</v>
      </c>
      <c r="F40" s="151">
        <v>128843145</v>
      </c>
      <c r="G40" s="153">
        <f>IF(ISBLANK(F40),"-",$D$48/$F$45*F40)</f>
        <v>128328394.14540395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119692834.33333333</v>
      </c>
      <c r="E42" s="160">
        <f>AVERAGE(E38:E41)</f>
        <v>132101148.00599571</v>
      </c>
      <c r="F42" s="159">
        <f>AVERAGE(F38:F41)</f>
        <v>128955545.66666667</v>
      </c>
      <c r="G42" s="161">
        <f>AVERAGE(G38:G41)</f>
        <v>128440345.75178711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20.63</v>
      </c>
      <c r="E43" s="165"/>
      <c r="F43" s="164">
        <v>22.86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20.63</v>
      </c>
      <c r="E44" s="168"/>
      <c r="F44" s="167">
        <f>F43*$B$34</f>
        <v>22.86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20</v>
      </c>
      <c r="C45" s="166" t="s">
        <v>80</v>
      </c>
      <c r="D45" s="170">
        <f>D44*$B$30/100</f>
        <v>18.121392</v>
      </c>
      <c r="E45" s="171"/>
      <c r="F45" s="170">
        <f>F44*$B$30/100</f>
        <v>20.080224000000001</v>
      </c>
      <c r="G45" s="119"/>
      <c r="H45" s="162"/>
    </row>
    <row r="46" spans="1:8" ht="19.5" customHeight="1" x14ac:dyDescent="0.3">
      <c r="A46" s="386" t="s">
        <v>81</v>
      </c>
      <c r="B46" s="387"/>
      <c r="C46" s="166" t="s">
        <v>82</v>
      </c>
      <c r="D46" s="167">
        <f>D45/$B$45</f>
        <v>0.90606960000000003</v>
      </c>
      <c r="E46" s="171"/>
      <c r="F46" s="172">
        <f>F45/$B$45</f>
        <v>1.0040112000000001</v>
      </c>
      <c r="G46" s="119"/>
      <c r="H46" s="162"/>
    </row>
    <row r="47" spans="1:8" ht="27" customHeight="1" x14ac:dyDescent="0.4">
      <c r="A47" s="388"/>
      <c r="B47" s="389"/>
      <c r="C47" s="173" t="s">
        <v>83</v>
      </c>
      <c r="D47" s="174">
        <v>1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130270746.87889141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1.5991361030888624E-2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Amoxicillin 1 G and Clavulanic Acid 200 mg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Amoxicillin and Clavulanic Acid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6">
        <f>Uniformity!B47</f>
        <v>1430.2665000000009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366" t="s">
        <v>97</v>
      </c>
      <c r="D60" s="369">
        <v>155.37</v>
      </c>
      <c r="E60" s="191">
        <v>1</v>
      </c>
      <c r="F60" s="192">
        <v>140420115</v>
      </c>
      <c r="G60" s="193">
        <f>IF(ISBLANK(F60),"-",(F60/$D$50*$D$47*$B$68)*($B$57/$D$60))</f>
        <v>992.27539428519538</v>
      </c>
      <c r="H60" s="194">
        <f t="shared" ref="H60:H71" si="0">IF(ISBLANK(F60),"-",G60/$B$56)</f>
        <v>0.9922753942851954</v>
      </c>
    </row>
    <row r="61" spans="1:8" ht="26.25" customHeight="1" x14ac:dyDescent="0.4">
      <c r="A61" s="140" t="s">
        <v>98</v>
      </c>
      <c r="B61" s="141">
        <v>1</v>
      </c>
      <c r="C61" s="367"/>
      <c r="D61" s="370"/>
      <c r="E61" s="195">
        <v>2</v>
      </c>
      <c r="F61" s="151">
        <v>139305400</v>
      </c>
      <c r="G61" s="196">
        <f>IF(ISBLANK(F61),"-",(F61/$D$50*$D$47*$B$68)*($B$57/$D$60))</f>
        <v>984.39828731842908</v>
      </c>
      <c r="H61" s="197">
        <f t="shared" si="0"/>
        <v>0.98439828731842904</v>
      </c>
    </row>
    <row r="62" spans="1:8" ht="26.25" customHeight="1" x14ac:dyDescent="0.4">
      <c r="A62" s="140" t="s">
        <v>99</v>
      </c>
      <c r="B62" s="141">
        <v>1</v>
      </c>
      <c r="C62" s="367"/>
      <c r="D62" s="370"/>
      <c r="E62" s="195">
        <v>3</v>
      </c>
      <c r="F62" s="151">
        <v>138398787</v>
      </c>
      <c r="G62" s="196">
        <f>IF(ISBLANK(F62),"-",(F62/$D$50*$D$47*$B$68)*($B$57/$D$60))</f>
        <v>977.99172817240424</v>
      </c>
      <c r="H62" s="197">
        <f t="shared" si="0"/>
        <v>0.97799172817240421</v>
      </c>
    </row>
    <row r="63" spans="1:8" ht="27" customHeight="1" x14ac:dyDescent="0.4">
      <c r="A63" s="140" t="s">
        <v>100</v>
      </c>
      <c r="B63" s="141">
        <v>1</v>
      </c>
      <c r="C63" s="368"/>
      <c r="D63" s="371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366" t="s">
        <v>102</v>
      </c>
      <c r="D64" s="369">
        <v>139.91</v>
      </c>
      <c r="E64" s="191">
        <v>1</v>
      </c>
      <c r="F64" s="192">
        <v>126176526</v>
      </c>
      <c r="G64" s="200">
        <f>IF(ISBLANK(F64),"-",(F64/$D$50*$D$47*$B$68)*($B$57/$D$64))</f>
        <v>990.14744880834041</v>
      </c>
      <c r="H64" s="201">
        <f t="shared" si="0"/>
        <v>0.99014744880834038</v>
      </c>
    </row>
    <row r="65" spans="1:8" ht="26.25" customHeight="1" x14ac:dyDescent="0.4">
      <c r="A65" s="140" t="s">
        <v>103</v>
      </c>
      <c r="B65" s="141">
        <v>1</v>
      </c>
      <c r="C65" s="367"/>
      <c r="D65" s="370"/>
      <c r="E65" s="195">
        <v>2</v>
      </c>
      <c r="F65" s="151">
        <v>126150673</v>
      </c>
      <c r="G65" s="202">
        <f>IF(ISBLANK(F65),"-",(F65/$D$50*$D$47*$B$68)*($B$57/$D$64))</f>
        <v>989.94457207044343</v>
      </c>
      <c r="H65" s="203">
        <f t="shared" si="0"/>
        <v>0.9899445720704434</v>
      </c>
    </row>
    <row r="66" spans="1:8" ht="26.25" customHeight="1" x14ac:dyDescent="0.4">
      <c r="A66" s="140" t="s">
        <v>104</v>
      </c>
      <c r="B66" s="141">
        <v>1</v>
      </c>
      <c r="C66" s="367"/>
      <c r="D66" s="370"/>
      <c r="E66" s="195">
        <v>3</v>
      </c>
      <c r="F66" s="151">
        <v>127634624</v>
      </c>
      <c r="G66" s="202">
        <f>IF(ISBLANK(F66),"-",(F66/$D$50*$D$47*$B$68)*($B$57/$D$64))</f>
        <v>1001.5896089357523</v>
      </c>
      <c r="H66" s="203">
        <f t="shared" si="0"/>
        <v>1.0015896089357523</v>
      </c>
    </row>
    <row r="67" spans="1:8" ht="27" customHeight="1" x14ac:dyDescent="0.4">
      <c r="A67" s="140" t="s">
        <v>105</v>
      </c>
      <c r="B67" s="141">
        <v>1</v>
      </c>
      <c r="C67" s="368"/>
      <c r="D67" s="371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366" t="s">
        <v>107</v>
      </c>
      <c r="D68" s="369">
        <v>184</v>
      </c>
      <c r="E68" s="191">
        <v>1</v>
      </c>
      <c r="F68" s="192">
        <v>169126619</v>
      </c>
      <c r="G68" s="200">
        <f>IF(ISBLANK(F68),"-",(F68/$D$50*$D$47*$B$68)*($B$57/$D$68))</f>
        <v>1009.1697117160573</v>
      </c>
      <c r="H68" s="197">
        <f t="shared" si="0"/>
        <v>1.0091697117160574</v>
      </c>
    </row>
    <row r="69" spans="1:8" ht="27" customHeight="1" x14ac:dyDescent="0.4">
      <c r="A69" s="182" t="s">
        <v>108</v>
      </c>
      <c r="B69" s="207">
        <f>(D47*B68)/B56*B57</f>
        <v>143.0266500000001</v>
      </c>
      <c r="C69" s="367"/>
      <c r="D69" s="370"/>
      <c r="E69" s="195">
        <v>2</v>
      </c>
      <c r="F69" s="151">
        <v>166159009</v>
      </c>
      <c r="G69" s="202">
        <f>IF(ISBLANK(F69),"-",(F69/$D$50*$D$47*$B$68)*($B$57/$D$68))</f>
        <v>991.46213767541701</v>
      </c>
      <c r="H69" s="197">
        <f t="shared" si="0"/>
        <v>0.99146213767541702</v>
      </c>
    </row>
    <row r="70" spans="1:8" ht="26.25" customHeight="1" x14ac:dyDescent="0.4">
      <c r="A70" s="386" t="s">
        <v>81</v>
      </c>
      <c r="B70" s="387"/>
      <c r="C70" s="367"/>
      <c r="D70" s="370"/>
      <c r="E70" s="195">
        <v>3</v>
      </c>
      <c r="F70" s="151">
        <v>166603201</v>
      </c>
      <c r="G70" s="202">
        <f>IF(ISBLANK(F70),"-",(F70/$D$50*$D$47*$B$68)*($B$57/$D$68))</f>
        <v>994.11260816455138</v>
      </c>
      <c r="H70" s="197">
        <f t="shared" si="0"/>
        <v>0.99411260816455138</v>
      </c>
    </row>
    <row r="71" spans="1:8" ht="27" customHeight="1" x14ac:dyDescent="0.4">
      <c r="A71" s="388"/>
      <c r="B71" s="389"/>
      <c r="C71" s="391"/>
      <c r="D71" s="371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0.99234349968295454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9.0987869710011538E-3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392" t="str">
        <f>B20</f>
        <v>Amoxicillin and Clavulanic Acid</v>
      </c>
      <c r="D76" s="392"/>
      <c r="E76" s="222" t="s">
        <v>111</v>
      </c>
      <c r="F76" s="222"/>
      <c r="G76" s="223">
        <f>H72</f>
        <v>0.99234349968295454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390" t="s">
        <v>26</v>
      </c>
      <c r="C78" s="390"/>
      <c r="D78" s="119"/>
      <c r="E78" s="226" t="s">
        <v>27</v>
      </c>
      <c r="F78" s="227"/>
      <c r="G78" s="390" t="s">
        <v>28</v>
      </c>
      <c r="H78" s="390"/>
    </row>
    <row r="79" spans="1:8" ht="60" customHeight="1" x14ac:dyDescent="0.3">
      <c r="A79" s="228" t="s">
        <v>29</v>
      </c>
      <c r="B79" s="229"/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30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6" zoomScale="60" zoomScaleNormal="78" workbookViewId="0">
      <selection activeCell="D73" sqref="D73:D74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64" t="s">
        <v>49</v>
      </c>
      <c r="B1" s="364"/>
      <c r="C1" s="364"/>
      <c r="D1" s="364"/>
      <c r="E1" s="364"/>
      <c r="F1" s="364"/>
      <c r="G1" s="364"/>
      <c r="H1" s="364"/>
    </row>
    <row r="2" spans="1:8" x14ac:dyDescent="0.2">
      <c r="A2" s="364"/>
      <c r="B2" s="364"/>
      <c r="C2" s="364"/>
      <c r="D2" s="364"/>
      <c r="E2" s="364"/>
      <c r="F2" s="364"/>
      <c r="G2" s="364"/>
      <c r="H2" s="364"/>
    </row>
    <row r="3" spans="1:8" x14ac:dyDescent="0.2">
      <c r="A3" s="364"/>
      <c r="B3" s="364"/>
      <c r="C3" s="364"/>
      <c r="D3" s="364"/>
      <c r="E3" s="364"/>
      <c r="F3" s="364"/>
      <c r="G3" s="364"/>
      <c r="H3" s="364"/>
    </row>
    <row r="4" spans="1:8" x14ac:dyDescent="0.2">
      <c r="A4" s="364"/>
      <c r="B4" s="364"/>
      <c r="C4" s="364"/>
      <c r="D4" s="364"/>
      <c r="E4" s="364"/>
      <c r="F4" s="364"/>
      <c r="G4" s="364"/>
      <c r="H4" s="364"/>
    </row>
    <row r="5" spans="1:8" x14ac:dyDescent="0.2">
      <c r="A5" s="364"/>
      <c r="B5" s="364"/>
      <c r="C5" s="364"/>
      <c r="D5" s="364"/>
      <c r="E5" s="364"/>
      <c r="F5" s="364"/>
      <c r="G5" s="364"/>
      <c r="H5" s="364"/>
    </row>
    <row r="6" spans="1:8" x14ac:dyDescent="0.2">
      <c r="A6" s="364"/>
      <c r="B6" s="364"/>
      <c r="C6" s="364"/>
      <c r="D6" s="364"/>
      <c r="E6" s="364"/>
      <c r="F6" s="364"/>
      <c r="G6" s="364"/>
      <c r="H6" s="364"/>
    </row>
    <row r="7" spans="1:8" x14ac:dyDescent="0.2">
      <c r="A7" s="364"/>
      <c r="B7" s="364"/>
      <c r="C7" s="364"/>
      <c r="D7" s="364"/>
      <c r="E7" s="364"/>
      <c r="F7" s="364"/>
      <c r="G7" s="364"/>
      <c r="H7" s="364"/>
    </row>
    <row r="8" spans="1:8" x14ac:dyDescent="0.2">
      <c r="A8" s="365" t="s">
        <v>50</v>
      </c>
      <c r="B8" s="365"/>
      <c r="C8" s="365"/>
      <c r="D8" s="365"/>
      <c r="E8" s="365"/>
      <c r="F8" s="365"/>
      <c r="G8" s="365"/>
      <c r="H8" s="365"/>
    </row>
    <row r="9" spans="1:8" x14ac:dyDescent="0.2">
      <c r="A9" s="365"/>
      <c r="B9" s="365"/>
      <c r="C9" s="365"/>
      <c r="D9" s="365"/>
      <c r="E9" s="365"/>
      <c r="F9" s="365"/>
      <c r="G9" s="365"/>
      <c r="H9" s="365"/>
    </row>
    <row r="10" spans="1:8" x14ac:dyDescent="0.2">
      <c r="A10" s="365"/>
      <c r="B10" s="365"/>
      <c r="C10" s="365"/>
      <c r="D10" s="365"/>
      <c r="E10" s="365"/>
      <c r="F10" s="365"/>
      <c r="G10" s="365"/>
      <c r="H10" s="365"/>
    </row>
    <row r="11" spans="1:8" x14ac:dyDescent="0.2">
      <c r="A11" s="365"/>
      <c r="B11" s="365"/>
      <c r="C11" s="365"/>
      <c r="D11" s="365"/>
      <c r="E11" s="365"/>
      <c r="F11" s="365"/>
      <c r="G11" s="365"/>
      <c r="H11" s="365"/>
    </row>
    <row r="12" spans="1:8" x14ac:dyDescent="0.2">
      <c r="A12" s="365"/>
      <c r="B12" s="365"/>
      <c r="C12" s="365"/>
      <c r="D12" s="365"/>
      <c r="E12" s="365"/>
      <c r="F12" s="365"/>
      <c r="G12" s="365"/>
      <c r="H12" s="365"/>
    </row>
    <row r="13" spans="1:8" x14ac:dyDescent="0.2">
      <c r="A13" s="365"/>
      <c r="B13" s="365"/>
      <c r="C13" s="365"/>
      <c r="D13" s="365"/>
      <c r="E13" s="365"/>
      <c r="F13" s="365"/>
      <c r="G13" s="365"/>
      <c r="H13" s="365"/>
    </row>
    <row r="14" spans="1:8" x14ac:dyDescent="0.2">
      <c r="A14" s="365"/>
      <c r="B14" s="365"/>
      <c r="C14" s="365"/>
      <c r="D14" s="365"/>
      <c r="E14" s="365"/>
      <c r="F14" s="365"/>
      <c r="G14" s="365"/>
      <c r="H14" s="365"/>
    </row>
    <row r="15" spans="1:8" ht="19.5" customHeight="1" x14ac:dyDescent="0.3">
      <c r="A15" s="237"/>
      <c r="B15" s="237"/>
      <c r="C15" s="237"/>
      <c r="D15" s="237"/>
      <c r="E15" s="237"/>
      <c r="F15" s="237"/>
      <c r="G15" s="237"/>
      <c r="H15" s="237"/>
    </row>
    <row r="16" spans="1:8" ht="19.5" customHeight="1" x14ac:dyDescent="0.3">
      <c r="A16" s="372" t="s">
        <v>31</v>
      </c>
      <c r="B16" s="373"/>
      <c r="C16" s="373"/>
      <c r="D16" s="373"/>
      <c r="E16" s="373"/>
      <c r="F16" s="373"/>
      <c r="G16" s="373"/>
      <c r="H16" s="374"/>
    </row>
    <row r="17" spans="1:8" ht="18.75" customHeight="1" x14ac:dyDescent="0.3">
      <c r="A17" s="238" t="s">
        <v>51</v>
      </c>
      <c r="B17" s="238"/>
      <c r="C17" s="237"/>
      <c r="D17" s="237"/>
      <c r="E17" s="237"/>
      <c r="F17" s="237"/>
      <c r="G17" s="237"/>
      <c r="H17" s="237"/>
    </row>
    <row r="18" spans="1:8" ht="26.25" customHeight="1" x14ac:dyDescent="0.4">
      <c r="A18" s="239" t="s">
        <v>33</v>
      </c>
      <c r="B18" s="375" t="s">
        <v>5</v>
      </c>
      <c r="C18" s="375"/>
      <c r="D18" s="375"/>
      <c r="E18" s="375"/>
      <c r="F18" s="237"/>
      <c r="G18" s="237"/>
      <c r="H18" s="237"/>
    </row>
    <row r="19" spans="1:8" ht="26.25" customHeight="1" x14ac:dyDescent="0.4">
      <c r="A19" s="239" t="s">
        <v>34</v>
      </c>
      <c r="B19" s="240" t="s">
        <v>7</v>
      </c>
      <c r="C19" s="237">
        <v>8</v>
      </c>
      <c r="D19" s="237"/>
      <c r="E19" s="237"/>
      <c r="F19" s="237"/>
      <c r="G19" s="237"/>
      <c r="H19" s="237"/>
    </row>
    <row r="20" spans="1:8" ht="26.25" customHeight="1" x14ac:dyDescent="0.4">
      <c r="A20" s="239" t="s">
        <v>35</v>
      </c>
      <c r="B20" s="240" t="s">
        <v>9</v>
      </c>
      <c r="C20" s="237"/>
      <c r="D20" s="237"/>
      <c r="E20" s="237"/>
      <c r="F20" s="237"/>
      <c r="G20" s="237"/>
      <c r="H20" s="237"/>
    </row>
    <row r="21" spans="1:8" ht="26.25" customHeight="1" x14ac:dyDescent="0.4">
      <c r="A21" s="239" t="s">
        <v>36</v>
      </c>
      <c r="B21" s="376" t="s">
        <v>11</v>
      </c>
      <c r="C21" s="376"/>
      <c r="D21" s="376"/>
      <c r="E21" s="376"/>
      <c r="F21" s="376"/>
      <c r="G21" s="376"/>
      <c r="H21" s="376"/>
    </row>
    <row r="22" spans="1:8" ht="26.25" customHeight="1" x14ac:dyDescent="0.4">
      <c r="A22" s="239" t="s">
        <v>37</v>
      </c>
      <c r="B22" s="241" t="s">
        <v>12</v>
      </c>
      <c r="C22" s="237"/>
      <c r="D22" s="237"/>
      <c r="E22" s="237"/>
      <c r="F22" s="237"/>
      <c r="G22" s="237"/>
      <c r="H22" s="237"/>
    </row>
    <row r="23" spans="1:8" ht="26.25" customHeight="1" x14ac:dyDescent="0.4">
      <c r="A23" s="239" t="s">
        <v>38</v>
      </c>
      <c r="B23" s="241"/>
      <c r="C23" s="237"/>
      <c r="D23" s="237"/>
      <c r="E23" s="237"/>
      <c r="F23" s="237"/>
      <c r="G23" s="237"/>
      <c r="H23" s="237"/>
    </row>
    <row r="24" spans="1:8" ht="18.75" customHeight="1" x14ac:dyDescent="0.3">
      <c r="A24" s="239"/>
      <c r="B24" s="242"/>
      <c r="C24" s="237"/>
      <c r="D24" s="237"/>
      <c r="E24" s="237"/>
      <c r="F24" s="237"/>
      <c r="G24" s="237"/>
      <c r="H24" s="237"/>
    </row>
    <row r="25" spans="1:8" ht="18.75" customHeight="1" x14ac:dyDescent="0.3">
      <c r="A25" s="243" t="s">
        <v>1</v>
      </c>
      <c r="B25" s="242"/>
      <c r="C25" s="237"/>
      <c r="D25" s="237"/>
      <c r="E25" s="237"/>
      <c r="F25" s="237"/>
      <c r="G25" s="237"/>
      <c r="H25" s="237"/>
    </row>
    <row r="26" spans="1:8" ht="26.25" customHeight="1" x14ac:dyDescent="0.4">
      <c r="A26" s="244" t="s">
        <v>4</v>
      </c>
      <c r="B26" s="375" t="s">
        <v>114</v>
      </c>
      <c r="C26" s="375"/>
      <c r="D26" s="237"/>
      <c r="E26" s="237"/>
      <c r="F26" s="237"/>
      <c r="G26" s="237"/>
      <c r="H26" s="237"/>
    </row>
    <row r="27" spans="1:8" ht="26.25" customHeight="1" x14ac:dyDescent="0.4">
      <c r="A27" s="245" t="s">
        <v>52</v>
      </c>
      <c r="B27" s="376" t="s">
        <v>115</v>
      </c>
      <c r="C27" s="376"/>
      <c r="D27" s="237"/>
      <c r="E27" s="237"/>
      <c r="F27" s="237"/>
      <c r="G27" s="237"/>
      <c r="H27" s="237"/>
    </row>
    <row r="28" spans="1:8" ht="27" customHeight="1" x14ac:dyDescent="0.4">
      <c r="A28" s="245" t="s">
        <v>6</v>
      </c>
      <c r="B28" s="246">
        <v>96.96</v>
      </c>
      <c r="C28" s="237"/>
      <c r="D28" s="237"/>
      <c r="E28" s="237"/>
      <c r="F28" s="237"/>
      <c r="G28" s="237"/>
      <c r="H28" s="237"/>
    </row>
    <row r="29" spans="1:8" ht="27" customHeight="1" x14ac:dyDescent="0.4">
      <c r="A29" s="245" t="s">
        <v>53</v>
      </c>
      <c r="B29" s="247"/>
      <c r="C29" s="377" t="s">
        <v>54</v>
      </c>
      <c r="D29" s="378"/>
      <c r="E29" s="378"/>
      <c r="F29" s="378"/>
      <c r="G29" s="378"/>
      <c r="H29" s="379"/>
    </row>
    <row r="30" spans="1:8" ht="19.5" customHeight="1" x14ac:dyDescent="0.3">
      <c r="A30" s="245" t="s">
        <v>55</v>
      </c>
      <c r="B30" s="248">
        <f>B28-B29</f>
        <v>96.96</v>
      </c>
      <c r="C30" s="249"/>
      <c r="D30" s="249"/>
      <c r="E30" s="249"/>
      <c r="F30" s="249"/>
      <c r="G30" s="249"/>
      <c r="H30" s="250"/>
    </row>
    <row r="31" spans="1:8" ht="27" customHeight="1" x14ac:dyDescent="0.4">
      <c r="A31" s="245" t="s">
        <v>56</v>
      </c>
      <c r="B31" s="251">
        <v>1</v>
      </c>
      <c r="C31" s="380" t="s">
        <v>57</v>
      </c>
      <c r="D31" s="381"/>
      <c r="E31" s="381"/>
      <c r="F31" s="381"/>
      <c r="G31" s="381"/>
      <c r="H31" s="382"/>
    </row>
    <row r="32" spans="1:8" ht="27" customHeight="1" x14ac:dyDescent="0.4">
      <c r="A32" s="245" t="s">
        <v>58</v>
      </c>
      <c r="B32" s="251">
        <v>1</v>
      </c>
      <c r="C32" s="380" t="s">
        <v>59</v>
      </c>
      <c r="D32" s="381"/>
      <c r="E32" s="381"/>
      <c r="F32" s="381"/>
      <c r="G32" s="381"/>
      <c r="H32" s="382"/>
    </row>
    <row r="33" spans="1:8" ht="18.75" customHeight="1" x14ac:dyDescent="0.3">
      <c r="A33" s="245"/>
      <c r="B33" s="252"/>
      <c r="C33" s="253"/>
      <c r="D33" s="253"/>
      <c r="E33" s="253"/>
      <c r="F33" s="253"/>
      <c r="G33" s="253"/>
      <c r="H33" s="253"/>
    </row>
    <row r="34" spans="1:8" ht="18.75" customHeight="1" x14ac:dyDescent="0.3">
      <c r="A34" s="245" t="s">
        <v>60</v>
      </c>
      <c r="B34" s="254">
        <f>B31/B32</f>
        <v>1</v>
      </c>
      <c r="C34" s="237" t="s">
        <v>61</v>
      </c>
      <c r="D34" s="237"/>
      <c r="E34" s="237"/>
      <c r="F34" s="237"/>
      <c r="G34" s="237"/>
      <c r="H34" s="255"/>
    </row>
    <row r="35" spans="1:8" ht="19.5" customHeight="1" x14ac:dyDescent="0.3">
      <c r="A35" s="245"/>
      <c r="B35" s="248"/>
      <c r="C35" s="255"/>
      <c r="D35" s="255"/>
      <c r="E35" s="255"/>
      <c r="F35" s="255"/>
      <c r="G35" s="237"/>
      <c r="H35" s="255"/>
    </row>
    <row r="36" spans="1:8" ht="27" customHeight="1" x14ac:dyDescent="0.4">
      <c r="A36" s="256" t="s">
        <v>62</v>
      </c>
      <c r="B36" s="257">
        <v>10</v>
      </c>
      <c r="C36" s="237"/>
      <c r="D36" s="383" t="s">
        <v>63</v>
      </c>
      <c r="E36" s="384"/>
      <c r="F36" s="383" t="s">
        <v>64</v>
      </c>
      <c r="G36" s="385"/>
      <c r="H36" s="255"/>
    </row>
    <row r="37" spans="1:8" ht="26.25" customHeight="1" x14ac:dyDescent="0.4">
      <c r="A37" s="258" t="s">
        <v>65</v>
      </c>
      <c r="B37" s="259">
        <v>4</v>
      </c>
      <c r="C37" s="260" t="s">
        <v>66</v>
      </c>
      <c r="D37" s="261" t="s">
        <v>67</v>
      </c>
      <c r="E37" s="262" t="s">
        <v>68</v>
      </c>
      <c r="F37" s="261" t="s">
        <v>67</v>
      </c>
      <c r="G37" s="263" t="s">
        <v>68</v>
      </c>
      <c r="H37" s="255"/>
    </row>
    <row r="38" spans="1:8" ht="26.25" customHeight="1" x14ac:dyDescent="0.4">
      <c r="A38" s="258" t="s">
        <v>69</v>
      </c>
      <c r="B38" s="259">
        <v>20</v>
      </c>
      <c r="C38" s="264">
        <v>1</v>
      </c>
      <c r="D38" s="265">
        <v>14638330</v>
      </c>
      <c r="E38" s="266">
        <f>IF(ISBLANK(D38),"-",$D$48/$D$45*D38)</f>
        <v>15436899.326435717</v>
      </c>
      <c r="F38" s="265">
        <v>16853482</v>
      </c>
      <c r="G38" s="267">
        <f>IF(ISBLANK(F38),"-",$D$48/$F$45*F38)</f>
        <v>15036238.323226785</v>
      </c>
      <c r="H38" s="255"/>
    </row>
    <row r="39" spans="1:8" ht="26.25" customHeight="1" x14ac:dyDescent="0.4">
      <c r="A39" s="258" t="s">
        <v>70</v>
      </c>
      <c r="B39" s="259">
        <v>1</v>
      </c>
      <c r="C39" s="268">
        <v>2</v>
      </c>
      <c r="D39" s="269">
        <v>14498456</v>
      </c>
      <c r="E39" s="270">
        <f>IF(ISBLANK(D39),"-",$D$48/$D$45*D39)</f>
        <v>15289394.73701972</v>
      </c>
      <c r="F39" s="269">
        <v>16938611</v>
      </c>
      <c r="G39" s="271">
        <f>IF(ISBLANK(F39),"-",$D$48/$F$45*F39)</f>
        <v>15112188.203033105</v>
      </c>
      <c r="H39" s="255"/>
    </row>
    <row r="40" spans="1:8" ht="26.25" customHeight="1" x14ac:dyDescent="0.4">
      <c r="A40" s="258" t="s">
        <v>71</v>
      </c>
      <c r="B40" s="259">
        <v>1</v>
      </c>
      <c r="C40" s="268">
        <v>3</v>
      </c>
      <c r="D40" s="269">
        <v>14641620</v>
      </c>
      <c r="E40" s="270">
        <f>IF(ISBLANK(D40),"-",$D$48/$D$45*D40)</f>
        <v>15440368.806819336</v>
      </c>
      <c r="F40" s="269">
        <v>16858693</v>
      </c>
      <c r="G40" s="271">
        <f>IF(ISBLANK(F40),"-",$D$48/$F$45*F40)</f>
        <v>15040887.441901628</v>
      </c>
      <c r="H40" s="237"/>
    </row>
    <row r="41" spans="1:8" ht="26.25" customHeight="1" x14ac:dyDescent="0.4">
      <c r="A41" s="258" t="s">
        <v>72</v>
      </c>
      <c r="B41" s="259">
        <v>1</v>
      </c>
      <c r="C41" s="272">
        <v>4</v>
      </c>
      <c r="D41" s="273"/>
      <c r="E41" s="274" t="str">
        <f>IF(ISBLANK(D41),"-",$D$48/$D$45*D41)</f>
        <v>-</v>
      </c>
      <c r="F41" s="273"/>
      <c r="G41" s="275" t="str">
        <f>IF(ISBLANK(F41),"-",$D$48/$F$45*F41)</f>
        <v>-</v>
      </c>
      <c r="H41" s="237"/>
    </row>
    <row r="42" spans="1:8" ht="27" customHeight="1" x14ac:dyDescent="0.4">
      <c r="A42" s="258" t="s">
        <v>73</v>
      </c>
      <c r="B42" s="259">
        <v>1</v>
      </c>
      <c r="C42" s="276" t="s">
        <v>74</v>
      </c>
      <c r="D42" s="277">
        <f>AVERAGE(D38:D41)</f>
        <v>14592802</v>
      </c>
      <c r="E42" s="278">
        <f>AVERAGE(E38:E41)</f>
        <v>15388887.623424925</v>
      </c>
      <c r="F42" s="277">
        <f>AVERAGE(F38:F41)</f>
        <v>16883595.333333332</v>
      </c>
      <c r="G42" s="279">
        <f>AVERAGE(G38:G41)</f>
        <v>15063104.656053841</v>
      </c>
      <c r="H42" s="280"/>
    </row>
    <row r="43" spans="1:8" ht="26.25" customHeight="1" x14ac:dyDescent="0.4">
      <c r="A43" s="258" t="s">
        <v>75</v>
      </c>
      <c r="B43" s="259">
        <v>1</v>
      </c>
      <c r="C43" s="281" t="s">
        <v>76</v>
      </c>
      <c r="D43" s="282">
        <v>9.7799999999999994</v>
      </c>
      <c r="E43" s="283"/>
      <c r="F43" s="282">
        <v>11.56</v>
      </c>
      <c r="G43" s="237"/>
      <c r="H43" s="280"/>
    </row>
    <row r="44" spans="1:8" ht="26.25" customHeight="1" x14ac:dyDescent="0.4">
      <c r="A44" s="258" t="s">
        <v>77</v>
      </c>
      <c r="B44" s="259">
        <v>1</v>
      </c>
      <c r="C44" s="284" t="s">
        <v>78</v>
      </c>
      <c r="D44" s="285">
        <f>D43*$B$34</f>
        <v>9.7799999999999994</v>
      </c>
      <c r="E44" s="286"/>
      <c r="F44" s="285">
        <f>F43*$B$34</f>
        <v>11.56</v>
      </c>
      <c r="G44" s="237"/>
      <c r="H44" s="280"/>
    </row>
    <row r="45" spans="1:8" ht="19.5" customHeight="1" x14ac:dyDescent="0.3">
      <c r="A45" s="258" t="s">
        <v>79</v>
      </c>
      <c r="B45" s="287">
        <f>(B44/B43)*(B42/B41)*(B40/B39)*(B38/B37)*B36</f>
        <v>50</v>
      </c>
      <c r="C45" s="284" t="s">
        <v>80</v>
      </c>
      <c r="D45" s="288">
        <f>D44*$B$30/100</f>
        <v>9.4826879999999978</v>
      </c>
      <c r="E45" s="289"/>
      <c r="F45" s="288">
        <f>F44*$B$30/100</f>
        <v>11.208576000000001</v>
      </c>
      <c r="G45" s="237"/>
      <c r="H45" s="280"/>
    </row>
    <row r="46" spans="1:8" ht="19.5" customHeight="1" x14ac:dyDescent="0.3">
      <c r="A46" s="386" t="s">
        <v>81</v>
      </c>
      <c r="B46" s="387"/>
      <c r="C46" s="284" t="s">
        <v>82</v>
      </c>
      <c r="D46" s="285">
        <f>D45/$B$45</f>
        <v>0.18965375999999995</v>
      </c>
      <c r="E46" s="289"/>
      <c r="F46" s="290">
        <f>F45/$B$45</f>
        <v>0.22417152000000001</v>
      </c>
      <c r="G46" s="237"/>
      <c r="H46" s="280"/>
    </row>
    <row r="47" spans="1:8" ht="27" customHeight="1" x14ac:dyDescent="0.4">
      <c r="A47" s="388"/>
      <c r="B47" s="389"/>
      <c r="C47" s="291" t="s">
        <v>83</v>
      </c>
      <c r="D47" s="292">
        <v>0.2</v>
      </c>
      <c r="E47" s="237"/>
      <c r="F47" s="293"/>
      <c r="G47" s="237"/>
      <c r="H47" s="280"/>
    </row>
    <row r="48" spans="1:8" ht="18.75" customHeight="1" x14ac:dyDescent="0.3">
      <c r="A48" s="237"/>
      <c r="B48" s="237"/>
      <c r="C48" s="294" t="s">
        <v>84</v>
      </c>
      <c r="D48" s="285">
        <f>D47*$B$45</f>
        <v>10</v>
      </c>
      <c r="E48" s="237"/>
      <c r="F48" s="293"/>
      <c r="G48" s="237"/>
      <c r="H48" s="280"/>
    </row>
    <row r="49" spans="1:8" ht="19.5" customHeight="1" x14ac:dyDescent="0.3">
      <c r="A49" s="237"/>
      <c r="B49" s="237"/>
      <c r="C49" s="295" t="s">
        <v>85</v>
      </c>
      <c r="D49" s="296">
        <f>D48/B34</f>
        <v>10</v>
      </c>
      <c r="E49" s="237"/>
      <c r="F49" s="293"/>
      <c r="G49" s="237"/>
      <c r="H49" s="280"/>
    </row>
    <row r="50" spans="1:8" ht="18.75" customHeight="1" x14ac:dyDescent="0.3">
      <c r="A50" s="237"/>
      <c r="B50" s="237"/>
      <c r="C50" s="256" t="s">
        <v>86</v>
      </c>
      <c r="D50" s="297">
        <f>AVERAGE(E38:E41,G38:G41)</f>
        <v>15225996.139739381</v>
      </c>
      <c r="E50" s="237"/>
      <c r="F50" s="298"/>
      <c r="G50" s="237"/>
      <c r="H50" s="280"/>
    </row>
    <row r="51" spans="1:8" ht="18.75" customHeight="1" x14ac:dyDescent="0.3">
      <c r="A51" s="237"/>
      <c r="B51" s="237"/>
      <c r="C51" s="291" t="s">
        <v>87</v>
      </c>
      <c r="D51" s="299">
        <f>STDEV(E38:E41,G38:G41)/D50</f>
        <v>1.2380819408297775E-2</v>
      </c>
      <c r="E51" s="237"/>
      <c r="F51" s="298"/>
      <c r="G51" s="237"/>
      <c r="H51" s="280"/>
    </row>
    <row r="52" spans="1:8" ht="19.5" customHeight="1" x14ac:dyDescent="0.3">
      <c r="A52" s="237"/>
      <c r="B52" s="237"/>
      <c r="C52" s="300" t="s">
        <v>20</v>
      </c>
      <c r="D52" s="301">
        <f>COUNT(E38:E41,G38:G41)</f>
        <v>6</v>
      </c>
      <c r="E52" s="237"/>
      <c r="F52" s="298"/>
      <c r="G52" s="237"/>
      <c r="H52" s="237"/>
    </row>
    <row r="53" spans="1:8" ht="18.75" customHeight="1" x14ac:dyDescent="0.3">
      <c r="A53" s="237"/>
      <c r="B53" s="237"/>
      <c r="C53" s="237"/>
      <c r="D53" s="237"/>
      <c r="E53" s="237"/>
      <c r="F53" s="237"/>
      <c r="G53" s="237"/>
      <c r="H53" s="237"/>
    </row>
    <row r="54" spans="1:8" ht="18.75" customHeight="1" x14ac:dyDescent="0.3">
      <c r="A54" s="238" t="s">
        <v>1</v>
      </c>
      <c r="B54" s="302" t="s">
        <v>88</v>
      </c>
      <c r="C54" s="237"/>
      <c r="D54" s="237"/>
      <c r="E54" s="237"/>
      <c r="F54" s="237"/>
      <c r="G54" s="237"/>
      <c r="H54" s="237"/>
    </row>
    <row r="55" spans="1:8" ht="18.75" customHeight="1" x14ac:dyDescent="0.3">
      <c r="A55" s="237" t="s">
        <v>89</v>
      </c>
      <c r="B55" s="303" t="str">
        <f>B21</f>
        <v>Each vial contains Amoxicillin 1 G and Clavulanic Acid 200 mg</v>
      </c>
      <c r="C55" s="237"/>
      <c r="D55" s="237"/>
      <c r="E55" s="237"/>
      <c r="F55" s="237"/>
      <c r="G55" s="237"/>
      <c r="H55" s="237"/>
    </row>
    <row r="56" spans="1:8" ht="26.25" customHeight="1" x14ac:dyDescent="0.4">
      <c r="A56" s="304" t="s">
        <v>90</v>
      </c>
      <c r="B56" s="305">
        <v>200</v>
      </c>
      <c r="C56" s="237" t="str">
        <f>B20</f>
        <v>Amoxicillin and Clavulanic Acid</v>
      </c>
      <c r="D56" s="237"/>
      <c r="E56" s="237"/>
      <c r="F56" s="237"/>
      <c r="G56" s="237"/>
      <c r="H56" s="306"/>
    </row>
    <row r="57" spans="1:8" ht="18.75" customHeight="1" x14ac:dyDescent="0.3">
      <c r="A57" s="303" t="s">
        <v>91</v>
      </c>
      <c r="B57" s="354">
        <f>Uniformity!B47</f>
        <v>1430.2665000000009</v>
      </c>
      <c r="C57" s="237"/>
      <c r="D57" s="237"/>
      <c r="E57" s="237"/>
      <c r="F57" s="237"/>
      <c r="G57" s="237"/>
      <c r="H57" s="306"/>
    </row>
    <row r="58" spans="1:8" ht="19.5" customHeight="1" x14ac:dyDescent="0.3">
      <c r="A58" s="237"/>
      <c r="B58" s="237"/>
      <c r="C58" s="237"/>
      <c r="D58" s="237"/>
      <c r="E58" s="237"/>
      <c r="F58" s="237"/>
      <c r="G58" s="237"/>
      <c r="H58" s="306"/>
    </row>
    <row r="59" spans="1:8" ht="27" customHeight="1" x14ac:dyDescent="0.4">
      <c r="A59" s="256" t="s">
        <v>92</v>
      </c>
      <c r="B59" s="257">
        <v>100</v>
      </c>
      <c r="C59" s="237"/>
      <c r="D59" s="307" t="s">
        <v>93</v>
      </c>
      <c r="E59" s="308" t="s">
        <v>66</v>
      </c>
      <c r="F59" s="308" t="s">
        <v>67</v>
      </c>
      <c r="G59" s="308" t="s">
        <v>94</v>
      </c>
      <c r="H59" s="260" t="s">
        <v>95</v>
      </c>
    </row>
    <row r="60" spans="1:8" ht="26.25" customHeight="1" x14ac:dyDescent="0.4">
      <c r="A60" s="258" t="s">
        <v>96</v>
      </c>
      <c r="B60" s="259">
        <v>1</v>
      </c>
      <c r="C60" s="366" t="s">
        <v>97</v>
      </c>
      <c r="D60" s="369">
        <v>155.37</v>
      </c>
      <c r="E60" s="309">
        <v>1</v>
      </c>
      <c r="F60" s="310">
        <v>16951621</v>
      </c>
      <c r="G60" s="311">
        <f>IF(ISBLANK(F60),"-",(F60/$D$50*$D$47*$B$68)*($B$57/$D$60))</f>
        <v>204.97708616695439</v>
      </c>
      <c r="H60" s="312">
        <f t="shared" ref="H60:H71" si="0">IF(ISBLANK(F60),"-",G60/$B$56)</f>
        <v>1.0248854308347719</v>
      </c>
    </row>
    <row r="61" spans="1:8" ht="26.25" customHeight="1" x14ac:dyDescent="0.4">
      <c r="A61" s="258" t="s">
        <v>98</v>
      </c>
      <c r="B61" s="259">
        <v>1</v>
      </c>
      <c r="C61" s="367"/>
      <c r="D61" s="370"/>
      <c r="E61" s="313">
        <v>2</v>
      </c>
      <c r="F61" s="269">
        <v>16784359</v>
      </c>
      <c r="G61" s="314">
        <f>IF(ISBLANK(F61),"-",(F61/$D$50*$D$47*$B$68)*($B$57/$D$60))</f>
        <v>202.95457295795467</v>
      </c>
      <c r="H61" s="315">
        <f t="shared" si="0"/>
        <v>1.0147728647897734</v>
      </c>
    </row>
    <row r="62" spans="1:8" ht="26.25" customHeight="1" x14ac:dyDescent="0.4">
      <c r="A62" s="258" t="s">
        <v>99</v>
      </c>
      <c r="B62" s="259">
        <v>1</v>
      </c>
      <c r="C62" s="367"/>
      <c r="D62" s="370"/>
      <c r="E62" s="313">
        <v>3</v>
      </c>
      <c r="F62" s="269">
        <v>16680719</v>
      </c>
      <c r="G62" s="314">
        <f>IF(ISBLANK(F62),"-",(F62/$D$50*$D$47*$B$68)*($B$57/$D$60))</f>
        <v>201.70136978580121</v>
      </c>
      <c r="H62" s="315">
        <f t="shared" si="0"/>
        <v>1.0085068489290061</v>
      </c>
    </row>
    <row r="63" spans="1:8" ht="27" customHeight="1" x14ac:dyDescent="0.4">
      <c r="A63" s="258" t="s">
        <v>100</v>
      </c>
      <c r="B63" s="259">
        <v>1</v>
      </c>
      <c r="C63" s="368"/>
      <c r="D63" s="371"/>
      <c r="E63" s="316">
        <v>4</v>
      </c>
      <c r="F63" s="317"/>
      <c r="G63" s="314" t="str">
        <f>IF(ISBLANK(F63),"-",(F63/$D$50*$D$47*$B$68)*($B$57/$D$60))</f>
        <v>-</v>
      </c>
      <c r="H63" s="315" t="str">
        <f t="shared" si="0"/>
        <v>-</v>
      </c>
    </row>
    <row r="64" spans="1:8" ht="26.25" customHeight="1" x14ac:dyDescent="0.4">
      <c r="A64" s="258" t="s">
        <v>101</v>
      </c>
      <c r="B64" s="259">
        <v>1</v>
      </c>
      <c r="C64" s="366" t="s">
        <v>102</v>
      </c>
      <c r="D64" s="369">
        <v>139.91</v>
      </c>
      <c r="E64" s="309">
        <v>1</v>
      </c>
      <c r="F64" s="310">
        <v>15135387</v>
      </c>
      <c r="G64" s="318">
        <f>IF(ISBLANK(F64),"-",(F64/$D$50*$D$47*$B$68)*($B$57/$D$64))</f>
        <v>203.23851844165654</v>
      </c>
      <c r="H64" s="319">
        <f t="shared" si="0"/>
        <v>1.0161925922082826</v>
      </c>
    </row>
    <row r="65" spans="1:8" ht="26.25" customHeight="1" x14ac:dyDescent="0.4">
      <c r="A65" s="258" t="s">
        <v>103</v>
      </c>
      <c r="B65" s="259">
        <v>1</v>
      </c>
      <c r="C65" s="367"/>
      <c r="D65" s="370"/>
      <c r="E65" s="313">
        <v>2</v>
      </c>
      <c r="F65" s="269">
        <v>15127877</v>
      </c>
      <c r="G65" s="320">
        <f>IF(ISBLANK(F65),"-",(F65/$D$50*$D$47*$B$68)*($B$57/$D$64))</f>
        <v>203.13767389281895</v>
      </c>
      <c r="H65" s="321">
        <f t="shared" si="0"/>
        <v>1.0156883694640948</v>
      </c>
    </row>
    <row r="66" spans="1:8" ht="26.25" customHeight="1" x14ac:dyDescent="0.4">
      <c r="A66" s="258" t="s">
        <v>104</v>
      </c>
      <c r="B66" s="259">
        <v>1</v>
      </c>
      <c r="C66" s="367"/>
      <c r="D66" s="370"/>
      <c r="E66" s="313">
        <v>3</v>
      </c>
      <c r="F66" s="269">
        <v>15276843</v>
      </c>
      <c r="G66" s="320">
        <f>IF(ISBLANK(F66),"-",(F66/$D$50*$D$47*$B$68)*($B$57/$D$64))</f>
        <v>205.13799467339626</v>
      </c>
      <c r="H66" s="321">
        <f t="shared" si="0"/>
        <v>1.0256899733669813</v>
      </c>
    </row>
    <row r="67" spans="1:8" ht="27" customHeight="1" x14ac:dyDescent="0.4">
      <c r="A67" s="258" t="s">
        <v>105</v>
      </c>
      <c r="B67" s="259">
        <v>1</v>
      </c>
      <c r="C67" s="368"/>
      <c r="D67" s="371"/>
      <c r="E67" s="316">
        <v>4</v>
      </c>
      <c r="F67" s="317"/>
      <c r="G67" s="322" t="str">
        <f>IF(ISBLANK(F67),"-",(F67/$D$50*$D$47*$B$68)*($B$57/$D$64))</f>
        <v>-</v>
      </c>
      <c r="H67" s="323" t="str">
        <f t="shared" si="0"/>
        <v>-</v>
      </c>
    </row>
    <row r="68" spans="1:8" ht="26.25" customHeight="1" x14ac:dyDescent="0.4">
      <c r="A68" s="258" t="s">
        <v>106</v>
      </c>
      <c r="B68" s="324">
        <f>(B67/B66)*(B65/B64)*(B63/B62)*(B61/B60)*B59</f>
        <v>100</v>
      </c>
      <c r="C68" s="366" t="s">
        <v>107</v>
      </c>
      <c r="D68" s="369">
        <v>184</v>
      </c>
      <c r="E68" s="309">
        <v>1</v>
      </c>
      <c r="F68" s="310">
        <v>19774346</v>
      </c>
      <c r="G68" s="318">
        <f>IF(ISBLANK(F68),"-",(F68/$D$50*$D$47*$B$68)*($B$57/$D$68))</f>
        <v>201.90429281234023</v>
      </c>
      <c r="H68" s="315">
        <f t="shared" si="0"/>
        <v>1.0095214640617012</v>
      </c>
    </row>
    <row r="69" spans="1:8" ht="27" customHeight="1" x14ac:dyDescent="0.4">
      <c r="A69" s="300" t="s">
        <v>108</v>
      </c>
      <c r="B69" s="325">
        <f>(D47*B68)/B56*B57</f>
        <v>143.0266500000001</v>
      </c>
      <c r="C69" s="367"/>
      <c r="D69" s="370"/>
      <c r="E69" s="313">
        <v>2</v>
      </c>
      <c r="F69" s="269">
        <v>19411648</v>
      </c>
      <c r="G69" s="320">
        <f>IF(ISBLANK(F69),"-",(F69/$D$50*$D$47*$B$68)*($B$57/$D$68))</f>
        <v>198.20099545957567</v>
      </c>
      <c r="H69" s="315">
        <f t="shared" si="0"/>
        <v>0.99100497729787829</v>
      </c>
    </row>
    <row r="70" spans="1:8" ht="26.25" customHeight="1" x14ac:dyDescent="0.4">
      <c r="A70" s="386" t="s">
        <v>81</v>
      </c>
      <c r="B70" s="387"/>
      <c r="C70" s="367"/>
      <c r="D70" s="370"/>
      <c r="E70" s="313">
        <v>3</v>
      </c>
      <c r="F70" s="269">
        <v>19450735</v>
      </c>
      <c r="G70" s="320">
        <f>IF(ISBLANK(F70),"-",(F70/$D$50*$D$47*$B$68)*($B$57/$D$68))</f>
        <v>198.600089977956</v>
      </c>
      <c r="H70" s="315">
        <f t="shared" si="0"/>
        <v>0.99300044988977998</v>
      </c>
    </row>
    <row r="71" spans="1:8" ht="27" customHeight="1" x14ac:dyDescent="0.4">
      <c r="A71" s="388"/>
      <c r="B71" s="389"/>
      <c r="C71" s="391"/>
      <c r="D71" s="371"/>
      <c r="E71" s="316">
        <v>4</v>
      </c>
      <c r="F71" s="317"/>
      <c r="G71" s="322" t="str">
        <f>IF(ISBLANK(F71),"-",(F71/$D$50*$D$47*$B$68)*($B$57/$D$68))</f>
        <v>-</v>
      </c>
      <c r="H71" s="326" t="str">
        <f t="shared" si="0"/>
        <v>-</v>
      </c>
    </row>
    <row r="72" spans="1:8" ht="26.25" customHeight="1" x14ac:dyDescent="0.4">
      <c r="A72" s="327"/>
      <c r="B72" s="327"/>
      <c r="C72" s="327"/>
      <c r="D72" s="327"/>
      <c r="E72" s="327"/>
      <c r="F72" s="328"/>
      <c r="G72" s="329" t="s">
        <v>74</v>
      </c>
      <c r="H72" s="330">
        <f>AVERAGE(H60:H71)</f>
        <v>1.0110292189824743</v>
      </c>
    </row>
    <row r="73" spans="1:8" ht="26.25" customHeight="1" x14ac:dyDescent="0.4">
      <c r="A73" s="237"/>
      <c r="B73" s="237"/>
      <c r="C73" s="327"/>
      <c r="D73" s="327"/>
      <c r="E73" s="327"/>
      <c r="F73" s="328"/>
      <c r="G73" s="331" t="s">
        <v>87</v>
      </c>
      <c r="H73" s="332">
        <f>STDEV(H60:H71)/H72</f>
        <v>1.2133802591354175E-2</v>
      </c>
    </row>
    <row r="74" spans="1:8" ht="27" customHeight="1" x14ac:dyDescent="0.4">
      <c r="A74" s="327"/>
      <c r="B74" s="327"/>
      <c r="C74" s="328"/>
      <c r="D74" s="328"/>
      <c r="E74" s="333"/>
      <c r="F74" s="328"/>
      <c r="G74" s="334" t="s">
        <v>20</v>
      </c>
      <c r="H74" s="335">
        <f>COUNT(H60:H71)</f>
        <v>9</v>
      </c>
    </row>
    <row r="75" spans="1:8" ht="18.75" customHeight="1" x14ac:dyDescent="0.3">
      <c r="A75" s="336"/>
      <c r="B75" s="336"/>
      <c r="C75" s="286"/>
      <c r="D75" s="286"/>
      <c r="E75" s="289"/>
      <c r="F75" s="286"/>
      <c r="G75" s="337"/>
      <c r="H75" s="338"/>
    </row>
    <row r="76" spans="1:8" ht="26.25" customHeight="1" x14ac:dyDescent="0.4">
      <c r="A76" s="244" t="s">
        <v>109</v>
      </c>
      <c r="B76" s="339" t="s">
        <v>110</v>
      </c>
      <c r="C76" s="392" t="str">
        <f>B20</f>
        <v>Amoxicillin and Clavulanic Acid</v>
      </c>
      <c r="D76" s="392"/>
      <c r="E76" s="340" t="s">
        <v>111</v>
      </c>
      <c r="F76" s="340"/>
      <c r="G76" s="341">
        <f>H72</f>
        <v>1.0110292189824743</v>
      </c>
      <c r="H76" s="338"/>
    </row>
    <row r="77" spans="1:8" ht="19.5" customHeight="1" x14ac:dyDescent="0.3">
      <c r="A77" s="342"/>
      <c r="B77" s="342"/>
      <c r="C77" s="343"/>
      <c r="D77" s="343"/>
      <c r="E77" s="343"/>
      <c r="F77" s="343"/>
      <c r="G77" s="343"/>
      <c r="H77" s="343"/>
    </row>
    <row r="78" spans="1:8" ht="18.75" customHeight="1" x14ac:dyDescent="0.3">
      <c r="A78" s="237"/>
      <c r="B78" s="390" t="s">
        <v>26</v>
      </c>
      <c r="C78" s="390"/>
      <c r="D78" s="237"/>
      <c r="E78" s="344" t="s">
        <v>27</v>
      </c>
      <c r="F78" s="345"/>
      <c r="G78" s="390" t="s">
        <v>28</v>
      </c>
      <c r="H78" s="390"/>
    </row>
    <row r="79" spans="1:8" ht="60" customHeight="1" x14ac:dyDescent="0.3">
      <c r="A79" s="346" t="s">
        <v>29</v>
      </c>
      <c r="B79" s="347"/>
      <c r="C79" s="347"/>
      <c r="D79" s="237"/>
      <c r="E79" s="348"/>
      <c r="F79" s="349"/>
      <c r="G79" s="350"/>
      <c r="H79" s="350"/>
    </row>
    <row r="80" spans="1:8" ht="60" customHeight="1" x14ac:dyDescent="0.3">
      <c r="A80" s="346" t="s">
        <v>30</v>
      </c>
      <c r="B80" s="351"/>
      <c r="C80" s="351"/>
      <c r="D80" s="237"/>
      <c r="E80" s="352"/>
      <c r="F80" s="349"/>
      <c r="G80" s="353"/>
      <c r="H80" s="353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Uniformity</vt:lpstr>
      <vt:lpstr>amoxicillin</vt:lpstr>
      <vt:lpstr>Clavulanate lithium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2016-07-06T16:29:42Z</dcterms:modified>
  <cp:category/>
</cp:coreProperties>
</file>