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5" r:id="rId1"/>
    <sheet name="Uniformity" sheetId="2" r:id="rId2"/>
    <sheet name="amoxicillin Trihydrate" sheetId="3" r:id="rId3"/>
    <sheet name="Clavulanate lithium" sheetId="4" r:id="rId4"/>
  </sheet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57" i="3"/>
  <c r="B57" i="4"/>
  <c r="C76" i="4"/>
  <c r="H71" i="4"/>
  <c r="G71" i="4"/>
  <c r="B68" i="4"/>
  <c r="B69" i="4" s="1"/>
  <c r="H67" i="4"/>
  <c r="G67" i="4"/>
  <c r="H63" i="4"/>
  <c r="G63" i="4"/>
  <c r="C56" i="4"/>
  <c r="B55" i="4"/>
  <c r="B45" i="4"/>
  <c r="D48" i="4" s="1"/>
  <c r="D49" i="4" s="1"/>
  <c r="F42" i="4"/>
  <c r="D42" i="4"/>
  <c r="G41" i="4"/>
  <c r="E41" i="4"/>
  <c r="G40" i="4"/>
  <c r="E40" i="4"/>
  <c r="G39" i="4"/>
  <c r="G42" i="4" s="1"/>
  <c r="E39" i="4"/>
  <c r="G38" i="4"/>
  <c r="E38" i="4"/>
  <c r="B34" i="4"/>
  <c r="F44" i="4" s="1"/>
  <c r="B30" i="4"/>
  <c r="C76" i="3"/>
  <c r="H71" i="3"/>
  <c r="G71" i="3"/>
  <c r="B68" i="3"/>
  <c r="H67" i="3"/>
  <c r="G67" i="3"/>
  <c r="H63" i="3"/>
  <c r="G63" i="3"/>
  <c r="C56" i="3"/>
  <c r="B55" i="3"/>
  <c r="B45" i="3"/>
  <c r="D48" i="3" s="1"/>
  <c r="D49" i="3" s="1"/>
  <c r="F42" i="3"/>
  <c r="D42" i="3"/>
  <c r="G41" i="3"/>
  <c r="E41" i="3"/>
  <c r="G40" i="3"/>
  <c r="E40" i="3"/>
  <c r="G39" i="3"/>
  <c r="E39" i="3"/>
  <c r="G38" i="3"/>
  <c r="E38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69" i="3" l="1"/>
  <c r="G42" i="3"/>
  <c r="D50" i="3"/>
  <c r="D52" i="3"/>
  <c r="F45" i="3"/>
  <c r="F46" i="3" s="1"/>
  <c r="D50" i="4"/>
  <c r="F45" i="4"/>
  <c r="F46" i="4" s="1"/>
  <c r="D52" i="4"/>
  <c r="D44" i="4"/>
  <c r="D45" i="4" s="1"/>
  <c r="D46" i="4" s="1"/>
  <c r="D43" i="2"/>
  <c r="E27" i="2" s="1"/>
  <c r="D44" i="3"/>
  <c r="D45" i="3" s="1"/>
  <c r="D46" i="3" s="1"/>
  <c r="E42" i="3"/>
  <c r="E42" i="4"/>
  <c r="D51" i="3" l="1"/>
  <c r="G68" i="3"/>
  <c r="H68" i="3" s="1"/>
  <c r="G66" i="3"/>
  <c r="H66" i="3" s="1"/>
  <c r="G70" i="3"/>
  <c r="H70" i="3" s="1"/>
  <c r="G65" i="3"/>
  <c r="H65" i="3" s="1"/>
  <c r="G62" i="3"/>
  <c r="H62" i="3" s="1"/>
  <c r="G64" i="3"/>
  <c r="H64" i="3" s="1"/>
  <c r="G61" i="3"/>
  <c r="H61" i="3" s="1"/>
  <c r="G69" i="3"/>
  <c r="H69" i="3" s="1"/>
  <c r="G60" i="3"/>
  <c r="H60" i="3" s="1"/>
  <c r="D51" i="4"/>
  <c r="G69" i="4"/>
  <c r="H69" i="4" s="1"/>
  <c r="G60" i="4"/>
  <c r="H60" i="4" s="1"/>
  <c r="G68" i="4"/>
  <c r="H68" i="4" s="1"/>
  <c r="G66" i="4"/>
  <c r="H66" i="4" s="1"/>
  <c r="G65" i="4"/>
  <c r="H65" i="4" s="1"/>
  <c r="G62" i="4"/>
  <c r="H62" i="4" s="1"/>
  <c r="G70" i="4"/>
  <c r="H70" i="4" s="1"/>
  <c r="G64" i="4"/>
  <c r="H64" i="4" s="1"/>
  <c r="G61" i="4"/>
  <c r="H61" i="4" s="1"/>
  <c r="E29" i="2"/>
  <c r="E39" i="2"/>
  <c r="E23" i="2"/>
  <c r="E37" i="2"/>
  <c r="E33" i="2"/>
  <c r="D48" i="2"/>
  <c r="B47" i="2"/>
  <c r="C48" i="2"/>
  <c r="E38" i="2"/>
  <c r="E30" i="2"/>
  <c r="E24" i="2"/>
  <c r="E40" i="2"/>
  <c r="E34" i="2"/>
  <c r="E28" i="2"/>
  <c r="D47" i="2"/>
  <c r="E36" i="2"/>
  <c r="E26" i="2"/>
  <c r="C47" i="2"/>
  <c r="E32" i="2"/>
  <c r="E22" i="2"/>
  <c r="E21" i="2"/>
  <c r="E25" i="2"/>
  <c r="E35" i="2"/>
  <c r="E31" i="2"/>
  <c r="H72" i="3" l="1"/>
  <c r="H74" i="3"/>
  <c r="H72" i="4"/>
  <c r="G76" i="4" s="1"/>
  <c r="H74" i="4"/>
  <c r="H73" i="4"/>
  <c r="G76" i="3" l="1"/>
  <c r="H73" i="3"/>
</calcChain>
</file>

<file path=xl/sharedStrings.xml><?xml version="1.0" encoding="utf-8"?>
<sst xmlns="http://schemas.openxmlformats.org/spreadsheetml/2006/main" count="266" uniqueCount="118">
  <si>
    <t>HPLC System Suitability Report</t>
  </si>
  <si>
    <t>Analysis Data</t>
  </si>
  <si>
    <t>Assay</t>
  </si>
  <si>
    <t>Sample(s)</t>
  </si>
  <si>
    <t>Reference Substance:</t>
  </si>
  <si>
    <t>JUIMENTIN 1.2 G INJECTION</t>
  </si>
  <si>
    <t>% age Purity:</t>
  </si>
  <si>
    <t>NDQD201605951</t>
  </si>
  <si>
    <t>Weight (mg):</t>
  </si>
  <si>
    <t>Amoxicillin and Clavulanic Acid</t>
  </si>
  <si>
    <t>Standard Conc (mg/mL):</t>
  </si>
  <si>
    <t>Each vial contains Amoxicillin 1 G and Clavulanic Acid 200 mg</t>
  </si>
  <si>
    <t>2016-05-13 15:30:16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</si>
  <si>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</si>
  <si>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</si>
  <si>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</si>
  <si>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</si>
  <si>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</si>
  <si>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</si>
  <si>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</si>
  <si>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</si>
  <si>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</si>
  <si>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</si>
  <si>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</si>
  <si>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</si>
  <si>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</si>
  <si>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</si>
  <si>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</si>
  <si>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</si>
  <si>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</si>
  <si>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</si>
  <si>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</si>
  <si>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</si>
  <si>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</si>
  <si>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</si>
  <si>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</si>
  <si>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</si>
  <si>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</si>
  <si>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</si>
  <si>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2016-06-29 15:09:31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</si>
  <si>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</si>
  <si>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</si>
  <si>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</si>
  <si>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</si>
  <si>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</si>
  <si>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</si>
  <si>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</si>
  <si>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</si>
  <si>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</si>
  <si>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</si>
  <si>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</si>
  <si>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</si>
  <si>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</si>
  <si>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</si>
  <si>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</si>
  <si>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</si>
  <si>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</si>
  <si>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</si>
  <si>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</si>
  <si>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</si>
  <si>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</si>
  <si>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</si>
  <si>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</si>
  <si>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</si>
  <si>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</si>
  <si>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</si>
  <si>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</si>
  <si>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</si>
  <si>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</si>
  <si>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</si>
  <si>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</si>
  <si>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</si>
  <si>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</si>
  <si>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</si>
  <si>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</si>
  <si>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</si>
  <si>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</si>
  <si>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</si>
  <si>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</si>
  <si>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</si>
  <si>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</si>
  <si>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</si>
  <si>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</si>
  <si>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</si>
  <si>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</si>
  <si>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</si>
  <si>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</si>
  <si>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</si>
  <si>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</si>
  <si>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</si>
  <si>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</si>
  <si>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</si>
  <si>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</si>
  <si>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</si>
  <si>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</si>
  <si>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</si>
  <si>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</si>
  <si>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</si>
  <si>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</si>
  <si>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</si>
  <si>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</si>
  <si>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</si>
  <si>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</si>
  <si>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</si>
  <si>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</si>
  <si>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</si>
  <si>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</si>
  <si>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</si>
  <si>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</si>
  <si>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</si>
  <si>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</si>
  <si>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</si>
  <si>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Clavulani lthium</t>
  </si>
  <si>
    <t>WRS C64-3</t>
  </si>
  <si>
    <t>Amoxicillin</t>
  </si>
  <si>
    <t>WRS A1-3</t>
  </si>
  <si>
    <t>amoxicillin</t>
  </si>
  <si>
    <t>clavulanic 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</si>
</sst>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2" fillId="2" borderId="0"/>
  </cellStyleXfs>
  <cellXfs count="391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2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24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346" customWidth="1"/>
    <col min="2" max="2" width="20.42578125" style="346" customWidth="1"/>
    <col min="3" max="3" width="31.85546875" style="346" customWidth="1"/>
    <col min="4" max="4" width="25.85546875" style="346" customWidth="1"/>
    <col min="5" max="5" width="25.7109375" style="346" customWidth="1"/>
    <col min="6" max="6" width="23.140625" style="346" customWidth="1"/>
    <col min="7" max="7" width="28.42578125" style="346" customWidth="1"/>
    <col min="8" max="8" width="21.5703125" style="346" customWidth="1"/>
    <col min="9" max="9" width="9.140625" style="346" customWidth="1"/>
    <col min="10" max="16384" width="9.140625" style="383"/>
  </cols>
  <sheetData>
    <row r="14" spans="1:6" ht="15" customHeight="1" x14ac:dyDescent="0.3">
      <c r="A14" s="345"/>
      <c r="C14" s="347"/>
      <c r="F14" s="347"/>
    </row>
    <row r="15" spans="1:6" ht="18.75" customHeight="1" x14ac:dyDescent="0.3">
      <c r="A15" s="348" t="s">
        <v>0</v>
      </c>
      <c r="B15" s="348"/>
      <c r="C15" s="348"/>
      <c r="D15" s="348"/>
      <c r="E15" s="348"/>
    </row>
    <row r="16" spans="1:6" ht="16.5" customHeight="1" x14ac:dyDescent="0.3">
      <c r="A16" s="349" t="s">
        <v>1</v>
      </c>
      <c r="B16" s="350" t="s">
        <v>2</v>
      </c>
    </row>
    <row r="17" spans="1:5" ht="16.5" customHeight="1" x14ac:dyDescent="0.3">
      <c r="A17" s="351" t="s">
        <v>3</v>
      </c>
      <c r="B17" s="351" t="s">
        <v>5</v>
      </c>
      <c r="D17" s="352"/>
      <c r="E17" s="353"/>
    </row>
    <row r="18" spans="1:5" ht="16.5" customHeight="1" x14ac:dyDescent="0.3">
      <c r="A18" s="354" t="s">
        <v>4</v>
      </c>
      <c r="B18" s="351" t="s">
        <v>116</v>
      </c>
      <c r="C18" s="353"/>
      <c r="D18" s="353"/>
      <c r="E18" s="353"/>
    </row>
    <row r="19" spans="1:5" ht="16.5" customHeight="1" x14ac:dyDescent="0.3">
      <c r="A19" s="354" t="s">
        <v>6</v>
      </c>
      <c r="B19" s="355">
        <v>87.84</v>
      </c>
      <c r="C19" s="353"/>
      <c r="D19" s="353"/>
      <c r="E19" s="353"/>
    </row>
    <row r="20" spans="1:5" ht="16.5" customHeight="1" x14ac:dyDescent="0.3">
      <c r="A20" s="351" t="s">
        <v>8</v>
      </c>
      <c r="B20" s="355">
        <v>20.63</v>
      </c>
      <c r="C20" s="353"/>
      <c r="D20" s="353"/>
      <c r="E20" s="353"/>
    </row>
    <row r="21" spans="1:5" ht="16.5" customHeight="1" x14ac:dyDescent="0.3">
      <c r="A21" s="351" t="s">
        <v>10</v>
      </c>
      <c r="B21" s="356">
        <v>1</v>
      </c>
      <c r="C21" s="353"/>
      <c r="D21" s="353"/>
      <c r="E21" s="353"/>
    </row>
    <row r="22" spans="1:5" ht="15.75" customHeight="1" x14ac:dyDescent="0.25">
      <c r="A22" s="353"/>
      <c r="B22" s="353"/>
      <c r="C22" s="353"/>
      <c r="D22" s="353"/>
      <c r="E22" s="353"/>
    </row>
    <row r="23" spans="1:5" ht="16.5" customHeight="1" x14ac:dyDescent="0.3">
      <c r="A23" s="357" t="s">
        <v>13</v>
      </c>
      <c r="B23" s="358" t="s">
        <v>14</v>
      </c>
      <c r="C23" s="357" t="s">
        <v>15</v>
      </c>
      <c r="D23" s="357" t="s">
        <v>16</v>
      </c>
      <c r="E23" s="357" t="s">
        <v>17</v>
      </c>
    </row>
    <row r="24" spans="1:5" ht="16.5" customHeight="1" x14ac:dyDescent="0.3">
      <c r="A24" s="359">
        <v>1</v>
      </c>
      <c r="B24" s="360">
        <v>120272327</v>
      </c>
      <c r="C24" s="360">
        <v>5452.15</v>
      </c>
      <c r="D24" s="361">
        <v>1.04</v>
      </c>
      <c r="E24" s="362">
        <v>5.25</v>
      </c>
    </row>
    <row r="25" spans="1:5" ht="16.5" customHeight="1" x14ac:dyDescent="0.3">
      <c r="A25" s="359">
        <v>2</v>
      </c>
      <c r="B25" s="360">
        <v>118993952</v>
      </c>
      <c r="C25" s="360">
        <v>5614.24</v>
      </c>
      <c r="D25" s="361">
        <v>1.05</v>
      </c>
      <c r="E25" s="361">
        <v>5.25</v>
      </c>
    </row>
    <row r="26" spans="1:5" ht="16.5" customHeight="1" x14ac:dyDescent="0.3">
      <c r="A26" s="359">
        <v>3</v>
      </c>
      <c r="B26" s="360">
        <v>119419662</v>
      </c>
      <c r="C26" s="360">
        <v>5665.93</v>
      </c>
      <c r="D26" s="361">
        <v>1.03</v>
      </c>
      <c r="E26" s="361">
        <v>5.25</v>
      </c>
    </row>
    <row r="27" spans="1:5" ht="16.5" customHeight="1" x14ac:dyDescent="0.3">
      <c r="A27" s="359">
        <v>4</v>
      </c>
      <c r="B27" s="360">
        <v>119876489</v>
      </c>
      <c r="C27" s="360">
        <v>5646.48</v>
      </c>
      <c r="D27" s="361">
        <v>1.03</v>
      </c>
      <c r="E27" s="361">
        <v>5.24</v>
      </c>
    </row>
    <row r="28" spans="1:5" ht="16.5" customHeight="1" x14ac:dyDescent="0.3">
      <c r="A28" s="359">
        <v>5</v>
      </c>
      <c r="B28" s="360">
        <v>120001453</v>
      </c>
      <c r="C28" s="360">
        <v>5646.01</v>
      </c>
      <c r="D28" s="361">
        <v>1.05</v>
      </c>
      <c r="E28" s="361">
        <v>5.24</v>
      </c>
    </row>
    <row r="29" spans="1:5" ht="16.5" customHeight="1" x14ac:dyDescent="0.3">
      <c r="A29" s="359">
        <v>6</v>
      </c>
      <c r="B29" s="363">
        <v>120145001</v>
      </c>
      <c r="C29" s="363">
        <v>5639.71</v>
      </c>
      <c r="D29" s="364">
        <v>1.06</v>
      </c>
      <c r="E29" s="364">
        <v>5.23</v>
      </c>
    </row>
    <row r="30" spans="1:5" ht="16.5" customHeight="1" x14ac:dyDescent="0.3">
      <c r="A30" s="365" t="s">
        <v>18</v>
      </c>
      <c r="B30" s="366">
        <f>AVERAGE(B24:B29)</f>
        <v>119784814</v>
      </c>
      <c r="C30" s="367">
        <f>AVERAGE(C24:C29)</f>
        <v>5610.7533333333331</v>
      </c>
      <c r="D30" s="368">
        <f>AVERAGE(D24:D29)</f>
        <v>1.0433333333333332</v>
      </c>
      <c r="E30" s="368">
        <f>AVERAGE(E24:E29)</f>
        <v>5.2433333333333341</v>
      </c>
    </row>
    <row r="31" spans="1:5" ht="16.5" customHeight="1" x14ac:dyDescent="0.3">
      <c r="A31" s="369" t="s">
        <v>19</v>
      </c>
      <c r="B31" s="370">
        <f>(STDEV(B24:B29)/B30)</f>
        <v>4.0582357701072812E-3</v>
      </c>
      <c r="C31" s="371"/>
      <c r="D31" s="371"/>
      <c r="E31" s="372"/>
    </row>
    <row r="32" spans="1:5" s="346" customFormat="1" ht="16.5" customHeight="1" x14ac:dyDescent="0.3">
      <c r="A32" s="373" t="s">
        <v>20</v>
      </c>
      <c r="B32" s="374">
        <f>COUNT(B24:B29)</f>
        <v>6</v>
      </c>
      <c r="C32" s="375"/>
      <c r="D32" s="376"/>
      <c r="E32" s="377"/>
    </row>
    <row r="33" spans="1:5" s="346" customFormat="1" ht="15.75" customHeight="1" x14ac:dyDescent="0.25">
      <c r="A33" s="353"/>
      <c r="B33" s="353"/>
      <c r="C33" s="353"/>
      <c r="D33" s="353"/>
      <c r="E33" s="353"/>
    </row>
    <row r="34" spans="1:5" s="346" customFormat="1" ht="16.5" customHeight="1" x14ac:dyDescent="0.3">
      <c r="A34" s="354" t="s">
        <v>21</v>
      </c>
      <c r="B34" s="378" t="s">
        <v>22</v>
      </c>
      <c r="C34" s="379"/>
      <c r="D34" s="379"/>
      <c r="E34" s="379"/>
    </row>
    <row r="35" spans="1:5" ht="16.5" customHeight="1" x14ac:dyDescent="0.3">
      <c r="A35" s="354"/>
      <c r="B35" s="378" t="s">
        <v>23</v>
      </c>
      <c r="C35" s="379"/>
      <c r="D35" s="379"/>
      <c r="E35" s="379"/>
    </row>
    <row r="36" spans="1:5" ht="16.5" customHeight="1" x14ac:dyDescent="0.3">
      <c r="A36" s="354"/>
      <c r="B36" s="378" t="s">
        <v>24</v>
      </c>
      <c r="C36" s="379"/>
      <c r="D36" s="379"/>
      <c r="E36" s="379"/>
    </row>
    <row r="37" spans="1:5" ht="15.75" customHeight="1" x14ac:dyDescent="0.25">
      <c r="A37" s="353"/>
      <c r="B37" s="353"/>
      <c r="C37" s="353"/>
      <c r="D37" s="353"/>
      <c r="E37" s="353"/>
    </row>
    <row r="38" spans="1:5" ht="16.5" customHeight="1" x14ac:dyDescent="0.3">
      <c r="A38" s="349" t="s">
        <v>1</v>
      </c>
      <c r="B38" s="350" t="s">
        <v>25</v>
      </c>
    </row>
    <row r="39" spans="1:5" ht="16.5" customHeight="1" x14ac:dyDescent="0.3">
      <c r="A39" s="354" t="s">
        <v>4</v>
      </c>
      <c r="B39" s="351" t="s">
        <v>117</v>
      </c>
      <c r="C39" s="353"/>
      <c r="D39" s="353"/>
      <c r="E39" s="353"/>
    </row>
    <row r="40" spans="1:5" ht="16.5" customHeight="1" x14ac:dyDescent="0.3">
      <c r="A40" s="354" t="s">
        <v>6</v>
      </c>
      <c r="B40" s="355">
        <v>96.96</v>
      </c>
      <c r="C40" s="353"/>
      <c r="D40" s="353"/>
      <c r="E40" s="353"/>
    </row>
    <row r="41" spans="1:5" ht="16.5" customHeight="1" x14ac:dyDescent="0.3">
      <c r="A41" s="351" t="s">
        <v>8</v>
      </c>
      <c r="B41" s="355">
        <v>9.7799999999999994</v>
      </c>
      <c r="C41" s="353"/>
      <c r="D41" s="353"/>
      <c r="E41" s="353"/>
    </row>
    <row r="42" spans="1:5" ht="16.5" customHeight="1" x14ac:dyDescent="0.3">
      <c r="A42" s="351" t="s">
        <v>10</v>
      </c>
      <c r="B42" s="356">
        <v>0.2</v>
      </c>
      <c r="C42" s="353"/>
      <c r="D42" s="353"/>
      <c r="E42" s="353"/>
    </row>
    <row r="43" spans="1:5" ht="15.75" customHeight="1" x14ac:dyDescent="0.25">
      <c r="A43" s="353"/>
      <c r="B43" s="353"/>
      <c r="C43" s="353"/>
      <c r="D43" s="353"/>
      <c r="E43" s="353"/>
    </row>
    <row r="44" spans="1:5" ht="16.5" customHeight="1" x14ac:dyDescent="0.3">
      <c r="A44" s="357" t="s">
        <v>13</v>
      </c>
      <c r="B44" s="358" t="s">
        <v>14</v>
      </c>
      <c r="C44" s="357" t="s">
        <v>15</v>
      </c>
      <c r="D44" s="357" t="s">
        <v>16</v>
      </c>
      <c r="E44" s="357" t="s">
        <v>17</v>
      </c>
    </row>
    <row r="45" spans="1:5" ht="16.5" customHeight="1" x14ac:dyDescent="0.3">
      <c r="A45" s="359">
        <v>1</v>
      </c>
      <c r="B45" s="360">
        <v>14649357</v>
      </c>
      <c r="C45" s="360">
        <v>9039.1</v>
      </c>
      <c r="D45" s="361">
        <v>3.53</v>
      </c>
      <c r="E45" s="362">
        <v>1.1299999999999999</v>
      </c>
    </row>
    <row r="46" spans="1:5" ht="16.5" customHeight="1" x14ac:dyDescent="0.3">
      <c r="A46" s="359">
        <v>2</v>
      </c>
      <c r="B46" s="360">
        <v>14496762</v>
      </c>
      <c r="C46" s="360">
        <v>8977.9</v>
      </c>
      <c r="D46" s="361">
        <v>3.53</v>
      </c>
      <c r="E46" s="361">
        <v>1.1200000000000001</v>
      </c>
    </row>
    <row r="47" spans="1:5" ht="16.5" customHeight="1" x14ac:dyDescent="0.3">
      <c r="A47" s="359">
        <v>3</v>
      </c>
      <c r="B47" s="360">
        <v>14576591</v>
      </c>
      <c r="C47" s="360">
        <v>9045.4699999999993</v>
      </c>
      <c r="D47" s="361">
        <v>3.53</v>
      </c>
      <c r="E47" s="361">
        <v>1.1000000000000001</v>
      </c>
    </row>
    <row r="48" spans="1:5" ht="16.5" customHeight="1" x14ac:dyDescent="0.3">
      <c r="A48" s="359">
        <v>4</v>
      </c>
      <c r="B48" s="360">
        <v>14620612</v>
      </c>
      <c r="C48" s="360">
        <v>9072.49</v>
      </c>
      <c r="D48" s="361">
        <v>3.53</v>
      </c>
      <c r="E48" s="361">
        <v>1.08</v>
      </c>
    </row>
    <row r="49" spans="1:7" ht="16.5" customHeight="1" x14ac:dyDescent="0.3">
      <c r="A49" s="359">
        <v>5</v>
      </c>
      <c r="B49" s="360">
        <v>14647821</v>
      </c>
      <c r="C49" s="360">
        <v>9075.1</v>
      </c>
      <c r="D49" s="361">
        <v>3.53</v>
      </c>
      <c r="E49" s="361">
        <v>1.08</v>
      </c>
    </row>
    <row r="50" spans="1:7" ht="16.5" customHeight="1" x14ac:dyDescent="0.3">
      <c r="A50" s="359">
        <v>6</v>
      </c>
      <c r="B50" s="363">
        <v>14660436</v>
      </c>
      <c r="C50" s="363">
        <v>9034.98</v>
      </c>
      <c r="D50" s="364">
        <v>3.52</v>
      </c>
      <c r="E50" s="364">
        <v>1.1000000000000001</v>
      </c>
    </row>
    <row r="51" spans="1:7" ht="16.5" customHeight="1" x14ac:dyDescent="0.3">
      <c r="A51" s="365" t="s">
        <v>18</v>
      </c>
      <c r="B51" s="366">
        <f>AVERAGE(B45:B50)</f>
        <v>14608596.5</v>
      </c>
      <c r="C51" s="367">
        <f>AVERAGE(C45:C50)</f>
        <v>9040.8399999999983</v>
      </c>
      <c r="D51" s="368">
        <f>AVERAGE(D45:D50)</f>
        <v>3.5283333333333329</v>
      </c>
      <c r="E51" s="368">
        <f>AVERAGE(E45:E50)</f>
        <v>1.1016666666666666</v>
      </c>
    </row>
    <row r="52" spans="1:7" ht="16.5" customHeight="1" x14ac:dyDescent="0.3">
      <c r="A52" s="369" t="s">
        <v>19</v>
      </c>
      <c r="B52" s="370">
        <f>(STDEV(B45:B50)/B51)</f>
        <v>4.2817780935286223E-3</v>
      </c>
      <c r="C52" s="371"/>
      <c r="D52" s="371"/>
      <c r="E52" s="372"/>
    </row>
    <row r="53" spans="1:7" s="346" customFormat="1" ht="16.5" customHeight="1" x14ac:dyDescent="0.3">
      <c r="A53" s="373" t="s">
        <v>20</v>
      </c>
      <c r="B53" s="374">
        <f>COUNT(B45:B50)</f>
        <v>6</v>
      </c>
      <c r="C53" s="375"/>
      <c r="D53" s="376"/>
      <c r="E53" s="377"/>
    </row>
    <row r="54" spans="1:7" s="346" customFormat="1" ht="15.75" customHeight="1" x14ac:dyDescent="0.25">
      <c r="A54" s="353"/>
      <c r="B54" s="353"/>
      <c r="C54" s="353"/>
      <c r="D54" s="353"/>
      <c r="E54" s="353"/>
    </row>
    <row r="55" spans="1:7" s="346" customFormat="1" ht="16.5" customHeight="1" x14ac:dyDescent="0.3">
      <c r="A55" s="354" t="s">
        <v>21</v>
      </c>
      <c r="B55" s="378" t="s">
        <v>22</v>
      </c>
      <c r="C55" s="379"/>
      <c r="D55" s="379"/>
      <c r="E55" s="379"/>
    </row>
    <row r="56" spans="1:7" ht="16.5" customHeight="1" x14ac:dyDescent="0.3">
      <c r="A56" s="354"/>
      <c r="B56" s="378" t="s">
        <v>23</v>
      </c>
      <c r="C56" s="379"/>
      <c r="D56" s="379"/>
      <c r="E56" s="379"/>
    </row>
    <row r="57" spans="1:7" ht="16.5" customHeight="1" x14ac:dyDescent="0.3">
      <c r="A57" s="354"/>
      <c r="B57" s="378" t="s">
        <v>24</v>
      </c>
      <c r="C57" s="379"/>
      <c r="D57" s="379"/>
      <c r="E57" s="379"/>
    </row>
    <row r="58" spans="1:7" ht="14.25" customHeight="1" thickBot="1" x14ac:dyDescent="0.3">
      <c r="A58" s="380"/>
      <c r="B58" s="381"/>
      <c r="D58" s="382"/>
      <c r="F58" s="383"/>
      <c r="G58" s="383"/>
    </row>
    <row r="59" spans="1:7" ht="15" customHeight="1" x14ac:dyDescent="0.3">
      <c r="B59" s="384" t="s">
        <v>26</v>
      </c>
      <c r="C59" s="384"/>
      <c r="E59" s="385" t="s">
        <v>27</v>
      </c>
      <c r="F59" s="386"/>
      <c r="G59" s="385" t="s">
        <v>28</v>
      </c>
    </row>
    <row r="60" spans="1:7" ht="15" customHeight="1" x14ac:dyDescent="0.3">
      <c r="A60" s="387" t="s">
        <v>29</v>
      </c>
      <c r="B60" s="388"/>
      <c r="C60" s="388"/>
      <c r="E60" s="388"/>
      <c r="G60" s="388"/>
    </row>
    <row r="61" spans="1:7" ht="15" customHeight="1" x14ac:dyDescent="0.3">
      <c r="A61" s="387" t="s">
        <v>30</v>
      </c>
      <c r="B61" s="389"/>
      <c r="C61" s="389"/>
      <c r="E61" s="389"/>
      <c r="G61" s="39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34" workbookViewId="0">
      <selection activeCell="A8" sqref="A8:G52"/>
    </sheetView>
  </sheetViews>
  <sheetFormatPr defaultColWidth="9.140625" defaultRowHeight="16.5" x14ac:dyDescent="0.3"/>
  <cols>
    <col min="1" max="1" width="13.140625" style="3" customWidth="1"/>
    <col min="2" max="2" width="17.85546875" style="2" customWidth="1"/>
    <col min="3" max="3" width="18.85546875" style="3" customWidth="1"/>
    <col min="4" max="4" width="19.7109375" style="4" customWidth="1"/>
    <col min="5" max="5" width="18.42578125" style="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20"/>
      <c r="B1" s="21"/>
      <c r="C1" s="20"/>
      <c r="D1" s="22"/>
      <c r="E1" s="23"/>
      <c r="F1" s="21"/>
      <c r="G1" s="23"/>
      <c r="H1" s="5"/>
      <c r="I1" s="6"/>
      <c r="J1" s="5"/>
      <c r="K1" s="14"/>
      <c r="L1" s="5"/>
      <c r="M1" s="6"/>
      <c r="N1" s="5"/>
      <c r="O1" s="6"/>
    </row>
    <row r="2" spans="1:15" ht="15" x14ac:dyDescent="0.3">
      <c r="A2" s="20"/>
      <c r="B2" s="21"/>
      <c r="C2" s="20"/>
      <c r="D2" s="22"/>
      <c r="E2" s="24"/>
      <c r="F2" s="21"/>
      <c r="G2" s="24"/>
      <c r="H2" s="7"/>
      <c r="I2" s="6"/>
      <c r="J2" s="7"/>
      <c r="K2" s="14"/>
      <c r="L2" s="7"/>
      <c r="M2" s="14"/>
      <c r="N2" s="7"/>
      <c r="O2" s="14"/>
    </row>
    <row r="3" spans="1:15" ht="15" x14ac:dyDescent="0.3">
      <c r="A3" s="20"/>
      <c r="B3" s="21"/>
      <c r="C3" s="20"/>
      <c r="D3" s="22"/>
      <c r="E3" s="24"/>
      <c r="F3" s="21"/>
      <c r="G3" s="24"/>
      <c r="H3" s="7"/>
      <c r="I3" s="6"/>
      <c r="J3" s="7"/>
      <c r="K3" s="14"/>
      <c r="L3" s="7"/>
      <c r="M3" s="14"/>
      <c r="N3" s="7"/>
      <c r="O3" s="14"/>
    </row>
    <row r="4" spans="1:15" ht="15" x14ac:dyDescent="0.3">
      <c r="A4" s="20"/>
      <c r="B4" s="21"/>
      <c r="C4" s="20"/>
      <c r="D4" s="22"/>
      <c r="E4" s="24"/>
      <c r="F4" s="21"/>
      <c r="G4" s="24"/>
      <c r="H4" s="7"/>
      <c r="I4" s="6"/>
      <c r="J4" s="7"/>
      <c r="K4" s="14"/>
      <c r="L4" s="7"/>
      <c r="M4" s="14"/>
      <c r="N4" s="7"/>
      <c r="O4" s="14"/>
    </row>
    <row r="5" spans="1:15" ht="15" x14ac:dyDescent="0.3">
      <c r="A5" s="20"/>
      <c r="B5" s="21"/>
      <c r="C5" s="20"/>
      <c r="D5" s="22"/>
      <c r="E5" s="24"/>
      <c r="F5" s="21"/>
      <c r="G5" s="24"/>
      <c r="H5" s="7"/>
      <c r="I5" s="6"/>
      <c r="J5" s="7"/>
      <c r="K5" s="14"/>
      <c r="L5" s="7"/>
      <c r="M5" s="14"/>
      <c r="N5" s="7"/>
      <c r="O5" s="14"/>
    </row>
    <row r="6" spans="1:15" ht="15" x14ac:dyDescent="0.3">
      <c r="A6" s="20"/>
      <c r="B6" s="21"/>
      <c r="C6" s="20"/>
      <c r="D6" s="22"/>
      <c r="E6" s="24"/>
      <c r="F6" s="21"/>
      <c r="G6" s="24"/>
      <c r="H6" s="7"/>
      <c r="I6" s="6"/>
      <c r="J6" s="7"/>
      <c r="K6" s="14"/>
      <c r="L6" s="7"/>
      <c r="M6" s="14"/>
      <c r="N6" s="7"/>
      <c r="O6" s="14"/>
    </row>
    <row r="7" spans="1:15" ht="15" x14ac:dyDescent="0.3">
      <c r="A7" s="20"/>
      <c r="B7" s="21"/>
      <c r="C7" s="20"/>
      <c r="D7" s="22"/>
      <c r="E7" s="24"/>
      <c r="F7" s="21"/>
      <c r="G7" s="24"/>
      <c r="H7" s="7"/>
      <c r="I7" s="6"/>
      <c r="J7" s="7"/>
      <c r="K7" s="14"/>
      <c r="L7" s="7"/>
      <c r="M7" s="14"/>
      <c r="N7" s="7"/>
      <c r="O7" s="14"/>
    </row>
    <row r="8" spans="1:15" ht="19.5" customHeight="1" x14ac:dyDescent="0.3">
      <c r="A8" s="311" t="s">
        <v>31</v>
      </c>
      <c r="B8" s="311"/>
      <c r="C8" s="311"/>
      <c r="D8" s="311"/>
      <c r="E8" s="311"/>
      <c r="F8" s="311"/>
      <c r="G8" s="311"/>
      <c r="H8" s="7"/>
      <c r="I8" s="6"/>
      <c r="J8" s="7"/>
      <c r="K8" s="14"/>
      <c r="L8" s="7"/>
      <c r="M8" s="14"/>
      <c r="N8" s="7"/>
      <c r="O8" s="14"/>
    </row>
    <row r="9" spans="1:15" ht="19.5" customHeight="1" x14ac:dyDescent="0.3">
      <c r="A9" s="25"/>
      <c r="B9" s="25"/>
      <c r="C9" s="25"/>
      <c r="D9" s="25"/>
      <c r="E9" s="25"/>
      <c r="F9" s="25"/>
      <c r="G9" s="25"/>
      <c r="H9" s="7"/>
      <c r="I9" s="6"/>
      <c r="J9" s="7"/>
      <c r="K9" s="14"/>
      <c r="L9" s="7"/>
      <c r="M9" s="14"/>
      <c r="N9" s="7"/>
      <c r="O9" s="14"/>
    </row>
    <row r="10" spans="1:15" ht="16.5" customHeight="1" x14ac:dyDescent="0.3">
      <c r="A10" s="312" t="s">
        <v>32</v>
      </c>
      <c r="B10" s="312"/>
      <c r="C10" s="312"/>
      <c r="D10" s="312"/>
      <c r="E10" s="312"/>
      <c r="F10" s="312"/>
      <c r="G10" s="312"/>
      <c r="H10" s="7"/>
      <c r="I10" s="6"/>
      <c r="J10" s="7"/>
      <c r="K10" s="14"/>
      <c r="L10" s="7"/>
      <c r="M10" s="14"/>
      <c r="N10" s="7"/>
      <c r="O10" s="14"/>
    </row>
    <row r="11" spans="1:15" ht="15" customHeight="1" x14ac:dyDescent="0.3">
      <c r="A11" s="309" t="s">
        <v>33</v>
      </c>
      <c r="B11" s="309"/>
      <c r="C11" s="26" t="s">
        <v>5</v>
      </c>
      <c r="E11" s="7"/>
      <c r="F11" s="6"/>
      <c r="G11" s="7"/>
      <c r="H11" s="7"/>
      <c r="I11" s="6"/>
      <c r="J11" s="7"/>
      <c r="K11" s="14"/>
      <c r="L11" s="7"/>
      <c r="M11" s="14"/>
      <c r="N11" s="7"/>
      <c r="O11" s="14"/>
    </row>
    <row r="12" spans="1:15" ht="15" customHeight="1" x14ac:dyDescent="0.3">
      <c r="A12" s="309" t="s">
        <v>34</v>
      </c>
      <c r="B12" s="309"/>
      <c r="C12" s="26" t="s">
        <v>7</v>
      </c>
      <c r="E12" s="7"/>
      <c r="F12" s="6"/>
      <c r="G12" s="7"/>
      <c r="H12" s="7"/>
      <c r="I12" s="6"/>
      <c r="J12" s="7"/>
      <c r="K12" s="14"/>
      <c r="L12" s="7"/>
      <c r="M12" s="14"/>
      <c r="N12" s="7"/>
      <c r="O12" s="14"/>
    </row>
    <row r="13" spans="1:15" ht="15" customHeight="1" x14ac:dyDescent="0.3">
      <c r="A13" s="309" t="s">
        <v>35</v>
      </c>
      <c r="B13" s="309"/>
      <c r="C13" s="26" t="s">
        <v>9</v>
      </c>
      <c r="E13" s="7"/>
      <c r="F13" s="6"/>
      <c r="G13" s="7"/>
      <c r="H13" s="7"/>
      <c r="I13" s="6"/>
      <c r="J13" s="7"/>
      <c r="K13" s="14"/>
      <c r="L13" s="7"/>
      <c r="M13" s="14"/>
      <c r="N13" s="7"/>
      <c r="O13" s="14"/>
    </row>
    <row r="14" spans="1:15" ht="15" customHeight="1" x14ac:dyDescent="0.3">
      <c r="A14" s="309" t="s">
        <v>36</v>
      </c>
      <c r="B14" s="309"/>
      <c r="C14" s="310" t="s">
        <v>11</v>
      </c>
      <c r="D14" s="310"/>
      <c r="E14" s="310"/>
      <c r="F14" s="310"/>
      <c r="G14" s="310"/>
      <c r="H14" s="7"/>
      <c r="I14" s="6"/>
      <c r="J14" s="7"/>
      <c r="K14" s="14"/>
      <c r="L14" s="7"/>
      <c r="M14" s="14"/>
      <c r="N14" s="7"/>
      <c r="O14" s="14"/>
    </row>
    <row r="15" spans="1:15" ht="15" customHeight="1" x14ac:dyDescent="0.3">
      <c r="A15" s="309" t="s">
        <v>37</v>
      </c>
      <c r="B15" s="309"/>
      <c r="C15" s="27" t="s">
        <v>12</v>
      </c>
      <c r="D15" s="26"/>
      <c r="E15" s="7"/>
      <c r="F15" s="6"/>
      <c r="G15" s="7"/>
      <c r="H15" s="7"/>
      <c r="I15" s="6"/>
      <c r="J15" s="7"/>
      <c r="K15" s="14"/>
      <c r="L15" s="7"/>
      <c r="M15" s="14"/>
      <c r="N15" s="7"/>
      <c r="O15" s="14"/>
    </row>
    <row r="16" spans="1:15" ht="15" customHeight="1" x14ac:dyDescent="0.3">
      <c r="A16" s="309" t="s">
        <v>38</v>
      </c>
      <c r="B16" s="309"/>
      <c r="C16" s="27" t="s">
        <v>39</v>
      </c>
      <c r="D16" s="26"/>
      <c r="E16" s="7"/>
      <c r="F16" s="6"/>
      <c r="G16" s="7"/>
      <c r="H16" s="7"/>
      <c r="I16" s="6"/>
      <c r="J16" s="7"/>
      <c r="K16" s="14"/>
      <c r="L16" s="7"/>
      <c r="M16" s="14"/>
      <c r="N16" s="7"/>
      <c r="O16" s="14"/>
    </row>
    <row r="17" spans="1:15" x14ac:dyDescent="0.3">
      <c r="B17" s="26"/>
      <c r="D17" s="26"/>
      <c r="E17" s="7"/>
      <c r="F17" s="6"/>
      <c r="G17" s="7"/>
      <c r="H17" s="7"/>
      <c r="I17" s="6"/>
      <c r="J17" s="7"/>
      <c r="K17" s="14"/>
      <c r="L17" s="7"/>
      <c r="M17" s="14"/>
      <c r="N17" s="7"/>
      <c r="O17" s="14"/>
    </row>
    <row r="18" spans="1:15" ht="15" customHeight="1" x14ac:dyDescent="0.3">
      <c r="A18" s="313" t="s">
        <v>1</v>
      </c>
      <c r="B18" s="313"/>
      <c r="C18" s="28" t="s">
        <v>40</v>
      </c>
      <c r="D18" s="26"/>
      <c r="E18" s="7"/>
      <c r="F18" s="6"/>
      <c r="G18" s="7"/>
      <c r="H18" s="7"/>
      <c r="I18" s="6"/>
      <c r="J18" s="7"/>
      <c r="K18" s="14"/>
      <c r="L18" s="7"/>
      <c r="M18" s="14"/>
      <c r="N18" s="7"/>
      <c r="O18" s="14"/>
    </row>
    <row r="19" spans="1:15" ht="15.75" customHeight="1" x14ac:dyDescent="0.3">
      <c r="A19" s="29"/>
      <c r="B19" s="26"/>
      <c r="D19" s="26"/>
      <c r="E19" s="7"/>
      <c r="F19" s="6"/>
      <c r="G19" s="7"/>
      <c r="H19" s="7"/>
      <c r="I19" s="6"/>
      <c r="J19" s="7"/>
      <c r="K19" s="14"/>
      <c r="L19" s="7"/>
      <c r="M19" s="14"/>
      <c r="N19" s="7"/>
      <c r="O19" s="14"/>
    </row>
    <row r="20" spans="1:15" ht="15.75" customHeight="1" x14ac:dyDescent="0.3">
      <c r="A20" s="30" t="s">
        <v>41</v>
      </c>
      <c r="B20" s="31" t="s">
        <v>42</v>
      </c>
      <c r="C20" s="32" t="s">
        <v>43</v>
      </c>
      <c r="D20" s="30" t="s">
        <v>44</v>
      </c>
      <c r="E20" s="33" t="s">
        <v>45</v>
      </c>
      <c r="G20" s="7"/>
      <c r="H20" s="15"/>
      <c r="I20" s="6"/>
      <c r="J20" s="7"/>
      <c r="K20" s="14"/>
      <c r="L20" s="15"/>
      <c r="M20" s="14"/>
      <c r="N20" s="15"/>
      <c r="O20" s="14"/>
    </row>
    <row r="21" spans="1:15" ht="15" x14ac:dyDescent="0.3">
      <c r="A21" s="34">
        <v>1</v>
      </c>
      <c r="B21" s="35">
        <v>38.9315</v>
      </c>
      <c r="C21" s="36">
        <v>37.52749</v>
      </c>
      <c r="D21" s="37">
        <f t="shared" ref="D21:D40" si="0">B21-C21</f>
        <v>1.4040099999999995</v>
      </c>
      <c r="E21" s="38">
        <f t="shared" ref="E21:E40" si="1">(D21-$D$43)/$D$43</f>
        <v>-1.1349333070446921E-2</v>
      </c>
      <c r="G21" s="7"/>
      <c r="H21" s="15"/>
      <c r="I21" s="6"/>
      <c r="J21" s="7"/>
      <c r="K21" s="14"/>
      <c r="L21" s="15"/>
      <c r="M21" s="14"/>
      <c r="N21" s="15"/>
      <c r="O21" s="14"/>
    </row>
    <row r="22" spans="1:15" ht="15" x14ac:dyDescent="0.3">
      <c r="A22" s="39">
        <v>2</v>
      </c>
      <c r="B22" s="40">
        <v>39.301000000000002</v>
      </c>
      <c r="C22" s="41">
        <v>37.886560000000003</v>
      </c>
      <c r="D22" s="42">
        <f t="shared" si="0"/>
        <v>1.414439999999999</v>
      </c>
      <c r="E22" s="38">
        <f t="shared" si="1"/>
        <v>-4.0049220932638933E-3</v>
      </c>
      <c r="G22" s="7"/>
      <c r="H22" s="15"/>
      <c r="I22" s="6"/>
      <c r="J22" s="7"/>
      <c r="K22" s="14"/>
      <c r="L22" s="15"/>
      <c r="M22" s="14"/>
      <c r="N22" s="15"/>
      <c r="O22" s="14"/>
    </row>
    <row r="23" spans="1:15" ht="15" x14ac:dyDescent="0.3">
      <c r="A23" s="39">
        <v>3</v>
      </c>
      <c r="B23" s="40">
        <v>38.912419999999997</v>
      </c>
      <c r="C23" s="41">
        <v>37.499169999999999</v>
      </c>
      <c r="D23" s="42">
        <f t="shared" si="0"/>
        <v>1.4132499999999979</v>
      </c>
      <c r="E23" s="38">
        <f t="shared" si="1"/>
        <v>-4.8428750235473602E-3</v>
      </c>
      <c r="G23" s="7"/>
      <c r="H23" s="15"/>
      <c r="I23" s="6"/>
      <c r="J23" s="7"/>
      <c r="K23" s="14"/>
      <c r="L23" s="15"/>
      <c r="M23" s="14"/>
      <c r="N23" s="15"/>
      <c r="O23" s="14"/>
    </row>
    <row r="24" spans="1:15" ht="15" x14ac:dyDescent="0.3">
      <c r="A24" s="39">
        <v>4</v>
      </c>
      <c r="B24" s="40">
        <v>38.213279999999997</v>
      </c>
      <c r="C24" s="41">
        <v>36.812150000000003</v>
      </c>
      <c r="D24" s="42">
        <f t="shared" si="0"/>
        <v>1.4011299999999949</v>
      </c>
      <c r="E24" s="38">
        <f t="shared" si="1"/>
        <v>-1.3377319994159514E-2</v>
      </c>
      <c r="G24" s="7"/>
      <c r="H24" s="15"/>
      <c r="I24" s="6"/>
      <c r="J24" s="7"/>
      <c r="K24" s="14"/>
      <c r="L24" s="15"/>
      <c r="M24" s="14"/>
      <c r="N24" s="15"/>
      <c r="O24" s="14"/>
    </row>
    <row r="25" spans="1:15" ht="15" x14ac:dyDescent="0.3">
      <c r="A25" s="39">
        <v>5</v>
      </c>
      <c r="B25" s="40">
        <v>38.398180000000004</v>
      </c>
      <c r="C25" s="41">
        <v>36.968890000000002</v>
      </c>
      <c r="D25" s="42">
        <f t="shared" si="0"/>
        <v>1.4292900000000017</v>
      </c>
      <c r="E25" s="38">
        <f t="shared" si="1"/>
        <v>6.4518854821141542E-3</v>
      </c>
      <c r="G25" s="7"/>
      <c r="H25" s="15"/>
      <c r="I25" s="6"/>
      <c r="J25" s="7"/>
      <c r="K25" s="14"/>
      <c r="L25" s="15"/>
      <c r="M25" s="14"/>
      <c r="N25" s="15"/>
      <c r="O25" s="14"/>
    </row>
    <row r="26" spans="1:15" ht="15" x14ac:dyDescent="0.3">
      <c r="A26" s="39">
        <v>6</v>
      </c>
      <c r="B26" s="40">
        <v>38.884700000000002</v>
      </c>
      <c r="C26" s="41">
        <v>37.460819999999998</v>
      </c>
      <c r="D26" s="42">
        <f t="shared" si="0"/>
        <v>1.423880000000004</v>
      </c>
      <c r="E26" s="38">
        <f t="shared" si="1"/>
        <v>2.6423683788979343E-3</v>
      </c>
      <c r="G26" s="7"/>
      <c r="H26" s="15"/>
      <c r="I26" s="6"/>
      <c r="J26" s="7"/>
      <c r="K26" s="14"/>
      <c r="L26" s="15"/>
      <c r="M26" s="14"/>
      <c r="N26" s="15"/>
      <c r="O26" s="14"/>
    </row>
    <row r="27" spans="1:15" ht="15" x14ac:dyDescent="0.3">
      <c r="A27" s="39">
        <v>7</v>
      </c>
      <c r="B27" s="40">
        <v>39.632060000000003</v>
      </c>
      <c r="C27" s="41">
        <v>38.204079999999998</v>
      </c>
      <c r="D27" s="42">
        <f t="shared" si="0"/>
        <v>1.4279800000000051</v>
      </c>
      <c r="E27" s="38">
        <f t="shared" si="1"/>
        <v>5.5294330966793315E-3</v>
      </c>
      <c r="G27" s="7"/>
      <c r="H27" s="15"/>
      <c r="I27" s="6"/>
      <c r="J27" s="7"/>
      <c r="K27" s="14"/>
      <c r="L27" s="15"/>
      <c r="M27" s="14"/>
      <c r="N27" s="15"/>
      <c r="O27" s="14"/>
    </row>
    <row r="28" spans="1:15" ht="15" x14ac:dyDescent="0.3">
      <c r="A28" s="39">
        <v>8</v>
      </c>
      <c r="B28" s="40">
        <v>38.811140000000002</v>
      </c>
      <c r="C28" s="41">
        <v>37.3733</v>
      </c>
      <c r="D28" s="42">
        <f t="shared" si="0"/>
        <v>1.4378400000000013</v>
      </c>
      <c r="E28" s="38">
        <f t="shared" si="1"/>
        <v>1.2472471661875907E-2</v>
      </c>
      <c r="G28" s="7"/>
      <c r="H28" s="15"/>
      <c r="I28" s="6"/>
      <c r="J28" s="7"/>
      <c r="K28" s="14"/>
      <c r="L28" s="15"/>
      <c r="M28" s="14"/>
      <c r="N28" s="15"/>
      <c r="O28" s="14"/>
    </row>
    <row r="29" spans="1:15" ht="15" x14ac:dyDescent="0.3">
      <c r="A29" s="39">
        <v>9</v>
      </c>
      <c r="B29" s="40">
        <v>39.459600000000002</v>
      </c>
      <c r="C29" s="41">
        <v>38.033740000000002</v>
      </c>
      <c r="D29" s="42">
        <f t="shared" si="0"/>
        <v>1.4258600000000001</v>
      </c>
      <c r="E29" s="38">
        <f t="shared" si="1"/>
        <v>4.0366093889453386E-3</v>
      </c>
      <c r="G29" s="7"/>
      <c r="H29" s="15"/>
      <c r="I29" s="6"/>
      <c r="J29" s="7"/>
      <c r="K29" s="14"/>
      <c r="L29" s="15"/>
      <c r="M29" s="14"/>
      <c r="N29" s="15"/>
      <c r="O29" s="14"/>
    </row>
    <row r="30" spans="1:15" ht="15" x14ac:dyDescent="0.3">
      <c r="A30" s="39">
        <v>10</v>
      </c>
      <c r="B30" s="43">
        <v>39.366779999999999</v>
      </c>
      <c r="C30" s="41">
        <v>37.955829999999999</v>
      </c>
      <c r="D30" s="42">
        <f t="shared" si="0"/>
        <v>1.4109499999999997</v>
      </c>
      <c r="E30" s="38">
        <f t="shared" si="1"/>
        <v>-6.462447914008386E-3</v>
      </c>
      <c r="G30" s="7"/>
      <c r="H30" s="15"/>
      <c r="I30" s="6"/>
      <c r="J30" s="7"/>
      <c r="K30" s="14"/>
      <c r="L30" s="15"/>
      <c r="M30" s="14"/>
      <c r="N30" s="15"/>
      <c r="O30" s="14"/>
    </row>
    <row r="31" spans="1:15" ht="15" x14ac:dyDescent="0.3">
      <c r="A31" s="39">
        <v>11</v>
      </c>
      <c r="B31" s="43">
        <v>39.313929999999999</v>
      </c>
      <c r="C31" s="41">
        <v>37.888869999999997</v>
      </c>
      <c r="D31" s="42">
        <f t="shared" si="0"/>
        <v>1.425060000000002</v>
      </c>
      <c r="E31" s="38">
        <f t="shared" si="1"/>
        <v>3.4732796879162866E-3</v>
      </c>
      <c r="G31" s="8"/>
      <c r="H31" s="8"/>
      <c r="I31" s="8"/>
      <c r="J31" s="8"/>
      <c r="K31" s="14"/>
      <c r="L31" s="8"/>
      <c r="M31" s="9"/>
      <c r="N31" s="8"/>
      <c r="O31" s="9"/>
    </row>
    <row r="32" spans="1:15" ht="15" x14ac:dyDescent="0.3">
      <c r="A32" s="39">
        <v>12</v>
      </c>
      <c r="B32" s="43">
        <v>38.654339999999998</v>
      </c>
      <c r="C32" s="41">
        <v>37.214370000000002</v>
      </c>
      <c r="D32" s="42">
        <f t="shared" si="0"/>
        <v>1.4399699999999953</v>
      </c>
      <c r="E32" s="38">
        <f t="shared" si="1"/>
        <v>1.3972336990865008E-2</v>
      </c>
      <c r="G32" s="8"/>
      <c r="H32" s="8"/>
      <c r="I32" s="8"/>
      <c r="J32" s="8"/>
      <c r="K32" s="14"/>
      <c r="L32" s="8"/>
      <c r="M32" s="8"/>
      <c r="N32" s="8"/>
      <c r="O32" s="8"/>
    </row>
    <row r="33" spans="1:15" ht="15" x14ac:dyDescent="0.3">
      <c r="A33" s="39">
        <v>13</v>
      </c>
      <c r="B33" s="43">
        <v>38.461640000000003</v>
      </c>
      <c r="C33" s="41">
        <v>37.049849999999999</v>
      </c>
      <c r="D33" s="42">
        <f t="shared" si="0"/>
        <v>1.4117900000000034</v>
      </c>
      <c r="E33" s="38">
        <f t="shared" si="1"/>
        <v>-5.8709517279238793E-3</v>
      </c>
      <c r="G33" s="10"/>
      <c r="H33" s="10"/>
      <c r="I33" s="10"/>
      <c r="J33" s="10"/>
      <c r="K33" s="16"/>
      <c r="L33" s="10"/>
      <c r="M33" s="10"/>
      <c r="N33" s="11"/>
      <c r="O33" s="10"/>
    </row>
    <row r="34" spans="1:15" ht="15" x14ac:dyDescent="0.3">
      <c r="A34" s="39">
        <v>14</v>
      </c>
      <c r="B34" s="43">
        <v>39.377870000000001</v>
      </c>
      <c r="C34" s="41">
        <v>37.94923</v>
      </c>
      <c r="D34" s="42">
        <f t="shared" si="0"/>
        <v>1.4286400000000015</v>
      </c>
      <c r="E34" s="38">
        <f t="shared" si="1"/>
        <v>5.9941801000267985E-3</v>
      </c>
      <c r="G34" s="12"/>
      <c r="H34" s="17"/>
      <c r="I34" s="17"/>
      <c r="J34" s="12"/>
      <c r="K34" s="18"/>
      <c r="L34" s="13"/>
      <c r="M34" s="17"/>
      <c r="N34" s="13"/>
      <c r="O34" s="17"/>
    </row>
    <row r="35" spans="1:15" ht="15" x14ac:dyDescent="0.3">
      <c r="A35" s="39">
        <v>15</v>
      </c>
      <c r="B35" s="43">
        <v>38.676580000000001</v>
      </c>
      <c r="C35" s="41">
        <v>37.282029999999999</v>
      </c>
      <c r="D35" s="42">
        <f t="shared" si="0"/>
        <v>1.3945500000000024</v>
      </c>
      <c r="E35" s="38">
        <f t="shared" si="1"/>
        <v>-1.801070678512897E-2</v>
      </c>
      <c r="G35" s="12"/>
      <c r="J35" s="12"/>
      <c r="K35" s="18"/>
      <c r="L35" s="13"/>
      <c r="N35" s="13"/>
    </row>
    <row r="36" spans="1:15" ht="15" x14ac:dyDescent="0.3">
      <c r="A36" s="39">
        <v>16</v>
      </c>
      <c r="B36" s="43">
        <v>38.141629999999999</v>
      </c>
      <c r="C36" s="41">
        <v>36.711350000000003</v>
      </c>
      <c r="D36" s="42">
        <f t="shared" si="0"/>
        <v>1.4302799999999962</v>
      </c>
      <c r="E36" s="38">
        <f t="shared" si="1"/>
        <v>7.1490059871353543E-3</v>
      </c>
      <c r="G36" s="19"/>
      <c r="H36" s="19"/>
    </row>
    <row r="37" spans="1:15" ht="15" x14ac:dyDescent="0.3">
      <c r="A37" s="39">
        <v>17</v>
      </c>
      <c r="B37" s="43">
        <v>38.777520000000003</v>
      </c>
      <c r="C37" s="41">
        <v>37.355559999999997</v>
      </c>
      <c r="D37" s="42">
        <f t="shared" si="0"/>
        <v>1.4219600000000057</v>
      </c>
      <c r="E37" s="38">
        <f t="shared" si="1"/>
        <v>1.2903770964262081E-3</v>
      </c>
    </row>
    <row r="38" spans="1:15" ht="15" x14ac:dyDescent="0.3">
      <c r="A38" s="39">
        <v>18</v>
      </c>
      <c r="B38" s="43">
        <v>39.311340000000001</v>
      </c>
      <c r="C38" s="41">
        <v>37.87856</v>
      </c>
      <c r="D38" s="42">
        <f t="shared" si="0"/>
        <v>1.4327800000000011</v>
      </c>
      <c r="E38" s="38">
        <f t="shared" si="1"/>
        <v>8.9094113028586469E-3</v>
      </c>
    </row>
    <row r="39" spans="1:15" ht="15" x14ac:dyDescent="0.3">
      <c r="A39" s="39">
        <v>19</v>
      </c>
      <c r="B39" s="43">
        <v>38.691549999999999</v>
      </c>
      <c r="C39" s="41">
        <v>37.275889999999997</v>
      </c>
      <c r="D39" s="42">
        <f t="shared" si="0"/>
        <v>1.4156600000000026</v>
      </c>
      <c r="E39" s="38">
        <f t="shared" si="1"/>
        <v>-3.1458442991900855E-3</v>
      </c>
    </row>
    <row r="40" spans="1:15" ht="14.25" customHeight="1" x14ac:dyDescent="0.3">
      <c r="A40" s="44">
        <v>20</v>
      </c>
      <c r="B40" s="45">
        <v>38.977409999999999</v>
      </c>
      <c r="C40" s="46">
        <v>37.56418</v>
      </c>
      <c r="D40" s="47">
        <f t="shared" si="0"/>
        <v>1.4132299999999987</v>
      </c>
      <c r="E40" s="48">
        <f t="shared" si="1"/>
        <v>-4.8569582660725856E-3</v>
      </c>
    </row>
    <row r="41" spans="1:15" ht="14.25" customHeight="1" x14ac:dyDescent="0.3">
      <c r="B41" s="26"/>
      <c r="D41" s="14"/>
      <c r="G41" s="7"/>
    </row>
    <row r="42" spans="1:15" x14ac:dyDescent="0.3">
      <c r="A42" s="49" t="s">
        <v>46</v>
      </c>
      <c r="B42" s="50">
        <f>SUM(B21:B40)</f>
        <v>778.29446999999982</v>
      </c>
      <c r="C42" s="51">
        <f>SUM(C21:C40)</f>
        <v>749.8919199999998</v>
      </c>
      <c r="D42" s="52">
        <f>SUM(D21:D40)</f>
        <v>28.402550000000012</v>
      </c>
    </row>
    <row r="43" spans="1:15" ht="15.75" customHeight="1" x14ac:dyDescent="0.3">
      <c r="A43" s="53" t="s">
        <v>47</v>
      </c>
      <c r="B43" s="54">
        <f>AVERAGE(B21:B40)</f>
        <v>38.914723499999994</v>
      </c>
      <c r="C43" s="55">
        <f>AVERAGE(C21:C40)</f>
        <v>37.494595999999987</v>
      </c>
      <c r="D43" s="56">
        <f>AVERAGE(D21:D40)</f>
        <v>1.4201275000000007</v>
      </c>
    </row>
    <row r="44" spans="1:15" x14ac:dyDescent="0.3">
      <c r="A44" s="20"/>
      <c r="B44" s="57"/>
      <c r="C44" s="57"/>
      <c r="D44" s="26"/>
    </row>
    <row r="45" spans="1:15" ht="14.25" customHeight="1" x14ac:dyDescent="0.3">
      <c r="A45" s="20"/>
      <c r="B45" s="20"/>
      <c r="C45" s="20"/>
      <c r="D45" s="26"/>
    </row>
    <row r="46" spans="1:15" ht="30.75" customHeight="1" x14ac:dyDescent="0.3">
      <c r="B46" s="58" t="s">
        <v>47</v>
      </c>
      <c r="C46" s="59" t="s">
        <v>48</v>
      </c>
    </row>
    <row r="47" spans="1:15" ht="15.75" customHeight="1" x14ac:dyDescent="0.3">
      <c r="B47" s="314">
        <f>D43</f>
        <v>1.4201275000000007</v>
      </c>
      <c r="C47" s="60">
        <f>-(IF(D43&gt;300, 7.5%, 10%))</f>
        <v>-0.1</v>
      </c>
      <c r="D47" s="61">
        <f>IF(D43&lt;300, D43*0.9, D43*0.925)</f>
        <v>1.2781147500000005</v>
      </c>
    </row>
    <row r="48" spans="1:15" ht="15.75" customHeight="1" x14ac:dyDescent="0.3">
      <c r="B48" s="315"/>
      <c r="C48" s="62">
        <f>+(IF(D43&gt;300, 7.5%, 10%))</f>
        <v>0.1</v>
      </c>
      <c r="D48" s="61">
        <f>IF(D43&lt;300, D43*1.1, D43*1.075)</f>
        <v>1.5621402500000008</v>
      </c>
    </row>
    <row r="49" spans="1:7" ht="14.25" customHeight="1" x14ac:dyDescent="0.3">
      <c r="A49" s="63"/>
      <c r="D49" s="64"/>
    </row>
    <row r="50" spans="1:7" ht="15" customHeight="1" x14ac:dyDescent="0.3">
      <c r="B50" s="308" t="s">
        <v>26</v>
      </c>
      <c r="C50" s="308"/>
      <c r="D50" s="26"/>
      <c r="E50" s="65" t="s">
        <v>27</v>
      </c>
      <c r="F50" s="66"/>
      <c r="G50" s="65" t="s">
        <v>28</v>
      </c>
    </row>
    <row r="51" spans="1:7" ht="15" customHeight="1" x14ac:dyDescent="0.3">
      <c r="A51" s="67" t="s">
        <v>29</v>
      </c>
      <c r="B51" s="68"/>
      <c r="C51" s="68"/>
      <c r="D51" s="26"/>
      <c r="E51" s="68"/>
      <c r="F51" s="20"/>
      <c r="G51" s="69"/>
    </row>
    <row r="52" spans="1:7" ht="15" customHeight="1" x14ac:dyDescent="0.3">
      <c r="A52" s="67" t="s">
        <v>30</v>
      </c>
      <c r="B52" s="70"/>
      <c r="C52" s="70"/>
      <c r="D52" s="26"/>
      <c r="E52" s="70"/>
      <c r="F52" s="20"/>
      <c r="G52" s="71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3" priority="1" operator="notBetween">
      <formula>IF(+$D$43&lt;300, -10.5%, -7.5%)</formula>
      <formula>IF(+$D$43&lt;300, 10.5%, 7.5%)</formula>
    </cfRule>
  </conditionalFormatting>
  <conditionalFormatting sqref="E22">
    <cfRule type="cellIs" dxfId="22" priority="2" operator="notBetween">
      <formula>IF(+$D$43&lt;300, -10.5%, -7.5%)</formula>
      <formula>IF(+$D$43&lt;300, 10.5%, 7.5%)</formula>
    </cfRule>
  </conditionalFormatting>
  <conditionalFormatting sqref="E23">
    <cfRule type="cellIs" dxfId="21" priority="3" operator="notBetween">
      <formula>IF(+$D$43&lt;300, -10.5%, -7.5%)</formula>
      <formula>IF(+$D$43&lt;300, 10.5%, 7.5%)</formula>
    </cfRule>
  </conditionalFormatting>
  <conditionalFormatting sqref="E24">
    <cfRule type="cellIs" dxfId="20" priority="4" operator="notBetween">
      <formula>IF(+$D$43&lt;300, -10.5%, -7.5%)</formula>
      <formula>IF(+$D$43&lt;300, 10.5%, 7.5%)</formula>
    </cfRule>
  </conditionalFormatting>
  <conditionalFormatting sqref="E25">
    <cfRule type="cellIs" dxfId="19" priority="5" operator="notBetween">
      <formula>IF(+$D$43&lt;300, -10.5%, -7.5%)</formula>
      <formula>IF(+$D$43&lt;300, 10.5%, 7.5%)</formula>
    </cfRule>
  </conditionalFormatting>
  <conditionalFormatting sqref="E26">
    <cfRule type="cellIs" dxfId="18" priority="6" operator="notBetween">
      <formula>IF(+$D$43&lt;300, -10.5%, -7.5%)</formula>
      <formula>IF(+$D$43&lt;300, 10.5%, 7.5%)</formula>
    </cfRule>
  </conditionalFormatting>
  <conditionalFormatting sqref="E27">
    <cfRule type="cellIs" dxfId="17" priority="7" operator="notBetween">
      <formula>IF(+$D$43&lt;300, -10.5%, -7.5%)</formula>
      <formula>IF(+$D$43&lt;300, 10.5%, 7.5%)</formula>
    </cfRule>
  </conditionalFormatting>
  <conditionalFormatting sqref="E28">
    <cfRule type="cellIs" dxfId="16" priority="8" operator="notBetween">
      <formula>IF(+$D$43&lt;300, -10.5%, -7.5%)</formula>
      <formula>IF(+$D$43&lt;300, 10.5%, 7.5%)</formula>
    </cfRule>
  </conditionalFormatting>
  <conditionalFormatting sqref="E29">
    <cfRule type="cellIs" dxfId="15" priority="9" operator="notBetween">
      <formula>IF(+$D$43&lt;300, -10.5%, -7.5%)</formula>
      <formula>IF(+$D$43&lt;300, 10.5%, 7.5%)</formula>
    </cfRule>
  </conditionalFormatting>
  <conditionalFormatting sqref="E30">
    <cfRule type="cellIs" dxfId="14" priority="10" operator="notBetween">
      <formula>IF(+$D$43&lt;300, -10.5%, -7.5%)</formula>
      <formula>IF(+$D$43&lt;300, 10.5%, 7.5%)</formula>
    </cfRule>
  </conditionalFormatting>
  <conditionalFormatting sqref="E31">
    <cfRule type="cellIs" dxfId="13" priority="11" operator="notBetween">
      <formula>IF(+$D$43&lt;300, -10.5%, -7.5%)</formula>
      <formula>IF(+$D$43&lt;300, 10.5%, 7.5%)</formula>
    </cfRule>
  </conditionalFormatting>
  <conditionalFormatting sqref="E32">
    <cfRule type="cellIs" dxfId="12" priority="12" operator="notBetween">
      <formula>IF(+$D$43&lt;300, -10.5%, -7.5%)</formula>
      <formula>IF(+$D$43&lt;300, 10.5%, 7.5%)</formula>
    </cfRule>
  </conditionalFormatting>
  <conditionalFormatting sqref="E33">
    <cfRule type="cellIs" dxfId="11" priority="13" operator="notBetween">
      <formula>IF(+$D$43&lt;300, -10.5%, -7.5%)</formula>
      <formula>IF(+$D$43&lt;300, 10.5%, 7.5%)</formula>
    </cfRule>
  </conditionalFormatting>
  <conditionalFormatting sqref="E34">
    <cfRule type="cellIs" dxfId="10" priority="14" operator="notBetween">
      <formula>IF(+$D$43&lt;300, -10.5%, -7.5%)</formula>
      <formula>IF(+$D$43&lt;300, 10.5%, 7.5%)</formula>
    </cfRule>
  </conditionalFormatting>
  <conditionalFormatting sqref="E35">
    <cfRule type="cellIs" dxfId="9" priority="15" operator="notBetween">
      <formula>IF(+$D$43&lt;300, -10.5%, -7.5%)</formula>
      <formula>IF(+$D$43&lt;300, 10.5%, 7.5%)</formula>
    </cfRule>
  </conditionalFormatting>
  <conditionalFormatting sqref="E36">
    <cfRule type="cellIs" dxfId="8" priority="16" operator="notBetween">
      <formula>IF(+$D$43&lt;300, -10.5%, -7.5%)</formula>
      <formula>IF(+$D$43&lt;300, 10.5%, 7.5%)</formula>
    </cfRule>
  </conditionalFormatting>
  <conditionalFormatting sqref="E37">
    <cfRule type="cellIs" dxfId="7" priority="17" operator="notBetween">
      <formula>IF(+$D$43&lt;300, -10.5%, -7.5%)</formula>
      <formula>IF(+$D$43&lt;300, 10.5%, 7.5%)</formula>
    </cfRule>
  </conditionalFormatting>
  <conditionalFormatting sqref="E38">
    <cfRule type="cellIs" dxfId="6" priority="18" operator="notBetween">
      <formula>IF(+$D$43&lt;300, -10.5%, -7.5%)</formula>
      <formula>IF(+$D$43&lt;300, 10.5%, 7.5%)</formula>
    </cfRule>
  </conditionalFormatting>
  <conditionalFormatting sqref="E39">
    <cfRule type="cellIs" dxfId="5" priority="19" operator="notBetween">
      <formula>IF(+$D$43&lt;300, -10.5%, -7.5%)</formula>
      <formula>IF(+$D$43&lt;300, 10.5%, 7.5%)</formula>
    </cfRule>
  </conditionalFormatting>
  <conditionalFormatting sqref="E40">
    <cfRule type="cellIs" dxfId="4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64" zoomScale="60" zoomScaleNormal="78" workbookViewId="0">
      <selection sqref="A1:H80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16" t="s">
        <v>49</v>
      </c>
      <c r="B1" s="316"/>
      <c r="C1" s="316"/>
      <c r="D1" s="316"/>
      <c r="E1" s="316"/>
      <c r="F1" s="316"/>
      <c r="G1" s="316"/>
      <c r="H1" s="316"/>
    </row>
    <row r="2" spans="1:8" x14ac:dyDescent="0.2">
      <c r="A2" s="316"/>
      <c r="B2" s="316"/>
      <c r="C2" s="316"/>
      <c r="D2" s="316"/>
      <c r="E2" s="316"/>
      <c r="F2" s="316"/>
      <c r="G2" s="316"/>
      <c r="H2" s="316"/>
    </row>
    <row r="3" spans="1:8" x14ac:dyDescent="0.2">
      <c r="A3" s="316"/>
      <c r="B3" s="316"/>
      <c r="C3" s="316"/>
      <c r="D3" s="316"/>
      <c r="E3" s="316"/>
      <c r="F3" s="316"/>
      <c r="G3" s="316"/>
      <c r="H3" s="316"/>
    </row>
    <row r="4" spans="1:8" x14ac:dyDescent="0.2">
      <c r="A4" s="316"/>
      <c r="B4" s="316"/>
      <c r="C4" s="316"/>
      <c r="D4" s="316"/>
      <c r="E4" s="316"/>
      <c r="F4" s="316"/>
      <c r="G4" s="316"/>
      <c r="H4" s="316"/>
    </row>
    <row r="5" spans="1:8" x14ac:dyDescent="0.2">
      <c r="A5" s="316"/>
      <c r="B5" s="316"/>
      <c r="C5" s="316"/>
      <c r="D5" s="316"/>
      <c r="E5" s="316"/>
      <c r="F5" s="316"/>
      <c r="G5" s="316"/>
      <c r="H5" s="316"/>
    </row>
    <row r="6" spans="1:8" x14ac:dyDescent="0.2">
      <c r="A6" s="316"/>
      <c r="B6" s="316"/>
      <c r="C6" s="316"/>
      <c r="D6" s="316"/>
      <c r="E6" s="316"/>
      <c r="F6" s="316"/>
      <c r="G6" s="316"/>
      <c r="H6" s="316"/>
    </row>
    <row r="7" spans="1:8" x14ac:dyDescent="0.2">
      <c r="A7" s="316"/>
      <c r="B7" s="316"/>
      <c r="C7" s="316"/>
      <c r="D7" s="316"/>
      <c r="E7" s="316"/>
      <c r="F7" s="316"/>
      <c r="G7" s="316"/>
      <c r="H7" s="316"/>
    </row>
    <row r="8" spans="1:8" x14ac:dyDescent="0.2">
      <c r="A8" s="317" t="s">
        <v>50</v>
      </c>
      <c r="B8" s="317"/>
      <c r="C8" s="317"/>
      <c r="D8" s="317"/>
      <c r="E8" s="317"/>
      <c r="F8" s="317"/>
      <c r="G8" s="317"/>
      <c r="H8" s="317"/>
    </row>
    <row r="9" spans="1:8" x14ac:dyDescent="0.2">
      <c r="A9" s="317"/>
      <c r="B9" s="317"/>
      <c r="C9" s="317"/>
      <c r="D9" s="317"/>
      <c r="E9" s="317"/>
      <c r="F9" s="317"/>
      <c r="G9" s="317"/>
      <c r="H9" s="317"/>
    </row>
    <row r="10" spans="1:8" x14ac:dyDescent="0.2">
      <c r="A10" s="317"/>
      <c r="B10" s="317"/>
      <c r="C10" s="317"/>
      <c r="D10" s="317"/>
      <c r="E10" s="317"/>
      <c r="F10" s="317"/>
      <c r="G10" s="317"/>
      <c r="H10" s="317"/>
    </row>
    <row r="11" spans="1:8" x14ac:dyDescent="0.2">
      <c r="A11" s="317"/>
      <c r="B11" s="317"/>
      <c r="C11" s="317"/>
      <c r="D11" s="317"/>
      <c r="E11" s="317"/>
      <c r="F11" s="317"/>
      <c r="G11" s="317"/>
      <c r="H11" s="317"/>
    </row>
    <row r="12" spans="1:8" x14ac:dyDescent="0.2">
      <c r="A12" s="317"/>
      <c r="B12" s="317"/>
      <c r="C12" s="317"/>
      <c r="D12" s="317"/>
      <c r="E12" s="317"/>
      <c r="F12" s="317"/>
      <c r="G12" s="317"/>
      <c r="H12" s="317"/>
    </row>
    <row r="13" spans="1:8" x14ac:dyDescent="0.2">
      <c r="A13" s="317"/>
      <c r="B13" s="317"/>
      <c r="C13" s="317"/>
      <c r="D13" s="317"/>
      <c r="E13" s="317"/>
      <c r="F13" s="317"/>
      <c r="G13" s="317"/>
      <c r="H13" s="317"/>
    </row>
    <row r="14" spans="1:8" x14ac:dyDescent="0.2">
      <c r="A14" s="317"/>
      <c r="B14" s="317"/>
      <c r="C14" s="317"/>
      <c r="D14" s="317"/>
      <c r="E14" s="317"/>
      <c r="F14" s="317"/>
      <c r="G14" s="317"/>
      <c r="H14" s="317"/>
    </row>
    <row r="15" spans="1:8" ht="19.5" customHeight="1" x14ac:dyDescent="0.3">
      <c r="A15" s="72"/>
      <c r="B15" s="72"/>
      <c r="C15" s="72"/>
      <c r="D15" s="72"/>
      <c r="E15" s="72"/>
      <c r="F15" s="72"/>
      <c r="G15" s="72"/>
      <c r="H15" s="72"/>
    </row>
    <row r="16" spans="1:8" ht="19.5" customHeight="1" x14ac:dyDescent="0.3">
      <c r="A16" s="324" t="s">
        <v>31</v>
      </c>
      <c r="B16" s="325"/>
      <c r="C16" s="325"/>
      <c r="D16" s="325"/>
      <c r="E16" s="325"/>
      <c r="F16" s="325"/>
      <c r="G16" s="325"/>
      <c r="H16" s="326"/>
    </row>
    <row r="17" spans="1:8" ht="18.75" customHeight="1" x14ac:dyDescent="0.3">
      <c r="A17" s="73" t="s">
        <v>51</v>
      </c>
      <c r="B17" s="73"/>
      <c r="C17" s="72"/>
      <c r="D17" s="72"/>
      <c r="E17" s="72"/>
      <c r="F17" s="72"/>
      <c r="G17" s="72"/>
      <c r="H17" s="72"/>
    </row>
    <row r="18" spans="1:8" ht="26.25" customHeight="1" x14ac:dyDescent="0.4">
      <c r="A18" s="74" t="s">
        <v>33</v>
      </c>
      <c r="B18" s="327" t="s">
        <v>5</v>
      </c>
      <c r="C18" s="327"/>
      <c r="D18" s="327"/>
      <c r="E18" s="327"/>
      <c r="F18" s="72"/>
      <c r="G18" s="72"/>
      <c r="H18" s="72"/>
    </row>
    <row r="19" spans="1:8" ht="26.25" customHeight="1" x14ac:dyDescent="0.4">
      <c r="A19" s="74" t="s">
        <v>34</v>
      </c>
      <c r="B19" s="75" t="s">
        <v>7</v>
      </c>
      <c r="C19" s="72">
        <v>8</v>
      </c>
      <c r="D19" s="72"/>
      <c r="E19" s="72"/>
      <c r="F19" s="72"/>
      <c r="G19" s="72"/>
      <c r="H19" s="72"/>
    </row>
    <row r="20" spans="1:8" ht="26.25" customHeight="1" x14ac:dyDescent="0.4">
      <c r="A20" s="74" t="s">
        <v>35</v>
      </c>
      <c r="B20" s="75" t="s">
        <v>9</v>
      </c>
      <c r="C20" s="72"/>
      <c r="D20" s="72"/>
      <c r="E20" s="72"/>
      <c r="F20" s="72"/>
      <c r="G20" s="72"/>
      <c r="H20" s="72"/>
    </row>
    <row r="21" spans="1:8" ht="26.25" customHeight="1" x14ac:dyDescent="0.4">
      <c r="A21" s="74" t="s">
        <v>36</v>
      </c>
      <c r="B21" s="328" t="s">
        <v>11</v>
      </c>
      <c r="C21" s="328"/>
      <c r="D21" s="328"/>
      <c r="E21" s="328"/>
      <c r="F21" s="328"/>
      <c r="G21" s="328"/>
      <c r="H21" s="328"/>
    </row>
    <row r="22" spans="1:8" ht="26.25" customHeight="1" x14ac:dyDescent="0.4">
      <c r="A22" s="74" t="s">
        <v>37</v>
      </c>
      <c r="B22" s="76" t="s">
        <v>12</v>
      </c>
      <c r="C22" s="72"/>
      <c r="D22" s="72"/>
      <c r="E22" s="72"/>
      <c r="F22" s="72"/>
      <c r="G22" s="72"/>
      <c r="H22" s="72"/>
    </row>
    <row r="23" spans="1:8" ht="26.25" customHeight="1" x14ac:dyDescent="0.4">
      <c r="A23" s="74" t="s">
        <v>38</v>
      </c>
      <c r="B23" s="76"/>
      <c r="C23" s="72"/>
      <c r="D23" s="72"/>
      <c r="E23" s="72"/>
      <c r="F23" s="72"/>
      <c r="G23" s="72"/>
      <c r="H23" s="72"/>
    </row>
    <row r="24" spans="1:8" ht="18.75" customHeight="1" x14ac:dyDescent="0.3">
      <c r="A24" s="74"/>
      <c r="B24" s="77"/>
      <c r="C24" s="72"/>
      <c r="D24" s="72"/>
      <c r="E24" s="72"/>
      <c r="F24" s="72"/>
      <c r="G24" s="72"/>
      <c r="H24" s="72"/>
    </row>
    <row r="25" spans="1:8" ht="18.75" customHeight="1" x14ac:dyDescent="0.3">
      <c r="A25" s="78" t="s">
        <v>1</v>
      </c>
      <c r="B25" s="77"/>
      <c r="C25" s="72"/>
      <c r="D25" s="72"/>
      <c r="E25" s="72"/>
      <c r="F25" s="72"/>
      <c r="G25" s="72"/>
      <c r="H25" s="72"/>
    </row>
    <row r="26" spans="1:8" ht="26.25" customHeight="1" x14ac:dyDescent="0.4">
      <c r="A26" s="79" t="s">
        <v>4</v>
      </c>
      <c r="B26" s="327" t="s">
        <v>114</v>
      </c>
      <c r="C26" s="327"/>
      <c r="D26" s="72"/>
      <c r="E26" s="72"/>
      <c r="F26" s="72"/>
      <c r="G26" s="72"/>
      <c r="H26" s="72"/>
    </row>
    <row r="27" spans="1:8" ht="26.25" customHeight="1" x14ac:dyDescent="0.4">
      <c r="A27" s="80" t="s">
        <v>52</v>
      </c>
      <c r="B27" s="328" t="s">
        <v>115</v>
      </c>
      <c r="C27" s="328"/>
      <c r="D27" s="72"/>
      <c r="E27" s="72"/>
      <c r="F27" s="72"/>
      <c r="G27" s="72"/>
      <c r="H27" s="72"/>
    </row>
    <row r="28" spans="1:8" ht="27" customHeight="1" x14ac:dyDescent="0.4">
      <c r="A28" s="80" t="s">
        <v>6</v>
      </c>
      <c r="B28" s="81">
        <v>87.84</v>
      </c>
      <c r="C28" s="72"/>
      <c r="D28" s="72"/>
      <c r="E28" s="72"/>
      <c r="F28" s="72"/>
      <c r="G28" s="72"/>
      <c r="H28" s="72"/>
    </row>
    <row r="29" spans="1:8" ht="27" customHeight="1" x14ac:dyDescent="0.4">
      <c r="A29" s="80" t="s">
        <v>53</v>
      </c>
      <c r="B29" s="82"/>
      <c r="C29" s="329" t="s">
        <v>54</v>
      </c>
      <c r="D29" s="330"/>
      <c r="E29" s="330"/>
      <c r="F29" s="330"/>
      <c r="G29" s="330"/>
      <c r="H29" s="331"/>
    </row>
    <row r="30" spans="1:8" ht="19.5" customHeight="1" x14ac:dyDescent="0.3">
      <c r="A30" s="80" t="s">
        <v>55</v>
      </c>
      <c r="B30" s="83">
        <f>B28-B29</f>
        <v>87.84</v>
      </c>
      <c r="C30" s="84"/>
      <c r="D30" s="84"/>
      <c r="E30" s="84"/>
      <c r="F30" s="84"/>
      <c r="G30" s="84"/>
      <c r="H30" s="85"/>
    </row>
    <row r="31" spans="1:8" ht="27" customHeight="1" x14ac:dyDescent="0.4">
      <c r="A31" s="80" t="s">
        <v>56</v>
      </c>
      <c r="B31" s="86">
        <v>1</v>
      </c>
      <c r="C31" s="332" t="s">
        <v>57</v>
      </c>
      <c r="D31" s="333"/>
      <c r="E31" s="333"/>
      <c r="F31" s="333"/>
      <c r="G31" s="333"/>
      <c r="H31" s="334"/>
    </row>
    <row r="32" spans="1:8" ht="27" customHeight="1" x14ac:dyDescent="0.4">
      <c r="A32" s="80" t="s">
        <v>58</v>
      </c>
      <c r="B32" s="86">
        <v>1</v>
      </c>
      <c r="C32" s="332" t="s">
        <v>59</v>
      </c>
      <c r="D32" s="333"/>
      <c r="E32" s="333"/>
      <c r="F32" s="333"/>
      <c r="G32" s="333"/>
      <c r="H32" s="334"/>
    </row>
    <row r="33" spans="1:8" ht="18.75" customHeight="1" x14ac:dyDescent="0.3">
      <c r="A33" s="80"/>
      <c r="B33" s="87"/>
      <c r="C33" s="88"/>
      <c r="D33" s="88"/>
      <c r="E33" s="88"/>
      <c r="F33" s="88"/>
      <c r="G33" s="88"/>
      <c r="H33" s="88"/>
    </row>
    <row r="34" spans="1:8" ht="18.75" customHeight="1" x14ac:dyDescent="0.3">
      <c r="A34" s="80" t="s">
        <v>60</v>
      </c>
      <c r="B34" s="89">
        <f>B31/B32</f>
        <v>1</v>
      </c>
      <c r="C34" s="72" t="s">
        <v>61</v>
      </c>
      <c r="D34" s="72"/>
      <c r="E34" s="72"/>
      <c r="F34" s="72"/>
      <c r="G34" s="72"/>
      <c r="H34" s="90"/>
    </row>
    <row r="35" spans="1:8" ht="19.5" customHeight="1" x14ac:dyDescent="0.3">
      <c r="A35" s="80"/>
      <c r="B35" s="83"/>
      <c r="C35" s="90"/>
      <c r="D35" s="90"/>
      <c r="E35" s="90"/>
      <c r="F35" s="90"/>
      <c r="G35" s="72"/>
      <c r="H35" s="90"/>
    </row>
    <row r="36" spans="1:8" ht="27" customHeight="1" x14ac:dyDescent="0.4">
      <c r="A36" s="91" t="s">
        <v>62</v>
      </c>
      <c r="B36" s="92">
        <v>20</v>
      </c>
      <c r="C36" s="72"/>
      <c r="D36" s="335" t="s">
        <v>63</v>
      </c>
      <c r="E36" s="336"/>
      <c r="F36" s="335" t="s">
        <v>64</v>
      </c>
      <c r="G36" s="337"/>
      <c r="H36" s="90"/>
    </row>
    <row r="37" spans="1:8" ht="26.25" customHeight="1" x14ac:dyDescent="0.4">
      <c r="A37" s="93" t="s">
        <v>65</v>
      </c>
      <c r="B37" s="94">
        <v>1</v>
      </c>
      <c r="C37" s="95" t="s">
        <v>66</v>
      </c>
      <c r="D37" s="96" t="s">
        <v>67</v>
      </c>
      <c r="E37" s="97" t="s">
        <v>68</v>
      </c>
      <c r="F37" s="96" t="s">
        <v>67</v>
      </c>
      <c r="G37" s="98" t="s">
        <v>68</v>
      </c>
      <c r="H37" s="90"/>
    </row>
    <row r="38" spans="1:8" ht="26.25" customHeight="1" x14ac:dyDescent="0.4">
      <c r="A38" s="93" t="s">
        <v>69</v>
      </c>
      <c r="B38" s="94">
        <v>1</v>
      </c>
      <c r="C38" s="99">
        <v>1</v>
      </c>
      <c r="D38" s="100">
        <v>120017166</v>
      </c>
      <c r="E38" s="101">
        <f>IF(ISBLANK(D38),"-",$D$48/$D$45*D38)</f>
        <v>132459102.47954462</v>
      </c>
      <c r="F38" s="100">
        <v>128603342</v>
      </c>
      <c r="G38" s="102">
        <f>IF(ISBLANK(F38),"-",$D$48/$F$45*F38)</f>
        <v>128089549.20024796</v>
      </c>
      <c r="H38" s="90"/>
    </row>
    <row r="39" spans="1:8" ht="26.25" customHeight="1" x14ac:dyDescent="0.4">
      <c r="A39" s="93" t="s">
        <v>70</v>
      </c>
      <c r="B39" s="94">
        <v>1</v>
      </c>
      <c r="C39" s="103">
        <v>2</v>
      </c>
      <c r="D39" s="104">
        <v>118872718</v>
      </c>
      <c r="E39" s="105">
        <f>IF(ISBLANK(D39),"-",$D$48/$D$45*D39)</f>
        <v>131196011.87370154</v>
      </c>
      <c r="F39" s="104">
        <v>129420150</v>
      </c>
      <c r="G39" s="106">
        <f>IF(ISBLANK(F39),"-",$D$48/$F$45*F39)</f>
        <v>128903093.90970936</v>
      </c>
      <c r="H39" s="90"/>
    </row>
    <row r="40" spans="1:8" ht="26.25" customHeight="1" x14ac:dyDescent="0.4">
      <c r="A40" s="93" t="s">
        <v>71</v>
      </c>
      <c r="B40" s="94">
        <v>1</v>
      </c>
      <c r="C40" s="103">
        <v>3</v>
      </c>
      <c r="D40" s="104">
        <v>120188619</v>
      </c>
      <c r="E40" s="105">
        <f>IF(ISBLANK(D40),"-",$D$48/$D$45*D40)</f>
        <v>132648329.66474099</v>
      </c>
      <c r="F40" s="104">
        <v>128843145</v>
      </c>
      <c r="G40" s="106">
        <f>IF(ISBLANK(F40),"-",$D$48/$F$45*F40)</f>
        <v>128328394.14540395</v>
      </c>
      <c r="H40" s="72"/>
    </row>
    <row r="41" spans="1:8" ht="26.25" customHeight="1" x14ac:dyDescent="0.4">
      <c r="A41" s="93" t="s">
        <v>72</v>
      </c>
      <c r="B41" s="94">
        <v>1</v>
      </c>
      <c r="C41" s="107">
        <v>4</v>
      </c>
      <c r="D41" s="108"/>
      <c r="E41" s="109" t="str">
        <f>IF(ISBLANK(D41),"-",$D$48/$D$45*D41)</f>
        <v>-</v>
      </c>
      <c r="F41" s="108"/>
      <c r="G41" s="110" t="str">
        <f>IF(ISBLANK(F41),"-",$D$48/$F$45*F41)</f>
        <v>-</v>
      </c>
      <c r="H41" s="72"/>
    </row>
    <row r="42" spans="1:8" ht="27" customHeight="1" x14ac:dyDescent="0.4">
      <c r="A42" s="93" t="s">
        <v>73</v>
      </c>
      <c r="B42" s="94">
        <v>1</v>
      </c>
      <c r="C42" s="111" t="s">
        <v>74</v>
      </c>
      <c r="D42" s="112">
        <f>AVERAGE(D38:D41)</f>
        <v>119692834.33333333</v>
      </c>
      <c r="E42" s="113">
        <f>AVERAGE(E38:E41)</f>
        <v>132101148.00599571</v>
      </c>
      <c r="F42" s="112">
        <f>AVERAGE(F38:F41)</f>
        <v>128955545.66666667</v>
      </c>
      <c r="G42" s="114">
        <f>AVERAGE(G38:G41)</f>
        <v>128440345.75178711</v>
      </c>
      <c r="H42" s="115"/>
    </row>
    <row r="43" spans="1:8" ht="26.25" customHeight="1" x14ac:dyDescent="0.4">
      <c r="A43" s="93" t="s">
        <v>75</v>
      </c>
      <c r="B43" s="94">
        <v>1</v>
      </c>
      <c r="C43" s="116" t="s">
        <v>76</v>
      </c>
      <c r="D43" s="117">
        <v>20.63</v>
      </c>
      <c r="E43" s="118"/>
      <c r="F43" s="117">
        <v>22.86</v>
      </c>
      <c r="G43" s="72"/>
      <c r="H43" s="115"/>
    </row>
    <row r="44" spans="1:8" ht="26.25" customHeight="1" x14ac:dyDescent="0.4">
      <c r="A44" s="93" t="s">
        <v>77</v>
      </c>
      <c r="B44" s="94">
        <v>1</v>
      </c>
      <c r="C44" s="119" t="s">
        <v>78</v>
      </c>
      <c r="D44" s="120">
        <f>D43*$B$34</f>
        <v>20.63</v>
      </c>
      <c r="E44" s="121"/>
      <c r="F44" s="120">
        <f>F43*$B$34</f>
        <v>22.86</v>
      </c>
      <c r="G44" s="72"/>
      <c r="H44" s="115"/>
    </row>
    <row r="45" spans="1:8" ht="19.5" customHeight="1" x14ac:dyDescent="0.3">
      <c r="A45" s="93" t="s">
        <v>79</v>
      </c>
      <c r="B45" s="122">
        <f>(B44/B43)*(B42/B41)*(B40/B39)*(B38/B37)*B36</f>
        <v>20</v>
      </c>
      <c r="C45" s="119" t="s">
        <v>80</v>
      </c>
      <c r="D45" s="123">
        <f>D44*$B$30/100</f>
        <v>18.121392</v>
      </c>
      <c r="E45" s="124"/>
      <c r="F45" s="123">
        <f>F44*$B$30/100</f>
        <v>20.080224000000001</v>
      </c>
      <c r="G45" s="72"/>
      <c r="H45" s="115"/>
    </row>
    <row r="46" spans="1:8" ht="19.5" customHeight="1" x14ac:dyDescent="0.3">
      <c r="A46" s="338" t="s">
        <v>81</v>
      </c>
      <c r="B46" s="339"/>
      <c r="C46" s="119" t="s">
        <v>82</v>
      </c>
      <c r="D46" s="120">
        <f>D45/$B$45</f>
        <v>0.90606960000000003</v>
      </c>
      <c r="E46" s="124"/>
      <c r="F46" s="125">
        <f>F45/$B$45</f>
        <v>1.0040112000000001</v>
      </c>
      <c r="G46" s="72"/>
      <c r="H46" s="115"/>
    </row>
    <row r="47" spans="1:8" ht="27" customHeight="1" x14ac:dyDescent="0.4">
      <c r="A47" s="340"/>
      <c r="B47" s="341"/>
      <c r="C47" s="126" t="s">
        <v>83</v>
      </c>
      <c r="D47" s="127">
        <v>1</v>
      </c>
      <c r="E47" s="72"/>
      <c r="F47" s="128"/>
      <c r="G47" s="72"/>
      <c r="H47" s="115"/>
    </row>
    <row r="48" spans="1:8" ht="18.75" customHeight="1" x14ac:dyDescent="0.3">
      <c r="A48" s="72"/>
      <c r="B48" s="72"/>
      <c r="C48" s="129" t="s">
        <v>84</v>
      </c>
      <c r="D48" s="120">
        <f>D47*$B$45</f>
        <v>20</v>
      </c>
      <c r="E48" s="72"/>
      <c r="F48" s="128"/>
      <c r="G48" s="72"/>
      <c r="H48" s="115"/>
    </row>
    <row r="49" spans="1:8" ht="19.5" customHeight="1" x14ac:dyDescent="0.3">
      <c r="A49" s="72"/>
      <c r="B49" s="72"/>
      <c r="C49" s="130" t="s">
        <v>85</v>
      </c>
      <c r="D49" s="131">
        <f>D48/B34</f>
        <v>20</v>
      </c>
      <c r="E49" s="72"/>
      <c r="F49" s="128"/>
      <c r="G49" s="72"/>
      <c r="H49" s="115"/>
    </row>
    <row r="50" spans="1:8" ht="18.75" customHeight="1" x14ac:dyDescent="0.3">
      <c r="A50" s="72"/>
      <c r="B50" s="72"/>
      <c r="C50" s="91" t="s">
        <v>86</v>
      </c>
      <c r="D50" s="132">
        <f>AVERAGE(E38:E41,G38:G41)</f>
        <v>130270746.87889141</v>
      </c>
      <c r="E50" s="72"/>
      <c r="F50" s="133"/>
      <c r="G50" s="72"/>
      <c r="H50" s="115"/>
    </row>
    <row r="51" spans="1:8" ht="18.75" customHeight="1" x14ac:dyDescent="0.3">
      <c r="A51" s="72"/>
      <c r="B51" s="72"/>
      <c r="C51" s="126" t="s">
        <v>87</v>
      </c>
      <c r="D51" s="134">
        <f>STDEV(E38:E41,G38:G41)/D50</f>
        <v>1.5991361030888624E-2</v>
      </c>
      <c r="E51" s="72"/>
      <c r="F51" s="133"/>
      <c r="G51" s="72"/>
      <c r="H51" s="115"/>
    </row>
    <row r="52" spans="1:8" ht="19.5" customHeight="1" x14ac:dyDescent="0.3">
      <c r="A52" s="72"/>
      <c r="B52" s="72"/>
      <c r="C52" s="135" t="s">
        <v>20</v>
      </c>
      <c r="D52" s="136">
        <f>COUNT(E38:E41,G38:G41)</f>
        <v>6</v>
      </c>
      <c r="E52" s="72"/>
      <c r="F52" s="133"/>
      <c r="G52" s="72"/>
      <c r="H52" s="72"/>
    </row>
    <row r="53" spans="1:8" ht="18.75" customHeight="1" x14ac:dyDescent="0.3">
      <c r="A53" s="72"/>
      <c r="B53" s="72"/>
      <c r="C53" s="72"/>
      <c r="D53" s="72"/>
      <c r="E53" s="72"/>
      <c r="F53" s="72"/>
      <c r="G53" s="72"/>
      <c r="H53" s="72"/>
    </row>
    <row r="54" spans="1:8" ht="18.75" customHeight="1" x14ac:dyDescent="0.3">
      <c r="A54" s="73" t="s">
        <v>1</v>
      </c>
      <c r="B54" s="137" t="s">
        <v>88</v>
      </c>
      <c r="C54" s="72"/>
      <c r="D54" s="72"/>
      <c r="E54" s="72"/>
      <c r="F54" s="72"/>
      <c r="G54" s="72"/>
      <c r="H54" s="72"/>
    </row>
    <row r="55" spans="1:8" ht="18.75" customHeight="1" x14ac:dyDescent="0.3">
      <c r="A55" s="72" t="s">
        <v>89</v>
      </c>
      <c r="B55" s="138" t="str">
        <f>B21</f>
        <v>Each vial contains Amoxicillin 1 G and Clavulanic Acid 200 mg</v>
      </c>
      <c r="C55" s="72"/>
      <c r="D55" s="72"/>
      <c r="E55" s="72"/>
      <c r="F55" s="72"/>
      <c r="G55" s="72"/>
      <c r="H55" s="72"/>
    </row>
    <row r="56" spans="1:8" ht="26.25" customHeight="1" x14ac:dyDescent="0.4">
      <c r="A56" s="139" t="s">
        <v>90</v>
      </c>
      <c r="B56" s="140">
        <v>1000</v>
      </c>
      <c r="C56" s="72" t="str">
        <f>B20</f>
        <v>Amoxicillin and Clavulanic Acid</v>
      </c>
      <c r="D56" s="72"/>
      <c r="E56" s="72"/>
      <c r="F56" s="72"/>
      <c r="G56" s="72"/>
      <c r="H56" s="141"/>
    </row>
    <row r="57" spans="1:8" ht="18.75" customHeight="1" x14ac:dyDescent="0.3">
      <c r="A57" s="138" t="s">
        <v>91</v>
      </c>
      <c r="B57" s="189">
        <f>'Clavulanate lithium'!B57</f>
        <v>1420.1275000000007</v>
      </c>
      <c r="C57" s="72"/>
      <c r="D57" s="72"/>
      <c r="E57" s="72"/>
      <c r="F57" s="72"/>
      <c r="G57" s="72"/>
      <c r="H57" s="141"/>
    </row>
    <row r="58" spans="1:8" ht="19.5" customHeight="1" x14ac:dyDescent="0.3">
      <c r="A58" s="72"/>
      <c r="B58" s="72"/>
      <c r="C58" s="72"/>
      <c r="D58" s="72"/>
      <c r="E58" s="72"/>
      <c r="F58" s="72"/>
      <c r="G58" s="72"/>
      <c r="H58" s="141"/>
    </row>
    <row r="59" spans="1:8" ht="27" customHeight="1" x14ac:dyDescent="0.4">
      <c r="A59" s="91" t="s">
        <v>92</v>
      </c>
      <c r="B59" s="92">
        <v>100</v>
      </c>
      <c r="C59" s="72"/>
      <c r="D59" s="142" t="s">
        <v>93</v>
      </c>
      <c r="E59" s="143" t="s">
        <v>66</v>
      </c>
      <c r="F59" s="143" t="s">
        <v>67</v>
      </c>
      <c r="G59" s="143" t="s">
        <v>94</v>
      </c>
      <c r="H59" s="95" t="s">
        <v>95</v>
      </c>
    </row>
    <row r="60" spans="1:8" ht="26.25" customHeight="1" x14ac:dyDescent="0.4">
      <c r="A60" s="93" t="s">
        <v>96</v>
      </c>
      <c r="B60" s="94">
        <v>1</v>
      </c>
      <c r="C60" s="318" t="s">
        <v>97</v>
      </c>
      <c r="D60" s="321">
        <v>178.54</v>
      </c>
      <c r="E60" s="144">
        <v>1</v>
      </c>
      <c r="F60" s="145">
        <v>165086499</v>
      </c>
      <c r="G60" s="146">
        <f>IF(ISBLANK(F60),"-",(F60/$D$50*$D$47*$B$68)*($B$57/$D$60))</f>
        <v>1007.9905518538516</v>
      </c>
      <c r="H60" s="147">
        <f t="shared" ref="H60:H71" si="0">IF(ISBLANK(F60),"-",G60/$B$56)</f>
        <v>1.0079905518538517</v>
      </c>
    </row>
    <row r="61" spans="1:8" ht="26.25" customHeight="1" x14ac:dyDescent="0.4">
      <c r="A61" s="93" t="s">
        <v>98</v>
      </c>
      <c r="B61" s="94">
        <v>1</v>
      </c>
      <c r="C61" s="319"/>
      <c r="D61" s="322"/>
      <c r="E61" s="148">
        <v>2</v>
      </c>
      <c r="F61" s="104">
        <v>160136995</v>
      </c>
      <c r="G61" s="149">
        <f>IF(ISBLANK(F61),"-",(F61/$D$50*$D$47*$B$68)*($B$57/$D$60))</f>
        <v>977.76970824408522</v>
      </c>
      <c r="H61" s="150">
        <f t="shared" si="0"/>
        <v>0.97776970824408527</v>
      </c>
    </row>
    <row r="62" spans="1:8" ht="26.25" customHeight="1" x14ac:dyDescent="0.4">
      <c r="A62" s="93" t="s">
        <v>99</v>
      </c>
      <c r="B62" s="94">
        <v>1</v>
      </c>
      <c r="C62" s="319"/>
      <c r="D62" s="322"/>
      <c r="E62" s="148">
        <v>3</v>
      </c>
      <c r="F62" s="104">
        <v>161689352</v>
      </c>
      <c r="G62" s="149">
        <f>IF(ISBLANK(F62),"-",(F62/$D$50*$D$47*$B$68)*($B$57/$D$60))</f>
        <v>987.24814045133792</v>
      </c>
      <c r="H62" s="150">
        <f t="shared" si="0"/>
        <v>0.98724814045133791</v>
      </c>
    </row>
    <row r="63" spans="1:8" ht="27" customHeight="1" x14ac:dyDescent="0.4">
      <c r="A63" s="93" t="s">
        <v>100</v>
      </c>
      <c r="B63" s="94">
        <v>1</v>
      </c>
      <c r="C63" s="320"/>
      <c r="D63" s="323"/>
      <c r="E63" s="151">
        <v>4</v>
      </c>
      <c r="F63" s="152"/>
      <c r="G63" s="149" t="str">
        <f>IF(ISBLANK(F63),"-",(F63/$D$50*$D$47*$B$68)*($B$57/$D$60))</f>
        <v>-</v>
      </c>
      <c r="H63" s="150" t="str">
        <f t="shared" si="0"/>
        <v>-</v>
      </c>
    </row>
    <row r="64" spans="1:8" ht="26.25" customHeight="1" x14ac:dyDescent="0.4">
      <c r="A64" s="93" t="s">
        <v>101</v>
      </c>
      <c r="B64" s="94">
        <v>1</v>
      </c>
      <c r="C64" s="318" t="s">
        <v>102</v>
      </c>
      <c r="D64" s="321">
        <v>154.82</v>
      </c>
      <c r="E64" s="144">
        <v>1</v>
      </c>
      <c r="F64" s="145">
        <v>142410679</v>
      </c>
      <c r="G64" s="153">
        <f>IF(ISBLANK(F64),"-",(F64/$D$50*$D$47*$B$68)*($B$57/$D$64))</f>
        <v>1002.7575216501853</v>
      </c>
      <c r="H64" s="154">
        <f t="shared" si="0"/>
        <v>1.0027575216501852</v>
      </c>
    </row>
    <row r="65" spans="1:8" ht="26.25" customHeight="1" x14ac:dyDescent="0.4">
      <c r="A65" s="93" t="s">
        <v>103</v>
      </c>
      <c r="B65" s="94">
        <v>1</v>
      </c>
      <c r="C65" s="319"/>
      <c r="D65" s="322"/>
      <c r="E65" s="148">
        <v>2</v>
      </c>
      <c r="F65" s="104">
        <v>142213893</v>
      </c>
      <c r="G65" s="155">
        <f>IF(ISBLANK(F65),"-",(F65/$D$50*$D$47*$B$68)*($B$57/$D$64))</f>
        <v>1001.3718907196885</v>
      </c>
      <c r="H65" s="156">
        <f t="shared" si="0"/>
        <v>1.0013718907196885</v>
      </c>
    </row>
    <row r="66" spans="1:8" ht="26.25" customHeight="1" x14ac:dyDescent="0.4">
      <c r="A66" s="93" t="s">
        <v>104</v>
      </c>
      <c r="B66" s="94">
        <v>1</v>
      </c>
      <c r="C66" s="319"/>
      <c r="D66" s="322"/>
      <c r="E66" s="148">
        <v>3</v>
      </c>
      <c r="F66" s="104">
        <v>140623686</v>
      </c>
      <c r="G66" s="155">
        <f>IF(ISBLANK(F66),"-",(F66/$D$50*$D$47*$B$68)*($B$57/$D$64))</f>
        <v>990.1747526860247</v>
      </c>
      <c r="H66" s="156">
        <f t="shared" si="0"/>
        <v>0.99017475268602473</v>
      </c>
    </row>
    <row r="67" spans="1:8" ht="27" customHeight="1" x14ac:dyDescent="0.4">
      <c r="A67" s="93" t="s">
        <v>105</v>
      </c>
      <c r="B67" s="94">
        <v>1</v>
      </c>
      <c r="C67" s="320"/>
      <c r="D67" s="323"/>
      <c r="E67" s="151">
        <v>4</v>
      </c>
      <c r="F67" s="152"/>
      <c r="G67" s="157" t="str">
        <f>IF(ISBLANK(F67),"-",(F67/$D$50*$D$47*$B$68)*($B$57/$D$64))</f>
        <v>-</v>
      </c>
      <c r="H67" s="158" t="str">
        <f t="shared" si="0"/>
        <v>-</v>
      </c>
    </row>
    <row r="68" spans="1:8" ht="26.25" customHeight="1" x14ac:dyDescent="0.4">
      <c r="A68" s="93" t="s">
        <v>106</v>
      </c>
      <c r="B68" s="159">
        <f>(B67/B66)*(B65/B64)*(B63/B62)*(B61/B60)*B59</f>
        <v>100</v>
      </c>
      <c r="C68" s="318" t="s">
        <v>107</v>
      </c>
      <c r="D68" s="321">
        <v>161.37</v>
      </c>
      <c r="E68" s="144">
        <v>1</v>
      </c>
      <c r="F68" s="145">
        <v>147759556</v>
      </c>
      <c r="G68" s="153">
        <f>IF(ISBLANK(F68),"-",(F68/$D$50*$D$47*$B$68)*($B$57/$D$68))</f>
        <v>998.18999539332606</v>
      </c>
      <c r="H68" s="150">
        <f t="shared" si="0"/>
        <v>0.99818999539332609</v>
      </c>
    </row>
    <row r="69" spans="1:8" ht="27" customHeight="1" x14ac:dyDescent="0.4">
      <c r="A69" s="135" t="s">
        <v>108</v>
      </c>
      <c r="B69" s="160">
        <f>(D47*B68)/B56*B57</f>
        <v>142.01275000000007</v>
      </c>
      <c r="C69" s="319"/>
      <c r="D69" s="322"/>
      <c r="E69" s="148">
        <v>2</v>
      </c>
      <c r="F69" s="104">
        <v>145802766</v>
      </c>
      <c r="G69" s="155">
        <f>IF(ISBLANK(F69),"-",(F69/$D$50*$D$47*$B$68)*($B$57/$D$68))</f>
        <v>984.9708963789401</v>
      </c>
      <c r="H69" s="150">
        <f t="shared" si="0"/>
        <v>0.98497089637894009</v>
      </c>
    </row>
    <row r="70" spans="1:8" ht="26.25" customHeight="1" x14ac:dyDescent="0.4">
      <c r="A70" s="338" t="s">
        <v>81</v>
      </c>
      <c r="B70" s="339"/>
      <c r="C70" s="319"/>
      <c r="D70" s="322"/>
      <c r="E70" s="148">
        <v>3</v>
      </c>
      <c r="F70" s="104">
        <v>147158178</v>
      </c>
      <c r="G70" s="155">
        <f>IF(ISBLANK(F70),"-",(F70/$D$50*$D$47*$B$68)*($B$57/$D$68))</f>
        <v>994.1273850329535</v>
      </c>
      <c r="H70" s="150">
        <f t="shared" si="0"/>
        <v>0.9941273850329535</v>
      </c>
    </row>
    <row r="71" spans="1:8" ht="27" customHeight="1" x14ac:dyDescent="0.4">
      <c r="A71" s="340"/>
      <c r="B71" s="341"/>
      <c r="C71" s="343"/>
      <c r="D71" s="323"/>
      <c r="E71" s="151">
        <v>4</v>
      </c>
      <c r="F71" s="152"/>
      <c r="G71" s="157" t="str">
        <f>IF(ISBLANK(F71),"-",(F71/$D$50*$D$47*$B$68)*($B$57/$D$68))</f>
        <v>-</v>
      </c>
      <c r="H71" s="161" t="str">
        <f t="shared" si="0"/>
        <v>-</v>
      </c>
    </row>
    <row r="72" spans="1:8" ht="26.25" customHeight="1" x14ac:dyDescent="0.4">
      <c r="A72" s="162"/>
      <c r="B72" s="162"/>
      <c r="C72" s="162"/>
      <c r="D72" s="162"/>
      <c r="E72" s="162"/>
      <c r="F72" s="163"/>
      <c r="G72" s="164" t="s">
        <v>74</v>
      </c>
      <c r="H72" s="165">
        <f>AVERAGE(H60:H71)</f>
        <v>0.99384453804559925</v>
      </c>
    </row>
    <row r="73" spans="1:8" ht="26.25" customHeight="1" x14ac:dyDescent="0.4">
      <c r="A73" s="72"/>
      <c r="B73" s="72"/>
      <c r="C73" s="162"/>
      <c r="D73" s="162"/>
      <c r="E73" s="162"/>
      <c r="F73" s="163"/>
      <c r="G73" s="166" t="s">
        <v>87</v>
      </c>
      <c r="H73" s="167">
        <f>STDEV(H60:H71)/H72</f>
        <v>9.7378571007113914E-3</v>
      </c>
    </row>
    <row r="74" spans="1:8" ht="27" customHeight="1" x14ac:dyDescent="0.4">
      <c r="A74" s="162"/>
      <c r="B74" s="162"/>
      <c r="C74" s="163"/>
      <c r="D74" s="163"/>
      <c r="E74" s="168"/>
      <c r="F74" s="163"/>
      <c r="G74" s="169" t="s">
        <v>20</v>
      </c>
      <c r="H74" s="170">
        <f>COUNT(H60:H71)</f>
        <v>9</v>
      </c>
    </row>
    <row r="75" spans="1:8" ht="18.75" customHeight="1" x14ac:dyDescent="0.3">
      <c r="A75" s="171"/>
      <c r="B75" s="171"/>
      <c r="C75" s="121"/>
      <c r="D75" s="121"/>
      <c r="E75" s="124"/>
      <c r="F75" s="121"/>
      <c r="G75" s="172"/>
      <c r="H75" s="173"/>
    </row>
    <row r="76" spans="1:8" ht="26.25" customHeight="1" x14ac:dyDescent="0.4">
      <c r="A76" s="79" t="s">
        <v>109</v>
      </c>
      <c r="B76" s="174" t="s">
        <v>110</v>
      </c>
      <c r="C76" s="344" t="str">
        <f>B20</f>
        <v>Amoxicillin and Clavulanic Acid</v>
      </c>
      <c r="D76" s="344"/>
      <c r="E76" s="175" t="s">
        <v>111</v>
      </c>
      <c r="F76" s="175"/>
      <c r="G76" s="176">
        <f>H72</f>
        <v>0.99384453804559925</v>
      </c>
      <c r="H76" s="173"/>
    </row>
    <row r="77" spans="1:8" ht="19.5" customHeight="1" x14ac:dyDescent="0.3">
      <c r="A77" s="177"/>
      <c r="B77" s="177"/>
      <c r="C77" s="178"/>
      <c r="D77" s="178"/>
      <c r="E77" s="178"/>
      <c r="F77" s="178"/>
      <c r="G77" s="178"/>
      <c r="H77" s="178"/>
    </row>
    <row r="78" spans="1:8" ht="18.75" customHeight="1" x14ac:dyDescent="0.3">
      <c r="A78" s="72"/>
      <c r="B78" s="342" t="s">
        <v>26</v>
      </c>
      <c r="C78" s="342"/>
      <c r="D78" s="72"/>
      <c r="E78" s="179" t="s">
        <v>27</v>
      </c>
      <c r="F78" s="180"/>
      <c r="G78" s="342" t="s">
        <v>28</v>
      </c>
      <c r="H78" s="342"/>
    </row>
    <row r="79" spans="1:8" ht="60" customHeight="1" x14ac:dyDescent="0.3">
      <c r="A79" s="181" t="s">
        <v>29</v>
      </c>
      <c r="B79" s="182"/>
      <c r="C79" s="182"/>
      <c r="D79" s="72"/>
      <c r="E79" s="183"/>
      <c r="F79" s="184"/>
      <c r="G79" s="185"/>
      <c r="H79" s="185"/>
    </row>
    <row r="80" spans="1:8" ht="60" customHeight="1" x14ac:dyDescent="0.3">
      <c r="A80" s="181" t="s">
        <v>30</v>
      </c>
      <c r="B80" s="186"/>
      <c r="C80" s="186"/>
      <c r="D80" s="72"/>
      <c r="E80" s="187"/>
      <c r="F80" s="184"/>
      <c r="G80" s="188"/>
      <c r="H80" s="188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3" priority="1" operator="greaterThan">
      <formula>0.02</formula>
    </cfRule>
  </conditionalFormatting>
  <conditionalFormatting sqref="H73">
    <cfRule type="cellIs" dxfId="2" priority="2" operator="greaterThan">
      <formula>0.02</formula>
    </cfRule>
  </conditionalFormatting>
  <pageMargins left="0.7" right="0.7" top="0.75" bottom="0.75" header="0.3" footer="0.3"/>
  <pageSetup scale="17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zoomScale="60" zoomScaleNormal="78" workbookViewId="0">
      <selection sqref="A1:H80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16" t="s">
        <v>49</v>
      </c>
      <c r="B1" s="316"/>
      <c r="C1" s="316"/>
      <c r="D1" s="316"/>
      <c r="E1" s="316"/>
      <c r="F1" s="316"/>
      <c r="G1" s="316"/>
      <c r="H1" s="316"/>
    </row>
    <row r="2" spans="1:8" x14ac:dyDescent="0.2">
      <c r="A2" s="316"/>
      <c r="B2" s="316"/>
      <c r="C2" s="316"/>
      <c r="D2" s="316"/>
      <c r="E2" s="316"/>
      <c r="F2" s="316"/>
      <c r="G2" s="316"/>
      <c r="H2" s="316"/>
    </row>
    <row r="3" spans="1:8" x14ac:dyDescent="0.2">
      <c r="A3" s="316"/>
      <c r="B3" s="316"/>
      <c r="C3" s="316"/>
      <c r="D3" s="316"/>
      <c r="E3" s="316"/>
      <c r="F3" s="316"/>
      <c r="G3" s="316"/>
      <c r="H3" s="316"/>
    </row>
    <row r="4" spans="1:8" x14ac:dyDescent="0.2">
      <c r="A4" s="316"/>
      <c r="B4" s="316"/>
      <c r="C4" s="316"/>
      <c r="D4" s="316"/>
      <c r="E4" s="316"/>
      <c r="F4" s="316"/>
      <c r="G4" s="316"/>
      <c r="H4" s="316"/>
    </row>
    <row r="5" spans="1:8" x14ac:dyDescent="0.2">
      <c r="A5" s="316"/>
      <c r="B5" s="316"/>
      <c r="C5" s="316"/>
      <c r="D5" s="316"/>
      <c r="E5" s="316"/>
      <c r="F5" s="316"/>
      <c r="G5" s="316"/>
      <c r="H5" s="316"/>
    </row>
    <row r="6" spans="1:8" x14ac:dyDescent="0.2">
      <c r="A6" s="316"/>
      <c r="B6" s="316"/>
      <c r="C6" s="316"/>
      <c r="D6" s="316"/>
      <c r="E6" s="316"/>
      <c r="F6" s="316"/>
      <c r="G6" s="316"/>
      <c r="H6" s="316"/>
    </row>
    <row r="7" spans="1:8" x14ac:dyDescent="0.2">
      <c r="A7" s="316"/>
      <c r="B7" s="316"/>
      <c r="C7" s="316"/>
      <c r="D7" s="316"/>
      <c r="E7" s="316"/>
      <c r="F7" s="316"/>
      <c r="G7" s="316"/>
      <c r="H7" s="316"/>
    </row>
    <row r="8" spans="1:8" x14ac:dyDescent="0.2">
      <c r="A8" s="317" t="s">
        <v>50</v>
      </c>
      <c r="B8" s="317"/>
      <c r="C8" s="317"/>
      <c r="D8" s="317"/>
      <c r="E8" s="317"/>
      <c r="F8" s="317"/>
      <c r="G8" s="317"/>
      <c r="H8" s="317"/>
    </row>
    <row r="9" spans="1:8" x14ac:dyDescent="0.2">
      <c r="A9" s="317"/>
      <c r="B9" s="317"/>
      <c r="C9" s="317"/>
      <c r="D9" s="317"/>
      <c r="E9" s="317"/>
      <c r="F9" s="317"/>
      <c r="G9" s="317"/>
      <c r="H9" s="317"/>
    </row>
    <row r="10" spans="1:8" x14ac:dyDescent="0.2">
      <c r="A10" s="317"/>
      <c r="B10" s="317"/>
      <c r="C10" s="317"/>
      <c r="D10" s="317"/>
      <c r="E10" s="317"/>
      <c r="F10" s="317"/>
      <c r="G10" s="317"/>
      <c r="H10" s="317"/>
    </row>
    <row r="11" spans="1:8" x14ac:dyDescent="0.2">
      <c r="A11" s="317"/>
      <c r="B11" s="317"/>
      <c r="C11" s="317"/>
      <c r="D11" s="317"/>
      <c r="E11" s="317"/>
      <c r="F11" s="317"/>
      <c r="G11" s="317"/>
      <c r="H11" s="317"/>
    </row>
    <row r="12" spans="1:8" x14ac:dyDescent="0.2">
      <c r="A12" s="317"/>
      <c r="B12" s="317"/>
      <c r="C12" s="317"/>
      <c r="D12" s="317"/>
      <c r="E12" s="317"/>
      <c r="F12" s="317"/>
      <c r="G12" s="317"/>
      <c r="H12" s="317"/>
    </row>
    <row r="13" spans="1:8" x14ac:dyDescent="0.2">
      <c r="A13" s="317"/>
      <c r="B13" s="317"/>
      <c r="C13" s="317"/>
      <c r="D13" s="317"/>
      <c r="E13" s="317"/>
      <c r="F13" s="317"/>
      <c r="G13" s="317"/>
      <c r="H13" s="317"/>
    </row>
    <row r="14" spans="1:8" x14ac:dyDescent="0.2">
      <c r="A14" s="317"/>
      <c r="B14" s="317"/>
      <c r="C14" s="317"/>
      <c r="D14" s="317"/>
      <c r="E14" s="317"/>
      <c r="F14" s="317"/>
      <c r="G14" s="317"/>
      <c r="H14" s="317"/>
    </row>
    <row r="15" spans="1:8" ht="19.5" customHeight="1" x14ac:dyDescent="0.3">
      <c r="A15" s="190"/>
      <c r="B15" s="190"/>
      <c r="C15" s="190"/>
      <c r="D15" s="190"/>
      <c r="E15" s="190"/>
      <c r="F15" s="190"/>
      <c r="G15" s="190"/>
      <c r="H15" s="190"/>
    </row>
    <row r="16" spans="1:8" ht="19.5" customHeight="1" x14ac:dyDescent="0.3">
      <c r="A16" s="324" t="s">
        <v>31</v>
      </c>
      <c r="B16" s="325"/>
      <c r="C16" s="325"/>
      <c r="D16" s="325"/>
      <c r="E16" s="325"/>
      <c r="F16" s="325"/>
      <c r="G16" s="325"/>
      <c r="H16" s="326"/>
    </row>
    <row r="17" spans="1:8" ht="18.75" customHeight="1" x14ac:dyDescent="0.3">
      <c r="A17" s="191" t="s">
        <v>51</v>
      </c>
      <c r="B17" s="191"/>
      <c r="C17" s="190"/>
      <c r="D17" s="190"/>
      <c r="E17" s="190"/>
      <c r="F17" s="190"/>
      <c r="G17" s="190"/>
      <c r="H17" s="190"/>
    </row>
    <row r="18" spans="1:8" ht="26.25" customHeight="1" x14ac:dyDescent="0.4">
      <c r="A18" s="192" t="s">
        <v>33</v>
      </c>
      <c r="B18" s="327" t="s">
        <v>5</v>
      </c>
      <c r="C18" s="327"/>
      <c r="D18" s="327"/>
      <c r="E18" s="327"/>
      <c r="F18" s="190"/>
      <c r="G18" s="190"/>
      <c r="H18" s="190"/>
    </row>
    <row r="19" spans="1:8" ht="26.25" customHeight="1" x14ac:dyDescent="0.4">
      <c r="A19" s="192" t="s">
        <v>34</v>
      </c>
      <c r="B19" s="193" t="s">
        <v>7</v>
      </c>
      <c r="C19" s="190">
        <v>8</v>
      </c>
      <c r="D19" s="190"/>
      <c r="E19" s="190"/>
      <c r="F19" s="190"/>
      <c r="G19" s="190"/>
      <c r="H19" s="190"/>
    </row>
    <row r="20" spans="1:8" ht="26.25" customHeight="1" x14ac:dyDescent="0.4">
      <c r="A20" s="192" t="s">
        <v>35</v>
      </c>
      <c r="B20" s="193" t="s">
        <v>9</v>
      </c>
      <c r="C20" s="190"/>
      <c r="D20" s="190"/>
      <c r="E20" s="190"/>
      <c r="F20" s="190"/>
      <c r="G20" s="190"/>
      <c r="H20" s="190"/>
    </row>
    <row r="21" spans="1:8" ht="26.25" customHeight="1" x14ac:dyDescent="0.4">
      <c r="A21" s="192" t="s">
        <v>36</v>
      </c>
      <c r="B21" s="328" t="s">
        <v>11</v>
      </c>
      <c r="C21" s="328"/>
      <c r="D21" s="328"/>
      <c r="E21" s="328"/>
      <c r="F21" s="328"/>
      <c r="G21" s="328"/>
      <c r="H21" s="328"/>
    </row>
    <row r="22" spans="1:8" ht="26.25" customHeight="1" x14ac:dyDescent="0.4">
      <c r="A22" s="192" t="s">
        <v>37</v>
      </c>
      <c r="B22" s="194" t="s">
        <v>12</v>
      </c>
      <c r="C22" s="190"/>
      <c r="D22" s="190"/>
      <c r="E22" s="190"/>
      <c r="F22" s="190"/>
      <c r="G22" s="190"/>
      <c r="H22" s="190"/>
    </row>
    <row r="23" spans="1:8" ht="26.25" customHeight="1" x14ac:dyDescent="0.4">
      <c r="A23" s="192" t="s">
        <v>38</v>
      </c>
      <c r="B23" s="194"/>
      <c r="C23" s="190"/>
      <c r="D23" s="190"/>
      <c r="E23" s="190"/>
      <c r="F23" s="190"/>
      <c r="G23" s="190"/>
      <c r="H23" s="190"/>
    </row>
    <row r="24" spans="1:8" ht="18.75" customHeight="1" x14ac:dyDescent="0.3">
      <c r="A24" s="192"/>
      <c r="B24" s="195"/>
      <c r="C24" s="190"/>
      <c r="D24" s="190"/>
      <c r="E24" s="190"/>
      <c r="F24" s="190"/>
      <c r="G24" s="190"/>
      <c r="H24" s="190"/>
    </row>
    <row r="25" spans="1:8" ht="18.75" customHeight="1" x14ac:dyDescent="0.3">
      <c r="A25" s="196" t="s">
        <v>1</v>
      </c>
      <c r="B25" s="195"/>
      <c r="C25" s="190"/>
      <c r="D25" s="190"/>
      <c r="E25" s="190"/>
      <c r="F25" s="190"/>
      <c r="G25" s="190"/>
      <c r="H25" s="190"/>
    </row>
    <row r="26" spans="1:8" ht="26.25" customHeight="1" x14ac:dyDescent="0.4">
      <c r="A26" s="197" t="s">
        <v>4</v>
      </c>
      <c r="B26" s="327" t="s">
        <v>112</v>
      </c>
      <c r="C26" s="327"/>
      <c r="D26" s="190"/>
      <c r="E26" s="190"/>
      <c r="F26" s="190"/>
      <c r="G26" s="190"/>
      <c r="H26" s="190"/>
    </row>
    <row r="27" spans="1:8" ht="26.25" customHeight="1" x14ac:dyDescent="0.4">
      <c r="A27" s="198" t="s">
        <v>52</v>
      </c>
      <c r="B27" s="328" t="s">
        <v>113</v>
      </c>
      <c r="C27" s="328"/>
      <c r="D27" s="190"/>
      <c r="E27" s="190"/>
      <c r="F27" s="190"/>
      <c r="G27" s="190"/>
      <c r="H27" s="190"/>
    </row>
    <row r="28" spans="1:8" ht="27" customHeight="1" x14ac:dyDescent="0.4">
      <c r="A28" s="198" t="s">
        <v>6</v>
      </c>
      <c r="B28" s="199">
        <v>96.96</v>
      </c>
      <c r="C28" s="190"/>
      <c r="D28" s="190"/>
      <c r="E28" s="190"/>
      <c r="F28" s="190"/>
      <c r="G28" s="190"/>
      <c r="H28" s="190"/>
    </row>
    <row r="29" spans="1:8" ht="27" customHeight="1" x14ac:dyDescent="0.4">
      <c r="A29" s="198" t="s">
        <v>53</v>
      </c>
      <c r="B29" s="200"/>
      <c r="C29" s="329" t="s">
        <v>54</v>
      </c>
      <c r="D29" s="330"/>
      <c r="E29" s="330"/>
      <c r="F29" s="330"/>
      <c r="G29" s="330"/>
      <c r="H29" s="331"/>
    </row>
    <row r="30" spans="1:8" ht="19.5" customHeight="1" x14ac:dyDescent="0.3">
      <c r="A30" s="198" t="s">
        <v>55</v>
      </c>
      <c r="B30" s="201">
        <f>B28-B29</f>
        <v>96.96</v>
      </c>
      <c r="C30" s="202"/>
      <c r="D30" s="202"/>
      <c r="E30" s="202"/>
      <c r="F30" s="202"/>
      <c r="G30" s="202"/>
      <c r="H30" s="203"/>
    </row>
    <row r="31" spans="1:8" ht="27" customHeight="1" x14ac:dyDescent="0.4">
      <c r="A31" s="198" t="s">
        <v>56</v>
      </c>
      <c r="B31" s="204">
        <v>1</v>
      </c>
      <c r="C31" s="332" t="s">
        <v>57</v>
      </c>
      <c r="D31" s="333"/>
      <c r="E31" s="333"/>
      <c r="F31" s="333"/>
      <c r="G31" s="333"/>
      <c r="H31" s="334"/>
    </row>
    <row r="32" spans="1:8" ht="27" customHeight="1" x14ac:dyDescent="0.4">
      <c r="A32" s="198" t="s">
        <v>58</v>
      </c>
      <c r="B32" s="204">
        <v>1</v>
      </c>
      <c r="C32" s="332" t="s">
        <v>59</v>
      </c>
      <c r="D32" s="333"/>
      <c r="E32" s="333"/>
      <c r="F32" s="333"/>
      <c r="G32" s="333"/>
      <c r="H32" s="334"/>
    </row>
    <row r="33" spans="1:8" ht="18.75" customHeight="1" x14ac:dyDescent="0.3">
      <c r="A33" s="198"/>
      <c r="B33" s="205"/>
      <c r="C33" s="206"/>
      <c r="D33" s="206"/>
      <c r="E33" s="206"/>
      <c r="F33" s="206"/>
      <c r="G33" s="206"/>
      <c r="H33" s="206"/>
    </row>
    <row r="34" spans="1:8" ht="18.75" customHeight="1" x14ac:dyDescent="0.3">
      <c r="A34" s="198" t="s">
        <v>60</v>
      </c>
      <c r="B34" s="207">
        <f>B31/B32</f>
        <v>1</v>
      </c>
      <c r="C34" s="190" t="s">
        <v>61</v>
      </c>
      <c r="D34" s="190"/>
      <c r="E34" s="190"/>
      <c r="F34" s="190"/>
      <c r="G34" s="190"/>
      <c r="H34" s="208"/>
    </row>
    <row r="35" spans="1:8" ht="19.5" customHeight="1" x14ac:dyDescent="0.3">
      <c r="A35" s="198"/>
      <c r="B35" s="201"/>
      <c r="C35" s="208"/>
      <c r="D35" s="208"/>
      <c r="E35" s="208"/>
      <c r="F35" s="208"/>
      <c r="G35" s="190"/>
      <c r="H35" s="208"/>
    </row>
    <row r="36" spans="1:8" ht="27" customHeight="1" x14ac:dyDescent="0.4">
      <c r="A36" s="209" t="s">
        <v>62</v>
      </c>
      <c r="B36" s="210">
        <v>10</v>
      </c>
      <c r="C36" s="190"/>
      <c r="D36" s="335" t="s">
        <v>63</v>
      </c>
      <c r="E36" s="336"/>
      <c r="F36" s="335" t="s">
        <v>64</v>
      </c>
      <c r="G36" s="337"/>
      <c r="H36" s="208"/>
    </row>
    <row r="37" spans="1:8" ht="26.25" customHeight="1" x14ac:dyDescent="0.4">
      <c r="A37" s="211" t="s">
        <v>65</v>
      </c>
      <c r="B37" s="212">
        <v>4</v>
      </c>
      <c r="C37" s="213" t="s">
        <v>66</v>
      </c>
      <c r="D37" s="214" t="s">
        <v>67</v>
      </c>
      <c r="E37" s="215" t="s">
        <v>68</v>
      </c>
      <c r="F37" s="214" t="s">
        <v>67</v>
      </c>
      <c r="G37" s="216" t="s">
        <v>68</v>
      </c>
      <c r="H37" s="208"/>
    </row>
    <row r="38" spans="1:8" ht="26.25" customHeight="1" x14ac:dyDescent="0.4">
      <c r="A38" s="211" t="s">
        <v>69</v>
      </c>
      <c r="B38" s="212">
        <v>20</v>
      </c>
      <c r="C38" s="217">
        <v>1</v>
      </c>
      <c r="D38" s="218">
        <v>14638330</v>
      </c>
      <c r="E38" s="219">
        <f>IF(ISBLANK(D38),"-",$D$48/$D$45*D38)</f>
        <v>15436899.326435717</v>
      </c>
      <c r="F38" s="218">
        <v>16853482</v>
      </c>
      <c r="G38" s="220">
        <f>IF(ISBLANK(F38),"-",$D$48/$F$45*F38)</f>
        <v>15036238.323226785</v>
      </c>
      <c r="H38" s="208"/>
    </row>
    <row r="39" spans="1:8" ht="26.25" customHeight="1" x14ac:dyDescent="0.4">
      <c r="A39" s="211" t="s">
        <v>70</v>
      </c>
      <c r="B39" s="212">
        <v>1</v>
      </c>
      <c r="C39" s="221">
        <v>2</v>
      </c>
      <c r="D39" s="222">
        <v>14498456</v>
      </c>
      <c r="E39" s="223">
        <f>IF(ISBLANK(D39),"-",$D$48/$D$45*D39)</f>
        <v>15289394.73701972</v>
      </c>
      <c r="F39" s="222">
        <v>16938611</v>
      </c>
      <c r="G39" s="224">
        <f>IF(ISBLANK(F39),"-",$D$48/$F$45*F39)</f>
        <v>15112188.203033105</v>
      </c>
      <c r="H39" s="208"/>
    </row>
    <row r="40" spans="1:8" ht="26.25" customHeight="1" x14ac:dyDescent="0.4">
      <c r="A40" s="211" t="s">
        <v>71</v>
      </c>
      <c r="B40" s="212">
        <v>1</v>
      </c>
      <c r="C40" s="221">
        <v>3</v>
      </c>
      <c r="D40" s="222">
        <v>14641620</v>
      </c>
      <c r="E40" s="223">
        <f>IF(ISBLANK(D40),"-",$D$48/$D$45*D40)</f>
        <v>15440368.806819336</v>
      </c>
      <c r="F40" s="222">
        <v>16858693</v>
      </c>
      <c r="G40" s="224">
        <f>IF(ISBLANK(F40),"-",$D$48/$F$45*F40)</f>
        <v>15040887.441901628</v>
      </c>
      <c r="H40" s="190"/>
    </row>
    <row r="41" spans="1:8" ht="26.25" customHeight="1" x14ac:dyDescent="0.4">
      <c r="A41" s="211" t="s">
        <v>72</v>
      </c>
      <c r="B41" s="212">
        <v>1</v>
      </c>
      <c r="C41" s="225">
        <v>4</v>
      </c>
      <c r="D41" s="226"/>
      <c r="E41" s="227" t="str">
        <f>IF(ISBLANK(D41),"-",$D$48/$D$45*D41)</f>
        <v>-</v>
      </c>
      <c r="F41" s="226"/>
      <c r="G41" s="228" t="str">
        <f>IF(ISBLANK(F41),"-",$D$48/$F$45*F41)</f>
        <v>-</v>
      </c>
      <c r="H41" s="190"/>
    </row>
    <row r="42" spans="1:8" ht="27" customHeight="1" x14ac:dyDescent="0.4">
      <c r="A42" s="211" t="s">
        <v>73</v>
      </c>
      <c r="B42" s="212">
        <v>1</v>
      </c>
      <c r="C42" s="229" t="s">
        <v>74</v>
      </c>
      <c r="D42" s="230">
        <f>AVERAGE(D38:D41)</f>
        <v>14592802</v>
      </c>
      <c r="E42" s="231">
        <f>AVERAGE(E38:E41)</f>
        <v>15388887.623424925</v>
      </c>
      <c r="F42" s="230">
        <f>AVERAGE(F38:F41)</f>
        <v>16883595.333333332</v>
      </c>
      <c r="G42" s="232">
        <f>AVERAGE(G38:G41)</f>
        <v>15063104.656053841</v>
      </c>
      <c r="H42" s="233"/>
    </row>
    <row r="43" spans="1:8" ht="26.25" customHeight="1" x14ac:dyDescent="0.4">
      <c r="A43" s="211" t="s">
        <v>75</v>
      </c>
      <c r="B43" s="212">
        <v>1</v>
      </c>
      <c r="C43" s="234" t="s">
        <v>76</v>
      </c>
      <c r="D43" s="235">
        <v>9.7799999999999994</v>
      </c>
      <c r="E43" s="236"/>
      <c r="F43" s="235">
        <v>11.56</v>
      </c>
      <c r="G43" s="190"/>
      <c r="H43" s="233"/>
    </row>
    <row r="44" spans="1:8" ht="26.25" customHeight="1" x14ac:dyDescent="0.4">
      <c r="A44" s="211" t="s">
        <v>77</v>
      </c>
      <c r="B44" s="212">
        <v>1</v>
      </c>
      <c r="C44" s="237" t="s">
        <v>78</v>
      </c>
      <c r="D44" s="238">
        <f>D43*$B$34</f>
        <v>9.7799999999999994</v>
      </c>
      <c r="E44" s="239"/>
      <c r="F44" s="238">
        <f>F43*$B$34</f>
        <v>11.56</v>
      </c>
      <c r="G44" s="190"/>
      <c r="H44" s="233"/>
    </row>
    <row r="45" spans="1:8" ht="19.5" customHeight="1" x14ac:dyDescent="0.3">
      <c r="A45" s="211" t="s">
        <v>79</v>
      </c>
      <c r="B45" s="240">
        <f>(B44/B43)*(B42/B41)*(B40/B39)*(B38/B37)*B36</f>
        <v>50</v>
      </c>
      <c r="C45" s="237" t="s">
        <v>80</v>
      </c>
      <c r="D45" s="241">
        <f>D44*$B$30/100</f>
        <v>9.4826879999999978</v>
      </c>
      <c r="E45" s="242"/>
      <c r="F45" s="241">
        <f>F44*$B$30/100</f>
        <v>11.208576000000001</v>
      </c>
      <c r="G45" s="190"/>
      <c r="H45" s="233"/>
    </row>
    <row r="46" spans="1:8" ht="19.5" customHeight="1" x14ac:dyDescent="0.3">
      <c r="A46" s="338" t="s">
        <v>81</v>
      </c>
      <c r="B46" s="339"/>
      <c r="C46" s="237" t="s">
        <v>82</v>
      </c>
      <c r="D46" s="238">
        <f>D45/$B$45</f>
        <v>0.18965375999999995</v>
      </c>
      <c r="E46" s="242"/>
      <c r="F46" s="243">
        <f>F45/$B$45</f>
        <v>0.22417152000000001</v>
      </c>
      <c r="G46" s="190"/>
      <c r="H46" s="233"/>
    </row>
    <row r="47" spans="1:8" ht="27" customHeight="1" x14ac:dyDescent="0.4">
      <c r="A47" s="340"/>
      <c r="B47" s="341"/>
      <c r="C47" s="244" t="s">
        <v>83</v>
      </c>
      <c r="D47" s="245">
        <v>0.2</v>
      </c>
      <c r="E47" s="190"/>
      <c r="F47" s="246"/>
      <c r="G47" s="190"/>
      <c r="H47" s="233"/>
    </row>
    <row r="48" spans="1:8" ht="18.75" customHeight="1" x14ac:dyDescent="0.3">
      <c r="A48" s="190"/>
      <c r="B48" s="190"/>
      <c r="C48" s="247" t="s">
        <v>84</v>
      </c>
      <c r="D48" s="238">
        <f>D47*$B$45</f>
        <v>10</v>
      </c>
      <c r="E48" s="190"/>
      <c r="F48" s="246"/>
      <c r="G48" s="190"/>
      <c r="H48" s="233"/>
    </row>
    <row r="49" spans="1:8" ht="19.5" customHeight="1" x14ac:dyDescent="0.3">
      <c r="A49" s="190"/>
      <c r="B49" s="190"/>
      <c r="C49" s="248" t="s">
        <v>85</v>
      </c>
      <c r="D49" s="249">
        <f>D48/B34</f>
        <v>10</v>
      </c>
      <c r="E49" s="190"/>
      <c r="F49" s="246"/>
      <c r="G49" s="190"/>
      <c r="H49" s="233"/>
    </row>
    <row r="50" spans="1:8" ht="18.75" customHeight="1" x14ac:dyDescent="0.3">
      <c r="A50" s="190"/>
      <c r="B50" s="190"/>
      <c r="C50" s="209" t="s">
        <v>86</v>
      </c>
      <c r="D50" s="250">
        <f>AVERAGE(E38:E41,G38:G41)</f>
        <v>15225996.139739381</v>
      </c>
      <c r="E50" s="190"/>
      <c r="F50" s="251"/>
      <c r="G50" s="190"/>
      <c r="H50" s="233"/>
    </row>
    <row r="51" spans="1:8" ht="18.75" customHeight="1" x14ac:dyDescent="0.3">
      <c r="A51" s="190"/>
      <c r="B51" s="190"/>
      <c r="C51" s="244" t="s">
        <v>87</v>
      </c>
      <c r="D51" s="252">
        <f>STDEV(E38:E41,G38:G41)/D50</f>
        <v>1.2380819408297775E-2</v>
      </c>
      <c r="E51" s="190"/>
      <c r="F51" s="251"/>
      <c r="G51" s="190"/>
      <c r="H51" s="233"/>
    </row>
    <row r="52" spans="1:8" ht="19.5" customHeight="1" x14ac:dyDescent="0.3">
      <c r="A52" s="190"/>
      <c r="B52" s="190"/>
      <c r="C52" s="253" t="s">
        <v>20</v>
      </c>
      <c r="D52" s="254">
        <f>COUNT(E38:E41,G38:G41)</f>
        <v>6</v>
      </c>
      <c r="E52" s="190"/>
      <c r="F52" s="251"/>
      <c r="G52" s="190"/>
      <c r="H52" s="190"/>
    </row>
    <row r="53" spans="1:8" ht="18.75" customHeight="1" x14ac:dyDescent="0.3">
      <c r="A53" s="190"/>
      <c r="B53" s="190"/>
      <c r="C53" s="190"/>
      <c r="D53" s="190"/>
      <c r="E53" s="190"/>
      <c r="F53" s="190"/>
      <c r="G53" s="190"/>
      <c r="H53" s="190"/>
    </row>
    <row r="54" spans="1:8" ht="18.75" customHeight="1" x14ac:dyDescent="0.3">
      <c r="A54" s="191" t="s">
        <v>1</v>
      </c>
      <c r="B54" s="255" t="s">
        <v>88</v>
      </c>
      <c r="C54" s="190"/>
      <c r="D54" s="190"/>
      <c r="E54" s="190"/>
      <c r="F54" s="190"/>
      <c r="G54" s="190"/>
      <c r="H54" s="190"/>
    </row>
    <row r="55" spans="1:8" ht="18.75" customHeight="1" x14ac:dyDescent="0.3">
      <c r="A55" s="190" t="s">
        <v>89</v>
      </c>
      <c r="B55" s="256" t="str">
        <f>B21</f>
        <v>Each vial contains Amoxicillin 1 G and Clavulanic Acid 200 mg</v>
      </c>
      <c r="C55" s="190"/>
      <c r="D55" s="190"/>
      <c r="E55" s="190"/>
      <c r="F55" s="190"/>
      <c r="G55" s="190"/>
      <c r="H55" s="190"/>
    </row>
    <row r="56" spans="1:8" ht="26.25" customHeight="1" x14ac:dyDescent="0.4">
      <c r="A56" s="257" t="s">
        <v>90</v>
      </c>
      <c r="B56" s="258">
        <v>200</v>
      </c>
      <c r="C56" s="190" t="str">
        <f>B20</f>
        <v>Amoxicillin and Clavulanic Acid</v>
      </c>
      <c r="D56" s="190"/>
      <c r="E56" s="190"/>
      <c r="F56" s="190"/>
      <c r="G56" s="190"/>
      <c r="H56" s="259"/>
    </row>
    <row r="57" spans="1:8" ht="18.75" customHeight="1" x14ac:dyDescent="0.3">
      <c r="A57" s="256" t="s">
        <v>91</v>
      </c>
      <c r="B57" s="307">
        <f>Uniformity!B47*1000</f>
        <v>1420.1275000000007</v>
      </c>
      <c r="C57" s="190"/>
      <c r="D57" s="190"/>
      <c r="E57" s="190"/>
      <c r="F57" s="190"/>
      <c r="G57" s="190"/>
      <c r="H57" s="259"/>
    </row>
    <row r="58" spans="1:8" ht="19.5" customHeight="1" x14ac:dyDescent="0.3">
      <c r="A58" s="190"/>
      <c r="B58" s="190"/>
      <c r="C58" s="190"/>
      <c r="D58" s="190"/>
      <c r="E58" s="190"/>
      <c r="F58" s="190"/>
      <c r="G58" s="190"/>
      <c r="H58" s="259"/>
    </row>
    <row r="59" spans="1:8" ht="27" customHeight="1" x14ac:dyDescent="0.4">
      <c r="A59" s="209" t="s">
        <v>92</v>
      </c>
      <c r="B59" s="210">
        <v>100</v>
      </c>
      <c r="C59" s="190"/>
      <c r="D59" s="260" t="s">
        <v>93</v>
      </c>
      <c r="E59" s="261" t="s">
        <v>66</v>
      </c>
      <c r="F59" s="261" t="s">
        <v>67</v>
      </c>
      <c r="G59" s="261" t="s">
        <v>94</v>
      </c>
      <c r="H59" s="213" t="s">
        <v>95</v>
      </c>
    </row>
    <row r="60" spans="1:8" ht="26.25" customHeight="1" x14ac:dyDescent="0.4">
      <c r="A60" s="211" t="s">
        <v>96</v>
      </c>
      <c r="B60" s="212">
        <v>1</v>
      </c>
      <c r="C60" s="318" t="s">
        <v>97</v>
      </c>
      <c r="D60" s="321">
        <v>178.54</v>
      </c>
      <c r="E60" s="262">
        <v>1</v>
      </c>
      <c r="F60" s="263">
        <v>18806680</v>
      </c>
      <c r="G60" s="264">
        <f>IF(ISBLANK(F60),"-",(F60/$D$50*$D$47*$B$68)*($B$57/$D$60))</f>
        <v>196.49351527515248</v>
      </c>
      <c r="H60" s="265">
        <f t="shared" ref="H60:H71" si="0">IF(ISBLANK(F60),"-",G60/$B$56)</f>
        <v>0.98246757637576243</v>
      </c>
    </row>
    <row r="61" spans="1:8" ht="26.25" customHeight="1" x14ac:dyDescent="0.4">
      <c r="A61" s="211" t="s">
        <v>98</v>
      </c>
      <c r="B61" s="212">
        <v>1</v>
      </c>
      <c r="C61" s="319"/>
      <c r="D61" s="322"/>
      <c r="E61" s="266">
        <v>2</v>
      </c>
      <c r="F61" s="222">
        <v>18211107</v>
      </c>
      <c r="G61" s="267">
        <f>IF(ISBLANK(F61),"-",(F61/$D$50*$D$47*$B$68)*($B$57/$D$60))</f>
        <v>190.27092668572743</v>
      </c>
      <c r="H61" s="268">
        <f t="shared" si="0"/>
        <v>0.95135463342863713</v>
      </c>
    </row>
    <row r="62" spans="1:8" ht="26.25" customHeight="1" x14ac:dyDescent="0.4">
      <c r="A62" s="211" t="s">
        <v>99</v>
      </c>
      <c r="B62" s="212">
        <v>1</v>
      </c>
      <c r="C62" s="319"/>
      <c r="D62" s="322"/>
      <c r="E62" s="266">
        <v>3</v>
      </c>
      <c r="F62" s="222">
        <v>18353627</v>
      </c>
      <c r="G62" s="267">
        <f>IF(ISBLANK(F62),"-",(F62/$D$50*$D$47*$B$68)*($B$57/$D$60))</f>
        <v>191.75998566886614</v>
      </c>
      <c r="H62" s="268">
        <f t="shared" si="0"/>
        <v>0.9587999283443307</v>
      </c>
    </row>
    <row r="63" spans="1:8" ht="27" customHeight="1" x14ac:dyDescent="0.4">
      <c r="A63" s="211" t="s">
        <v>100</v>
      </c>
      <c r="B63" s="212">
        <v>1</v>
      </c>
      <c r="C63" s="320"/>
      <c r="D63" s="323"/>
      <c r="E63" s="269">
        <v>4</v>
      </c>
      <c r="F63" s="270"/>
      <c r="G63" s="267" t="str">
        <f>IF(ISBLANK(F63),"-",(F63/$D$50*$D$47*$B$68)*($B$57/$D$60))</f>
        <v>-</v>
      </c>
      <c r="H63" s="268" t="str">
        <f t="shared" si="0"/>
        <v>-</v>
      </c>
    </row>
    <row r="64" spans="1:8" ht="26.25" customHeight="1" x14ac:dyDescent="0.4">
      <c r="A64" s="211" t="s">
        <v>101</v>
      </c>
      <c r="B64" s="212">
        <v>1</v>
      </c>
      <c r="C64" s="318" t="s">
        <v>102</v>
      </c>
      <c r="D64" s="321">
        <v>154.82</v>
      </c>
      <c r="E64" s="262">
        <v>1</v>
      </c>
      <c r="F64" s="263">
        <v>15894932</v>
      </c>
      <c r="G64" s="271">
        <f>IF(ISBLANK(F64),"-",(F64/$D$50*$D$47*$B$68)*($B$57/$D$64))</f>
        <v>191.51519141265268</v>
      </c>
      <c r="H64" s="272">
        <f t="shared" si="0"/>
        <v>0.95757595706326337</v>
      </c>
    </row>
    <row r="65" spans="1:8" ht="26.25" customHeight="1" x14ac:dyDescent="0.4">
      <c r="A65" s="211" t="s">
        <v>103</v>
      </c>
      <c r="B65" s="212">
        <v>1</v>
      </c>
      <c r="C65" s="319"/>
      <c r="D65" s="322"/>
      <c r="E65" s="266">
        <v>2</v>
      </c>
      <c r="F65" s="222">
        <v>15836537</v>
      </c>
      <c r="G65" s="273">
        <f>IF(ISBLANK(F65),"-",(F65/$D$50*$D$47*$B$68)*($B$57/$D$64))</f>
        <v>190.81160050691358</v>
      </c>
      <c r="H65" s="274">
        <f t="shared" si="0"/>
        <v>0.95405800253456785</v>
      </c>
    </row>
    <row r="66" spans="1:8" ht="26.25" customHeight="1" x14ac:dyDescent="0.4">
      <c r="A66" s="211" t="s">
        <v>104</v>
      </c>
      <c r="B66" s="212">
        <v>1</v>
      </c>
      <c r="C66" s="319"/>
      <c r="D66" s="322"/>
      <c r="E66" s="266">
        <v>3</v>
      </c>
      <c r="F66" s="222">
        <v>15649878</v>
      </c>
      <c r="G66" s="273">
        <f>IF(ISBLANK(F66),"-",(F66/$D$50*$D$47*$B$68)*($B$57/$D$64))</f>
        <v>188.56257961686546</v>
      </c>
      <c r="H66" s="274">
        <f t="shared" si="0"/>
        <v>0.94281289808432733</v>
      </c>
    </row>
    <row r="67" spans="1:8" ht="27" customHeight="1" x14ac:dyDescent="0.4">
      <c r="A67" s="211" t="s">
        <v>105</v>
      </c>
      <c r="B67" s="212">
        <v>1</v>
      </c>
      <c r="C67" s="320"/>
      <c r="D67" s="323"/>
      <c r="E67" s="269">
        <v>4</v>
      </c>
      <c r="F67" s="270"/>
      <c r="G67" s="275" t="str">
        <f>IF(ISBLANK(F67),"-",(F67/$D$50*$D$47*$B$68)*($B$57/$D$64))</f>
        <v>-</v>
      </c>
      <c r="H67" s="276" t="str">
        <f t="shared" si="0"/>
        <v>-</v>
      </c>
    </row>
    <row r="68" spans="1:8" ht="26.25" customHeight="1" x14ac:dyDescent="0.4">
      <c r="A68" s="211" t="s">
        <v>106</v>
      </c>
      <c r="B68" s="277">
        <f>(B67/B66)*(B65/B64)*(B63/B62)*(B61/B60)*B59</f>
        <v>100</v>
      </c>
      <c r="C68" s="318" t="s">
        <v>107</v>
      </c>
      <c r="D68" s="321">
        <v>161.37</v>
      </c>
      <c r="E68" s="262">
        <v>1</v>
      </c>
      <c r="F68" s="263">
        <v>16587010</v>
      </c>
      <c r="G68" s="271">
        <f>IF(ISBLANK(F68),"-",(F68/$D$50*$D$47*$B$68)*($B$57/$D$68))</f>
        <v>191.74185524709125</v>
      </c>
      <c r="H68" s="268">
        <f t="shared" si="0"/>
        <v>0.95870927623545621</v>
      </c>
    </row>
    <row r="69" spans="1:8" ht="27" customHeight="1" x14ac:dyDescent="0.4">
      <c r="A69" s="253" t="s">
        <v>108</v>
      </c>
      <c r="B69" s="278">
        <f>(D47*B68)/B56*B57</f>
        <v>142.01275000000007</v>
      </c>
      <c r="C69" s="319"/>
      <c r="D69" s="322"/>
      <c r="E69" s="266">
        <v>2</v>
      </c>
      <c r="F69" s="222">
        <v>16342047</v>
      </c>
      <c r="G69" s="273">
        <f>IF(ISBLANK(F69),"-",(F69/$D$50*$D$47*$B$68)*($B$57/$D$68))</f>
        <v>188.91014175039155</v>
      </c>
      <c r="H69" s="268">
        <f t="shared" si="0"/>
        <v>0.94455070875195768</v>
      </c>
    </row>
    <row r="70" spans="1:8" ht="26.25" customHeight="1" x14ac:dyDescent="0.4">
      <c r="A70" s="338" t="s">
        <v>81</v>
      </c>
      <c r="B70" s="339"/>
      <c r="C70" s="319"/>
      <c r="D70" s="322"/>
      <c r="E70" s="266">
        <v>3</v>
      </c>
      <c r="F70" s="222">
        <v>16463056</v>
      </c>
      <c r="G70" s="273">
        <f>IF(ISBLANK(F70),"-",(F70/$D$50*$D$47*$B$68)*($B$57/$D$68))</f>
        <v>190.30897675209442</v>
      </c>
      <c r="H70" s="268">
        <f t="shared" si="0"/>
        <v>0.95154488376047208</v>
      </c>
    </row>
    <row r="71" spans="1:8" ht="27" customHeight="1" x14ac:dyDescent="0.4">
      <c r="A71" s="340"/>
      <c r="B71" s="341"/>
      <c r="C71" s="343"/>
      <c r="D71" s="323"/>
      <c r="E71" s="269">
        <v>4</v>
      </c>
      <c r="F71" s="270"/>
      <c r="G71" s="275" t="str">
        <f>IF(ISBLANK(F71),"-",(F71/$D$50*$D$47*$B$68)*($B$57/$D$68))</f>
        <v>-</v>
      </c>
      <c r="H71" s="279" t="str">
        <f t="shared" si="0"/>
        <v>-</v>
      </c>
    </row>
    <row r="72" spans="1:8" ht="26.25" customHeight="1" x14ac:dyDescent="0.4">
      <c r="A72" s="280"/>
      <c r="B72" s="280"/>
      <c r="C72" s="280"/>
      <c r="D72" s="280"/>
      <c r="E72" s="280"/>
      <c r="F72" s="281"/>
      <c r="G72" s="282" t="s">
        <v>74</v>
      </c>
      <c r="H72" s="283">
        <f>AVERAGE(H60:H71)</f>
        <v>0.95576376273097496</v>
      </c>
    </row>
    <row r="73" spans="1:8" ht="26.25" customHeight="1" x14ac:dyDescent="0.4">
      <c r="A73" s="190"/>
      <c r="B73" s="190"/>
      <c r="C73" s="280"/>
      <c r="D73" s="280"/>
      <c r="E73" s="280"/>
      <c r="F73" s="281"/>
      <c r="G73" s="284" t="s">
        <v>87</v>
      </c>
      <c r="H73" s="285">
        <f>STDEV(H60:H71)/H72</f>
        <v>1.2088303931609562E-2</v>
      </c>
    </row>
    <row r="74" spans="1:8" ht="27" customHeight="1" x14ac:dyDescent="0.4">
      <c r="A74" s="280"/>
      <c r="B74" s="280"/>
      <c r="C74" s="281"/>
      <c r="D74" s="281"/>
      <c r="E74" s="286"/>
      <c r="F74" s="281"/>
      <c r="G74" s="287" t="s">
        <v>20</v>
      </c>
      <c r="H74" s="288">
        <f>COUNT(H60:H71)</f>
        <v>9</v>
      </c>
    </row>
    <row r="75" spans="1:8" ht="18.75" customHeight="1" x14ac:dyDescent="0.3">
      <c r="A75" s="289"/>
      <c r="B75" s="289"/>
      <c r="C75" s="239"/>
      <c r="D75" s="239"/>
      <c r="E75" s="242"/>
      <c r="F75" s="239"/>
      <c r="G75" s="290"/>
      <c r="H75" s="291"/>
    </row>
    <row r="76" spans="1:8" ht="26.25" customHeight="1" x14ac:dyDescent="0.4">
      <c r="A76" s="197" t="s">
        <v>109</v>
      </c>
      <c r="B76" s="292" t="s">
        <v>110</v>
      </c>
      <c r="C76" s="344" t="str">
        <f>B20</f>
        <v>Amoxicillin and Clavulanic Acid</v>
      </c>
      <c r="D76" s="344"/>
      <c r="E76" s="293" t="s">
        <v>111</v>
      </c>
      <c r="F76" s="293"/>
      <c r="G76" s="294">
        <f>H72</f>
        <v>0.95576376273097496</v>
      </c>
      <c r="H76" s="291"/>
    </row>
    <row r="77" spans="1:8" ht="19.5" customHeight="1" x14ac:dyDescent="0.3">
      <c r="A77" s="295"/>
      <c r="B77" s="295"/>
      <c r="C77" s="296"/>
      <c r="D77" s="296"/>
      <c r="E77" s="296"/>
      <c r="F77" s="296"/>
      <c r="G77" s="296"/>
      <c r="H77" s="296"/>
    </row>
    <row r="78" spans="1:8" ht="18.75" customHeight="1" x14ac:dyDescent="0.3">
      <c r="A78" s="190"/>
      <c r="B78" s="342" t="s">
        <v>26</v>
      </c>
      <c r="C78" s="342"/>
      <c r="D78" s="190"/>
      <c r="E78" s="297" t="s">
        <v>27</v>
      </c>
      <c r="F78" s="298"/>
      <c r="G78" s="342" t="s">
        <v>28</v>
      </c>
      <c r="H78" s="342"/>
    </row>
    <row r="79" spans="1:8" ht="60" customHeight="1" x14ac:dyDescent="0.3">
      <c r="A79" s="299" t="s">
        <v>29</v>
      </c>
      <c r="B79" s="300"/>
      <c r="C79" s="300"/>
      <c r="D79" s="190"/>
      <c r="E79" s="301"/>
      <c r="F79" s="302"/>
      <c r="G79" s="303"/>
      <c r="H79" s="303"/>
    </row>
    <row r="80" spans="1:8" ht="60" customHeight="1" x14ac:dyDescent="0.3">
      <c r="A80" s="299" t="s">
        <v>30</v>
      </c>
      <c r="B80" s="304"/>
      <c r="C80" s="304"/>
      <c r="D80" s="190"/>
      <c r="E80" s="305"/>
      <c r="F80" s="302"/>
      <c r="G80" s="306"/>
      <c r="H80" s="306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17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</vt:lpstr>
      <vt:lpstr>Uniformity</vt:lpstr>
      <vt:lpstr>amoxicillin Trihydrate</vt:lpstr>
      <vt:lpstr>Clavulanate lithium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2016-07-08T07:37:24Z</cp:lastPrinted>
  <dcterms:created xsi:type="dcterms:W3CDTF">2005-07-05T10:19:27Z</dcterms:created>
  <dcterms:modified xsi:type="dcterms:W3CDTF">2016-07-08T07:53:32Z</dcterms:modified>
</cp:coreProperties>
</file>