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3TC" sheetId="7" r:id="rId1"/>
    <sheet name="SST TDF" sheetId="9" r:id="rId2"/>
    <sheet name="Uniformity" sheetId="6" r:id="rId3"/>
    <sheet name="3TC" sheetId="3" r:id="rId4"/>
    <sheet name="TDF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9" l="1"/>
  <c r="F51" i="9"/>
  <c r="E51" i="9"/>
  <c r="D51" i="9"/>
  <c r="C51" i="9"/>
  <c r="B51" i="9"/>
  <c r="B52" i="9" s="1"/>
  <c r="B32" i="9"/>
  <c r="F30" i="9"/>
  <c r="E30" i="9"/>
  <c r="D30" i="9"/>
  <c r="C30" i="9"/>
  <c r="B30" i="9"/>
  <c r="B31" i="9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C46" i="6" l="1"/>
  <c r="D50" i="6" s="1"/>
  <c r="C45" i="6"/>
  <c r="C19" i="6"/>
  <c r="C50" i="6" l="1"/>
  <c r="D27" i="6"/>
  <c r="D31" i="6"/>
  <c r="D35" i="6"/>
  <c r="D39" i="6"/>
  <c r="D43" i="6"/>
  <c r="C49" i="6"/>
  <c r="D24" i="6"/>
  <c r="D28" i="6"/>
  <c r="D32" i="6"/>
  <c r="D36" i="6"/>
  <c r="D40" i="6"/>
  <c r="D49" i="6"/>
  <c r="D25" i="6"/>
  <c r="D29" i="6"/>
  <c r="D33" i="6"/>
  <c r="D37" i="6"/>
  <c r="D41" i="6"/>
  <c r="D26" i="6"/>
  <c r="D30" i="6"/>
  <c r="D34" i="6"/>
  <c r="D38" i="6"/>
  <c r="D42" i="6"/>
  <c r="B49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<sst xmlns="http://schemas.openxmlformats.org/spreadsheetml/2006/main" count="440" uniqueCount="135">
  <si>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</si>
  <si>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</si>
  <si>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</si>
  <si>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</si>
  <si>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</si>
  <si>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</si>
  <si>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</si>
  <si>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</si>
  <si>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</si>
  <si>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</si>
  <si>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</si>
  <si>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</si>
  <si>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</si>
  <si>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</si>
  <si>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</si>
  <si>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</si>
  <si>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</si>
  <si>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</si>
  <si>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</si>
  <si>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</si>
  <si>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</si>
  <si>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</si>
  <si>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</si>
  <si>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</si>
  <si>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</si>
  <si>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</si>
  <si>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</si>
  <si>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</si>
  <si>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</si>
  <si>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</si>
  <si>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</si>
  <si>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</si>
  <si>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</si>
  <si>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</si>
  <si>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</si>
  <si>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</si>
  <si>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</si>
  <si>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</si>
  <si>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</si>
  <si>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</si>
  <si>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</si>
  <si>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</si>
  <si>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</si>
  <si>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</si>
  <si>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</si>
  <si>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</si>
  <si>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</si>
  <si>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</si>
  <si>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</si>
  <si>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</si>
  <si>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</si>
  <si>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</si>
  <si>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</si>
  <si>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</si>
  <si>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</si>
  <si>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</si>
  <si>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</si>
  <si>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</si>
  <si>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</si>
  <si>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</si>
  <si>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</si>
  <si>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</si>
  <si>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</si>
  <si>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</si>
  <si>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</si>
  <si>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</si>
  <si>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</si>
  <si>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</si>
  <si>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</si>
  <si>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</si>
  <si>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</si>
  <si>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</si>
  <si>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</si>
  <si>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</si>
  <si>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</si>
  <si>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</si>
  <si>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</si>
  <si>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</si>
  <si>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</si>
  <si>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</si>
  <si>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</si>
  <si>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</si>
  <si>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</si>
  <si>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</si>
  <si>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</si>
  <si>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</si>
  <si>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</si>
  <si>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</si>
  <si>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</si>
  <si>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</si>
  <si>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</si>
  <si>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</si>
  <si>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</si>
  <si>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</si>
  <si>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</si>
  <si>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</si>
  <si>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</si>
  <si>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</si>
  <si>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</si>
  <si>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</si>
  <si>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</si>
  <si>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</si>
  <si>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</si>
  <si>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</si>
  <si>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</si>
  <si>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</si>
  <si>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</si>
  <si>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</si>
  <si>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</si>
  <si>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</si>
  <si>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NDQD2016061020</t>
  </si>
  <si>
    <t>LAMIVUDINE 300MG AND TENOFOVIR DISOPROXIL FUMARATE 300MG TABLETS</t>
  </si>
  <si>
    <t>Lamivudine and Tenofovir Disoproxil Fumarate</t>
  </si>
  <si>
    <t>Each tablet contains Lamivudine 300mg and Tenofovir Disoproxil Fumarate 300mg</t>
  </si>
  <si>
    <t>2016-06-10 12:20:52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</si>
  <si>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</si>
  <si>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</si>
  <si>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</si>
  <si>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</si>
  <si>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</si>
  <si>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</si>
  <si>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</si>
  <si>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</si>
  <si>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</si>
  <si>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</si>
  <si>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</si>
  <si>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</si>
  <si>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</si>
  <si>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</si>
  <si>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</si>
  <si>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</si>
  <si>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</si>
  <si>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</si>
  <si>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 enofovir Disoproxil Fumarate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</si>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</sst>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55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7" xfId="1" applyNumberFormat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8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9" xfId="1" applyNumberFormat="1" applyFont="1" applyFill="1" applyBorder="1" applyAlignment="1">
      <alignment horizontal="center"/>
    </xf>
    <xf numFmtId="2" fontId="6" fillId="3" borderId="10" xfId="1" applyNumberFormat="1" applyFont="1" applyFill="1" applyBorder="1" applyProtection="1">
      <protection locked="0"/>
    </xf>
    <xf numFmtId="10" fontId="6" fillId="2" borderId="10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7" xfId="1" applyFont="1" applyFill="1" applyBorder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7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1" xfId="1" applyNumberFormat="1" applyFont="1" applyFill="1" applyBorder="1" applyAlignment="1">
      <alignment horizontal="center"/>
    </xf>
    <xf numFmtId="2" fontId="5" fillId="2" borderId="7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0" xfId="1" applyFont="1" applyFill="1" applyAlignment="1">
      <alignment horizontal="center"/>
    </xf>
    <xf numFmtId="10" fontId="6" fillId="2" borderId="4" xfId="1" applyNumberFormat="1" applyFont="1" applyFill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3" xfId="1" applyFont="1" applyFill="1" applyBorder="1"/>
    <xf numFmtId="0" fontId="5" fillId="2" borderId="6" xfId="1" applyFont="1" applyFill="1" applyBorder="1"/>
    <xf numFmtId="0" fontId="5" fillId="2" borderId="0" xfId="1" applyFont="1" applyFill="1"/>
    <xf numFmtId="0" fontId="6" fillId="2" borderId="6" xfId="1" applyFont="1" applyFill="1" applyBorder="1"/>
    <xf numFmtId="0" fontId="23" fillId="2" borderId="0" xfId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5" fillId="2" borderId="0" xfId="3" applyFont="1" applyFill="1" applyAlignment="1">
      <alignment horizontal="left"/>
    </xf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5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38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3" fillId="2" borderId="0" xfId="4" applyFont="1" applyFill="1" applyAlignment="1">
      <alignment horizontal="center"/>
    </xf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left"/>
    </xf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2" borderId="54" xfId="4" applyFont="1" applyFill="1" applyBorder="1" applyAlignment="1">
      <alignment horizontal="center"/>
    </xf>
    <xf numFmtId="0" fontId="24" fillId="3" borderId="54" xfId="4" applyFont="1" applyFill="1" applyBorder="1" applyAlignment="1" applyProtection="1">
      <alignment horizontal="center"/>
      <protection locked="0"/>
    </xf>
    <xf numFmtId="2" fontId="24" fillId="3" borderId="54" xfId="4" applyNumberFormat="1" applyFont="1" applyFill="1" applyBorder="1" applyAlignment="1" applyProtection="1">
      <alignment horizontal="center"/>
      <protection locked="0"/>
    </xf>
    <xf numFmtId="2" fontId="24" fillId="3" borderId="55" xfId="4" applyNumberFormat="1" applyFont="1" applyFill="1" applyBorder="1" applyAlignment="1" applyProtection="1">
      <alignment horizontal="center"/>
      <protection locked="0"/>
    </xf>
    <xf numFmtId="0" fontId="24" fillId="3" borderId="56" xfId="4" applyFont="1" applyFill="1" applyBorder="1" applyAlignment="1" applyProtection="1">
      <alignment horizontal="center"/>
      <protection locked="0"/>
    </xf>
    <xf numFmtId="2" fontId="24" fillId="3" borderId="56" xfId="4" applyNumberFormat="1" applyFont="1" applyFill="1" applyBorder="1" applyAlignment="1" applyProtection="1">
      <alignment horizontal="center"/>
      <protection locked="0"/>
    </xf>
    <xf numFmtId="0" fontId="6" fillId="2" borderId="55" xfId="4" applyFont="1" applyFill="1" applyBorder="1"/>
    <xf numFmtId="1" fontId="5" fillId="6" borderId="2" xfId="4" applyNumberFormat="1" applyFont="1" applyFill="1" applyBorder="1" applyAlignment="1">
      <alignment horizontal="center"/>
    </xf>
    <xf numFmtId="1" fontId="5" fillId="6" borderId="1" xfId="4" applyNumberFormat="1" applyFont="1" applyFill="1" applyBorder="1" applyAlignment="1">
      <alignment horizontal="center"/>
    </xf>
    <xf numFmtId="2" fontId="5" fillId="6" borderId="1" xfId="4" applyNumberFormat="1" applyFont="1" applyFill="1" applyBorder="1" applyAlignment="1">
      <alignment horizontal="center"/>
    </xf>
    <xf numFmtId="0" fontId="6" fillId="2" borderId="54" xfId="4" applyFont="1" applyFill="1" applyBorder="1"/>
    <xf numFmtId="10" fontId="5" fillId="7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57" xfId="4" applyFont="1" applyFill="1" applyBorder="1"/>
    <xf numFmtId="0" fontId="6" fillId="2" borderId="56" xfId="4" applyFont="1" applyFill="1" applyBorder="1"/>
    <xf numFmtId="0" fontId="5" fillId="6" borderId="1" xfId="4" applyFont="1" applyFill="1" applyBorder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6" fillId="2" borderId="3" xfId="4" applyFont="1" applyFill="1" applyBorder="1"/>
    <xf numFmtId="0" fontId="6" fillId="2" borderId="5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4" xfId="4" applyFont="1" applyFill="1" applyBorder="1"/>
    <xf numFmtId="0" fontId="2" fillId="2" borderId="0" xfId="4" applyFont="1" applyFill="1" applyAlignment="1">
      <alignment horizontal="center"/>
    </xf>
    <xf numFmtId="10" fontId="2" fillId="2" borderId="4" xfId="4" applyNumberFormat="1" applyFont="1" applyFill="1" applyBorder="1"/>
    <xf numFmtId="0" fontId="23" fillId="2" borderId="0" xfId="4" applyFill="1"/>
    <xf numFmtId="0" fontId="1" fillId="2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2" fillId="2" borderId="5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3" xfId="4" applyFont="1" applyFill="1" applyBorder="1"/>
    <xf numFmtId="0" fontId="1" fillId="2" borderId="6" xfId="4" applyFont="1" applyFill="1" applyBorder="1"/>
    <xf numFmtId="0" fontId="2" fillId="2" borderId="6" xfId="4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D19" sqref="D19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0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458" t="s">
        <v>115</v>
      </c>
      <c r="B15" s="458"/>
      <c r="C15" s="458"/>
      <c r="D15" s="458"/>
      <c r="E15" s="458"/>
    </row>
    <row r="16" spans="1:6" ht="16.5" customHeight="1" x14ac:dyDescent="0.3">
      <c r="A16" s="416" t="s">
        <v>0</v>
      </c>
      <c r="B16" s="417" t="s">
        <v>116</v>
      </c>
    </row>
    <row r="17" spans="1:5" ht="16.5" customHeight="1" x14ac:dyDescent="0.3">
      <c r="A17" s="418" t="s">
        <v>117</v>
      </c>
      <c r="B17" s="457" t="s">
        <v>110</v>
      </c>
      <c r="D17" s="419"/>
      <c r="E17" s="420"/>
    </row>
    <row r="18" spans="1:5" ht="16.5" customHeight="1" x14ac:dyDescent="0.3">
      <c r="A18" s="421" t="s">
        <v>1</v>
      </c>
      <c r="B18" s="422" t="s">
        <v>105</v>
      </c>
      <c r="C18" s="420"/>
      <c r="D18" s="420"/>
      <c r="E18" s="420"/>
    </row>
    <row r="19" spans="1:5" ht="16.5" customHeight="1" x14ac:dyDescent="0.3">
      <c r="A19" s="421" t="s">
        <v>2</v>
      </c>
      <c r="B19" s="422">
        <v>100.4</v>
      </c>
      <c r="C19" s="420"/>
      <c r="D19" s="420"/>
      <c r="E19" s="420"/>
    </row>
    <row r="20" spans="1:5" ht="16.5" customHeight="1" x14ac:dyDescent="0.3">
      <c r="A20" s="418" t="s">
        <v>118</v>
      </c>
      <c r="B20" s="422">
        <v>20.59</v>
      </c>
      <c r="C20" s="420"/>
      <c r="D20" s="420"/>
      <c r="E20" s="420"/>
    </row>
    <row r="21" spans="1:5" ht="16.5" customHeight="1" x14ac:dyDescent="0.3">
      <c r="A21" s="418" t="s">
        <v>119</v>
      </c>
      <c r="B21" s="423">
        <v>0.1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120</v>
      </c>
      <c r="B23" s="425" t="s">
        <v>121</v>
      </c>
      <c r="C23" s="424" t="s">
        <v>122</v>
      </c>
      <c r="D23" s="424" t="s">
        <v>123</v>
      </c>
      <c r="E23" s="424" t="s">
        <v>124</v>
      </c>
    </row>
    <row r="24" spans="1:5" ht="16.5" customHeight="1" x14ac:dyDescent="0.3">
      <c r="A24" s="426">
        <v>1</v>
      </c>
      <c r="B24" s="427">
        <v>57316657</v>
      </c>
      <c r="C24" s="427">
        <v>6851.43</v>
      </c>
      <c r="D24" s="428">
        <v>1.28</v>
      </c>
      <c r="E24" s="429">
        <v>2.98</v>
      </c>
    </row>
    <row r="25" spans="1:5" ht="16.5" customHeight="1" x14ac:dyDescent="0.3">
      <c r="A25" s="426">
        <v>2</v>
      </c>
      <c r="B25" s="427">
        <v>57592703</v>
      </c>
      <c r="C25" s="427">
        <v>6852.52</v>
      </c>
      <c r="D25" s="428">
        <v>1.3</v>
      </c>
      <c r="E25" s="428">
        <v>2.98</v>
      </c>
    </row>
    <row r="26" spans="1:5" ht="16.5" customHeight="1" x14ac:dyDescent="0.3">
      <c r="A26" s="426">
        <v>3</v>
      </c>
      <c r="B26" s="427">
        <v>57461813</v>
      </c>
      <c r="C26" s="427">
        <v>6836.82</v>
      </c>
      <c r="D26" s="428">
        <v>1.3</v>
      </c>
      <c r="E26" s="428">
        <v>2.98</v>
      </c>
    </row>
    <row r="27" spans="1:5" ht="16.5" customHeight="1" x14ac:dyDescent="0.3">
      <c r="A27" s="426">
        <v>4</v>
      </c>
      <c r="B27" s="427">
        <v>57444491</v>
      </c>
      <c r="C27" s="427">
        <v>6840.24</v>
      </c>
      <c r="D27" s="428">
        <v>1.28</v>
      </c>
      <c r="E27" s="428">
        <v>2.98</v>
      </c>
    </row>
    <row r="28" spans="1:5" ht="16.5" customHeight="1" x14ac:dyDescent="0.3">
      <c r="A28" s="426">
        <v>5</v>
      </c>
      <c r="B28" s="427">
        <v>57576504</v>
      </c>
      <c r="C28" s="427">
        <v>6781.34</v>
      </c>
      <c r="D28" s="428">
        <v>1.27</v>
      </c>
      <c r="E28" s="428">
        <v>2.98</v>
      </c>
    </row>
    <row r="29" spans="1:5" ht="16.5" customHeight="1" x14ac:dyDescent="0.3">
      <c r="A29" s="426">
        <v>6</v>
      </c>
      <c r="B29" s="430">
        <v>57172787</v>
      </c>
      <c r="C29" s="430">
        <v>6794</v>
      </c>
      <c r="D29" s="431">
        <v>1.31</v>
      </c>
      <c r="E29" s="431">
        <v>2.98</v>
      </c>
    </row>
    <row r="30" spans="1:5" ht="16.5" customHeight="1" x14ac:dyDescent="0.3">
      <c r="A30" s="432" t="s">
        <v>125</v>
      </c>
      <c r="B30" s="433">
        <f>AVERAGE(B24:B29)</f>
        <v>57427492.5</v>
      </c>
      <c r="C30" s="434">
        <f>AVERAGE(C24:C29)</f>
        <v>6826.0583333333343</v>
      </c>
      <c r="D30" s="435">
        <f>AVERAGE(D24:D29)</f>
        <v>1.29</v>
      </c>
      <c r="E30" s="435">
        <f>AVERAGE(E24:E29)</f>
        <v>2.98</v>
      </c>
    </row>
    <row r="31" spans="1:5" ht="16.5" customHeight="1" x14ac:dyDescent="0.3">
      <c r="A31" s="436" t="s">
        <v>126</v>
      </c>
      <c r="B31" s="437">
        <f>(STDEV(B24:B29)/B30)</f>
        <v>2.7874840539569195E-3</v>
      </c>
      <c r="C31" s="438"/>
      <c r="D31" s="438"/>
      <c r="E31" s="439"/>
    </row>
    <row r="32" spans="1:5" s="414" customFormat="1" ht="16.5" customHeight="1" x14ac:dyDescent="0.3">
      <c r="A32" s="440" t="s">
        <v>3</v>
      </c>
      <c r="B32" s="441">
        <f>COUNT(B24:B29)</f>
        <v>6</v>
      </c>
      <c r="C32" s="442"/>
      <c r="D32" s="443"/>
      <c r="E32" s="444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127</v>
      </c>
      <c r="B34" s="445" t="s">
        <v>128</v>
      </c>
      <c r="C34" s="446"/>
      <c r="D34" s="446"/>
      <c r="E34" s="446"/>
    </row>
    <row r="35" spans="1:5" ht="16.5" customHeight="1" x14ac:dyDescent="0.3">
      <c r="A35" s="421"/>
      <c r="B35" s="445" t="s">
        <v>129</v>
      </c>
      <c r="C35" s="446"/>
      <c r="D35" s="446"/>
      <c r="E35" s="446"/>
    </row>
    <row r="36" spans="1:5" ht="16.5" customHeight="1" x14ac:dyDescent="0.3">
      <c r="A36" s="421"/>
      <c r="B36" s="445" t="s">
        <v>130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0</v>
      </c>
      <c r="B38" s="417" t="s">
        <v>131</v>
      </c>
    </row>
    <row r="39" spans="1:5" ht="16.5" customHeight="1" x14ac:dyDescent="0.3">
      <c r="A39" s="421" t="s">
        <v>1</v>
      </c>
      <c r="B39" s="422" t="s">
        <v>105</v>
      </c>
      <c r="C39" s="420"/>
      <c r="D39" s="420"/>
      <c r="E39" s="420"/>
    </row>
    <row r="40" spans="1:5" ht="16.5" customHeight="1" x14ac:dyDescent="0.3">
      <c r="A40" s="421" t="s">
        <v>2</v>
      </c>
      <c r="B40" s="422">
        <v>100.4</v>
      </c>
      <c r="C40" s="420"/>
      <c r="D40" s="420"/>
      <c r="E40" s="420"/>
    </row>
    <row r="41" spans="1:5" ht="16.5" customHeight="1" x14ac:dyDescent="0.3">
      <c r="A41" s="418" t="s">
        <v>118</v>
      </c>
      <c r="B41" s="422">
        <v>20.59</v>
      </c>
      <c r="C41" s="420"/>
      <c r="D41" s="420"/>
      <c r="E41" s="420"/>
    </row>
    <row r="42" spans="1:5" ht="16.5" customHeight="1" x14ac:dyDescent="0.3">
      <c r="A42" s="418" t="s">
        <v>119</v>
      </c>
      <c r="B42" s="423">
        <v>0.33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120</v>
      </c>
      <c r="B44" s="425" t="s">
        <v>121</v>
      </c>
      <c r="C44" s="424" t="s">
        <v>122</v>
      </c>
      <c r="D44" s="424" t="s">
        <v>123</v>
      </c>
      <c r="E44" s="424" t="s">
        <v>124</v>
      </c>
    </row>
    <row r="45" spans="1:5" ht="16.5" customHeight="1" x14ac:dyDescent="0.3">
      <c r="A45" s="426">
        <v>1</v>
      </c>
      <c r="B45" s="427">
        <v>189121539</v>
      </c>
      <c r="C45" s="427">
        <v>3668.96</v>
      </c>
      <c r="D45" s="428">
        <v>1.4</v>
      </c>
      <c r="E45" s="429">
        <v>2.99</v>
      </c>
    </row>
    <row r="46" spans="1:5" ht="16.5" customHeight="1" x14ac:dyDescent="0.3">
      <c r="A46" s="426">
        <v>2</v>
      </c>
      <c r="B46" s="427">
        <v>189072227</v>
      </c>
      <c r="C46" s="427">
        <v>3670.83</v>
      </c>
      <c r="D46" s="428">
        <v>1.4</v>
      </c>
      <c r="E46" s="428">
        <v>2.99</v>
      </c>
    </row>
    <row r="47" spans="1:5" ht="16.5" customHeight="1" x14ac:dyDescent="0.3">
      <c r="A47" s="426">
        <v>3</v>
      </c>
      <c r="B47" s="427">
        <v>189292506</v>
      </c>
      <c r="C47" s="427">
        <v>3665.92</v>
      </c>
      <c r="D47" s="428">
        <v>1.43</v>
      </c>
      <c r="E47" s="428">
        <v>2.99</v>
      </c>
    </row>
    <row r="48" spans="1:5" ht="16.5" customHeight="1" x14ac:dyDescent="0.3">
      <c r="A48" s="426">
        <v>4</v>
      </c>
      <c r="B48" s="427">
        <v>189331486</v>
      </c>
      <c r="C48" s="427">
        <v>3674.35</v>
      </c>
      <c r="D48" s="428">
        <v>1.38</v>
      </c>
      <c r="E48" s="428">
        <v>2.99</v>
      </c>
    </row>
    <row r="49" spans="1:7" ht="16.5" customHeight="1" x14ac:dyDescent="0.3">
      <c r="A49" s="426">
        <v>5</v>
      </c>
      <c r="B49" s="427">
        <v>189639451</v>
      </c>
      <c r="C49" s="427">
        <v>3656.48</v>
      </c>
      <c r="D49" s="428">
        <v>1.42</v>
      </c>
      <c r="E49" s="428">
        <v>2.99</v>
      </c>
    </row>
    <row r="50" spans="1:7" ht="16.5" customHeight="1" x14ac:dyDescent="0.3">
      <c r="A50" s="426">
        <v>6</v>
      </c>
      <c r="B50" s="430">
        <v>189157722</v>
      </c>
      <c r="C50" s="430">
        <v>3686.98</v>
      </c>
      <c r="D50" s="431">
        <v>1.4</v>
      </c>
      <c r="E50" s="431">
        <v>2.99</v>
      </c>
    </row>
    <row r="51" spans="1:7" ht="16.5" customHeight="1" x14ac:dyDescent="0.3">
      <c r="A51" s="432" t="s">
        <v>125</v>
      </c>
      <c r="B51" s="433">
        <f>AVERAGE(B45:B50)</f>
        <v>189269155.16666666</v>
      </c>
      <c r="C51" s="434">
        <f>AVERAGE(C45:C50)</f>
        <v>3670.5866666666666</v>
      </c>
      <c r="D51" s="435">
        <f>AVERAGE(D45:D50)</f>
        <v>1.405</v>
      </c>
      <c r="E51" s="435">
        <f>AVERAGE(E45:E50)</f>
        <v>2.99</v>
      </c>
    </row>
    <row r="52" spans="1:7" ht="16.5" customHeight="1" x14ac:dyDescent="0.3">
      <c r="A52" s="436" t="s">
        <v>126</v>
      </c>
      <c r="B52" s="437">
        <f>(STDEV(B45:B50)/B51)</f>
        <v>1.0944281431941201E-3</v>
      </c>
      <c r="C52" s="438"/>
      <c r="D52" s="438"/>
      <c r="E52" s="439"/>
    </row>
    <row r="53" spans="1:7" s="414" customFormat="1" ht="16.5" customHeight="1" x14ac:dyDescent="0.3">
      <c r="A53" s="440" t="s">
        <v>3</v>
      </c>
      <c r="B53" s="441">
        <f>COUNT(B45:B50)</f>
        <v>6</v>
      </c>
      <c r="C53" s="442"/>
      <c r="D53" s="443"/>
      <c r="E53" s="444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127</v>
      </c>
      <c r="B55" s="445" t="s">
        <v>128</v>
      </c>
      <c r="C55" s="446"/>
      <c r="D55" s="446"/>
      <c r="E55" s="446"/>
    </row>
    <row r="56" spans="1:7" ht="16.5" customHeight="1" x14ac:dyDescent="0.3">
      <c r="A56" s="421"/>
      <c r="B56" s="445" t="s">
        <v>129</v>
      </c>
      <c r="C56" s="446"/>
      <c r="D56" s="446"/>
      <c r="E56" s="446"/>
    </row>
    <row r="57" spans="1:7" ht="16.5" customHeight="1" x14ac:dyDescent="0.3">
      <c r="A57" s="421"/>
      <c r="B57" s="445" t="s">
        <v>130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9" t="s">
        <v>4</v>
      </c>
      <c r="C59" s="459"/>
      <c r="E59" s="451" t="s">
        <v>5</v>
      </c>
      <c r="F59" s="452"/>
      <c r="G59" s="451" t="s">
        <v>6</v>
      </c>
    </row>
    <row r="60" spans="1:7" ht="15" customHeight="1" x14ac:dyDescent="0.3">
      <c r="A60" s="453" t="s">
        <v>7</v>
      </c>
      <c r="B60" s="454"/>
      <c r="C60" s="454"/>
      <c r="E60" s="454"/>
      <c r="G60" s="454"/>
    </row>
    <row r="61" spans="1:7" ht="15" customHeight="1" x14ac:dyDescent="0.3">
      <c r="A61" s="453" t="s">
        <v>8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18" sqref="B18"/>
    </sheetView>
  </sheetViews>
  <sheetFormatPr defaultRowHeight="13.5" x14ac:dyDescent="0.25"/>
  <cols>
    <col min="1" max="1" width="27.5703125" style="508" customWidth="1"/>
    <col min="2" max="2" width="20.42578125" style="508" customWidth="1"/>
    <col min="3" max="3" width="31.85546875" style="508" customWidth="1"/>
    <col min="4" max="4" width="25.85546875" style="508" customWidth="1"/>
    <col min="5" max="5" width="25.7109375" style="508" customWidth="1"/>
    <col min="6" max="6" width="23.140625" style="508" customWidth="1"/>
    <col min="7" max="7" width="28.42578125" style="508" customWidth="1"/>
    <col min="8" max="8" width="21.5703125" style="508" customWidth="1"/>
    <col min="9" max="9" width="9.140625" style="508" customWidth="1"/>
    <col min="10" max="16384" width="9.140625" style="546"/>
  </cols>
  <sheetData>
    <row r="14" spans="1:6" ht="15" customHeight="1" x14ac:dyDescent="0.3">
      <c r="A14" s="507"/>
      <c r="C14" s="509"/>
      <c r="F14" s="509"/>
    </row>
    <row r="15" spans="1:6" ht="18.75" customHeight="1" x14ac:dyDescent="0.3">
      <c r="A15" s="510" t="s">
        <v>115</v>
      </c>
      <c r="B15" s="510"/>
      <c r="C15" s="510"/>
      <c r="D15" s="510"/>
      <c r="E15" s="510"/>
    </row>
    <row r="16" spans="1:6" ht="16.5" customHeight="1" x14ac:dyDescent="0.3">
      <c r="A16" s="511" t="s">
        <v>0</v>
      </c>
      <c r="B16" s="512" t="s">
        <v>116</v>
      </c>
    </row>
    <row r="17" spans="1:6" ht="16.5" customHeight="1" x14ac:dyDescent="0.3">
      <c r="A17" s="513" t="s">
        <v>117</v>
      </c>
      <c r="B17" s="513" t="s">
        <v>110</v>
      </c>
      <c r="D17" s="514"/>
      <c r="E17" s="515"/>
    </row>
    <row r="18" spans="1:6" ht="16.5" customHeight="1" x14ac:dyDescent="0.3">
      <c r="A18" s="516" t="s">
        <v>1</v>
      </c>
      <c r="B18" s="517" t="s">
        <v>107</v>
      </c>
      <c r="C18" s="515"/>
      <c r="D18" s="515"/>
      <c r="E18" s="515"/>
    </row>
    <row r="19" spans="1:6" ht="16.5" customHeight="1" x14ac:dyDescent="0.3">
      <c r="A19" s="516" t="s">
        <v>2</v>
      </c>
      <c r="B19" s="518">
        <v>98.8</v>
      </c>
      <c r="C19" s="515"/>
      <c r="D19" s="515"/>
      <c r="E19" s="515"/>
    </row>
    <row r="20" spans="1:6" ht="16.5" customHeight="1" x14ac:dyDescent="0.3">
      <c r="A20" s="513" t="s">
        <v>118</v>
      </c>
      <c r="B20" s="518">
        <v>21.22</v>
      </c>
      <c r="C20" s="515"/>
      <c r="D20" s="515"/>
      <c r="E20" s="515"/>
    </row>
    <row r="21" spans="1:6" ht="16.5" customHeight="1" x14ac:dyDescent="0.3">
      <c r="A21" s="513" t="s">
        <v>119</v>
      </c>
      <c r="B21" s="519">
        <v>0.1</v>
      </c>
      <c r="C21" s="515"/>
      <c r="D21" s="515"/>
      <c r="E21" s="515"/>
    </row>
    <row r="22" spans="1:6" ht="15.75" customHeight="1" x14ac:dyDescent="0.25">
      <c r="A22" s="515"/>
      <c r="B22" s="515"/>
      <c r="C22" s="515"/>
      <c r="D22" s="515"/>
      <c r="E22" s="515"/>
    </row>
    <row r="23" spans="1:6" ht="16.5" customHeight="1" x14ac:dyDescent="0.3">
      <c r="A23" s="520" t="s">
        <v>120</v>
      </c>
      <c r="B23" s="521" t="s">
        <v>121</v>
      </c>
      <c r="C23" s="520" t="s">
        <v>122</v>
      </c>
      <c r="D23" s="520" t="s">
        <v>123</v>
      </c>
      <c r="E23" s="520" t="s">
        <v>124</v>
      </c>
      <c r="F23" s="520" t="s">
        <v>134</v>
      </c>
    </row>
    <row r="24" spans="1:6" ht="16.5" customHeight="1" x14ac:dyDescent="0.3">
      <c r="A24" s="522">
        <v>1</v>
      </c>
      <c r="B24" s="523">
        <v>57033835</v>
      </c>
      <c r="C24" s="523">
        <v>9850.69</v>
      </c>
      <c r="D24" s="524">
        <v>1.21</v>
      </c>
      <c r="E24" s="525">
        <v>5.26</v>
      </c>
      <c r="F24" s="525">
        <v>12.69</v>
      </c>
    </row>
    <row r="25" spans="1:6" ht="16.5" customHeight="1" x14ac:dyDescent="0.3">
      <c r="A25" s="522">
        <v>2</v>
      </c>
      <c r="B25" s="523">
        <v>57280150</v>
      </c>
      <c r="C25" s="523">
        <v>9583.6</v>
      </c>
      <c r="D25" s="524">
        <v>1.22</v>
      </c>
      <c r="E25" s="524">
        <v>5.25</v>
      </c>
      <c r="F25" s="524">
        <v>12.67</v>
      </c>
    </row>
    <row r="26" spans="1:6" ht="16.5" customHeight="1" x14ac:dyDescent="0.3">
      <c r="A26" s="522">
        <v>3</v>
      </c>
      <c r="B26" s="523">
        <v>57183938</v>
      </c>
      <c r="C26" s="523">
        <v>9554.5400000000009</v>
      </c>
      <c r="D26" s="524">
        <v>1.2</v>
      </c>
      <c r="E26" s="524">
        <v>5.25</v>
      </c>
      <c r="F26" s="524">
        <v>12.65</v>
      </c>
    </row>
    <row r="27" spans="1:6" ht="16.5" customHeight="1" x14ac:dyDescent="0.3">
      <c r="A27" s="522">
        <v>4</v>
      </c>
      <c r="B27" s="523">
        <v>57141384</v>
      </c>
      <c r="C27" s="523">
        <v>9557.98</v>
      </c>
      <c r="D27" s="524">
        <v>1.19</v>
      </c>
      <c r="E27" s="524">
        <v>5.25</v>
      </c>
      <c r="F27" s="524">
        <v>12.65</v>
      </c>
    </row>
    <row r="28" spans="1:6" ht="16.5" customHeight="1" x14ac:dyDescent="0.3">
      <c r="A28" s="522">
        <v>5</v>
      </c>
      <c r="B28" s="526">
        <v>57262716</v>
      </c>
      <c r="C28" s="523">
        <v>9507.27</v>
      </c>
      <c r="D28" s="524">
        <v>1.19</v>
      </c>
      <c r="E28" s="524">
        <v>5.25</v>
      </c>
      <c r="F28" s="524">
        <v>12.61</v>
      </c>
    </row>
    <row r="29" spans="1:6" ht="16.5" customHeight="1" x14ac:dyDescent="0.3">
      <c r="A29" s="522">
        <v>6</v>
      </c>
      <c r="B29" s="526">
        <v>57172787</v>
      </c>
      <c r="C29" s="526">
        <v>9541.48</v>
      </c>
      <c r="D29" s="527">
        <v>1.21</v>
      </c>
      <c r="E29" s="527">
        <v>5.25</v>
      </c>
      <c r="F29" s="527">
        <v>12.63</v>
      </c>
    </row>
    <row r="30" spans="1:6" ht="16.5" customHeight="1" x14ac:dyDescent="0.3">
      <c r="A30" s="528" t="s">
        <v>125</v>
      </c>
      <c r="B30" s="529">
        <f>AVERAGE(B24:B29)</f>
        <v>57179135</v>
      </c>
      <c r="C30" s="530">
        <f>AVERAGE(C24:C29)</f>
        <v>9599.26</v>
      </c>
      <c r="D30" s="531">
        <f>AVERAGE(D24:D29)</f>
        <v>1.2033333333333334</v>
      </c>
      <c r="E30" s="531">
        <f>AVERAGE(E24:E29)</f>
        <v>5.251666666666666</v>
      </c>
      <c r="F30" s="531">
        <f>AVERAGE(F24:F29)</f>
        <v>12.649999999999999</v>
      </c>
    </row>
    <row r="31" spans="1:6" ht="16.5" customHeight="1" x14ac:dyDescent="0.3">
      <c r="A31" s="532" t="s">
        <v>126</v>
      </c>
      <c r="B31" s="533">
        <f>(STDEV(B24:B28)/B30)</f>
        <v>1.7432415243976752E-3</v>
      </c>
      <c r="C31" s="534"/>
      <c r="D31" s="534"/>
      <c r="E31" s="535"/>
      <c r="F31" s="535"/>
    </row>
    <row r="32" spans="1:6" s="508" customFormat="1" ht="16.5" customHeight="1" x14ac:dyDescent="0.3">
      <c r="A32" s="536" t="s">
        <v>3</v>
      </c>
      <c r="B32" s="537">
        <f>COUNT(B24:B28)</f>
        <v>5</v>
      </c>
      <c r="C32" s="538"/>
      <c r="D32" s="539"/>
      <c r="E32" s="540"/>
      <c r="F32" s="540"/>
    </row>
    <row r="33" spans="1:6" s="508" customFormat="1" ht="15.75" customHeight="1" x14ac:dyDescent="0.25">
      <c r="A33" s="515"/>
      <c r="B33" s="515"/>
      <c r="C33" s="515"/>
      <c r="D33" s="515"/>
      <c r="E33" s="515"/>
    </row>
    <row r="34" spans="1:6" s="508" customFormat="1" ht="16.5" customHeight="1" x14ac:dyDescent="0.3">
      <c r="A34" s="516" t="s">
        <v>127</v>
      </c>
      <c r="B34" s="541" t="s">
        <v>132</v>
      </c>
      <c r="C34" s="542"/>
      <c r="D34" s="542"/>
      <c r="E34" s="542"/>
    </row>
    <row r="35" spans="1:6" ht="16.5" customHeight="1" x14ac:dyDescent="0.3">
      <c r="A35" s="516"/>
      <c r="B35" s="541" t="s">
        <v>129</v>
      </c>
      <c r="C35" s="542"/>
      <c r="D35" s="542"/>
      <c r="E35" s="542"/>
    </row>
    <row r="36" spans="1:6" ht="16.5" customHeight="1" x14ac:dyDescent="0.3">
      <c r="A36" s="516"/>
      <c r="B36" s="541" t="s">
        <v>130</v>
      </c>
      <c r="C36" s="542"/>
      <c r="D36" s="542"/>
      <c r="E36" s="542"/>
    </row>
    <row r="37" spans="1:6" ht="15.75" customHeight="1" x14ac:dyDescent="0.25">
      <c r="A37" s="515"/>
      <c r="B37" s="515"/>
      <c r="C37" s="515"/>
      <c r="D37" s="515"/>
      <c r="E37" s="515"/>
    </row>
    <row r="38" spans="1:6" ht="16.5" customHeight="1" x14ac:dyDescent="0.3">
      <c r="A38" s="511" t="s">
        <v>0</v>
      </c>
      <c r="B38" s="512" t="s">
        <v>131</v>
      </c>
    </row>
    <row r="39" spans="1:6" ht="16.5" customHeight="1" x14ac:dyDescent="0.3">
      <c r="A39" s="516" t="s">
        <v>1</v>
      </c>
      <c r="B39" s="513" t="s">
        <v>133</v>
      </c>
      <c r="C39" s="515"/>
      <c r="D39" s="515"/>
      <c r="E39" s="515"/>
    </row>
    <row r="40" spans="1:6" ht="16.5" customHeight="1" x14ac:dyDescent="0.3">
      <c r="A40" s="516" t="s">
        <v>2</v>
      </c>
      <c r="B40" s="518">
        <v>98.8</v>
      </c>
      <c r="C40" s="515"/>
      <c r="D40" s="515"/>
      <c r="E40" s="515"/>
    </row>
    <row r="41" spans="1:6" ht="16.5" customHeight="1" x14ac:dyDescent="0.3">
      <c r="A41" s="513" t="s">
        <v>118</v>
      </c>
      <c r="B41" s="518">
        <v>21.22</v>
      </c>
      <c r="C41" s="515"/>
      <c r="D41" s="515"/>
      <c r="E41" s="515"/>
    </row>
    <row r="42" spans="1:6" ht="16.5" customHeight="1" x14ac:dyDescent="0.3">
      <c r="A42" s="513" t="s">
        <v>119</v>
      </c>
      <c r="B42" s="519">
        <v>0.33300000000000002</v>
      </c>
      <c r="C42" s="515"/>
      <c r="D42" s="515"/>
      <c r="E42" s="515"/>
    </row>
    <row r="43" spans="1:6" ht="15.75" customHeight="1" x14ac:dyDescent="0.25">
      <c r="A43" s="515"/>
      <c r="B43" s="515"/>
      <c r="C43" s="515"/>
      <c r="D43" s="515"/>
      <c r="E43" s="515"/>
    </row>
    <row r="44" spans="1:6" ht="16.5" customHeight="1" x14ac:dyDescent="0.3">
      <c r="A44" s="520" t="s">
        <v>120</v>
      </c>
      <c r="B44" s="521" t="s">
        <v>121</v>
      </c>
      <c r="C44" s="520" t="s">
        <v>122</v>
      </c>
      <c r="D44" s="520" t="s">
        <v>123</v>
      </c>
      <c r="E44" s="520" t="s">
        <v>124</v>
      </c>
      <c r="F44" s="520" t="s">
        <v>134</v>
      </c>
    </row>
    <row r="45" spans="1:6" ht="16.5" customHeight="1" x14ac:dyDescent="0.3">
      <c r="A45" s="522">
        <v>1</v>
      </c>
      <c r="B45" s="523">
        <v>187662528</v>
      </c>
      <c r="C45" s="523">
        <v>6905.43</v>
      </c>
      <c r="D45" s="524">
        <v>1.32</v>
      </c>
      <c r="E45" s="525">
        <v>5.24</v>
      </c>
      <c r="F45" s="525">
        <v>9.99</v>
      </c>
    </row>
    <row r="46" spans="1:6" ht="16.5" customHeight="1" x14ac:dyDescent="0.3">
      <c r="A46" s="522">
        <v>2</v>
      </c>
      <c r="B46" s="523">
        <v>187616077</v>
      </c>
      <c r="C46" s="523">
        <v>6906.15</v>
      </c>
      <c r="D46" s="524">
        <v>1.33</v>
      </c>
      <c r="E46" s="524">
        <v>5.24</v>
      </c>
      <c r="F46" s="524">
        <v>9.99</v>
      </c>
    </row>
    <row r="47" spans="1:6" ht="16.5" customHeight="1" x14ac:dyDescent="0.3">
      <c r="A47" s="522">
        <v>3</v>
      </c>
      <c r="B47" s="523">
        <v>187590542</v>
      </c>
      <c r="C47" s="523">
        <v>6932.44</v>
      </c>
      <c r="D47" s="524">
        <v>1.3</v>
      </c>
      <c r="E47" s="524">
        <v>5.25</v>
      </c>
      <c r="F47" s="524">
        <v>10.01</v>
      </c>
    </row>
    <row r="48" spans="1:6" ht="16.5" customHeight="1" x14ac:dyDescent="0.3">
      <c r="A48" s="522">
        <v>4</v>
      </c>
      <c r="B48" s="523">
        <v>187637618</v>
      </c>
      <c r="C48" s="523">
        <v>6900.86</v>
      </c>
      <c r="D48" s="524">
        <v>1.32</v>
      </c>
      <c r="E48" s="524">
        <v>5.24</v>
      </c>
      <c r="F48" s="524">
        <v>9.99</v>
      </c>
    </row>
    <row r="49" spans="1:7" ht="16.5" customHeight="1" x14ac:dyDescent="0.3">
      <c r="A49" s="522">
        <v>5</v>
      </c>
      <c r="B49" s="523">
        <v>187610848</v>
      </c>
      <c r="C49" s="523">
        <v>6944.85</v>
      </c>
      <c r="D49" s="524">
        <v>1.29</v>
      </c>
      <c r="E49" s="524">
        <v>5.25</v>
      </c>
      <c r="F49" s="524">
        <v>10.01</v>
      </c>
    </row>
    <row r="50" spans="1:7" ht="16.5" customHeight="1" x14ac:dyDescent="0.3">
      <c r="A50" s="522">
        <v>6</v>
      </c>
      <c r="B50" s="526">
        <v>187437895</v>
      </c>
      <c r="C50" s="526">
        <v>6929.26</v>
      </c>
      <c r="D50" s="527">
        <v>1.32</v>
      </c>
      <c r="E50" s="527">
        <v>5.24</v>
      </c>
      <c r="F50" s="527">
        <v>10.01</v>
      </c>
    </row>
    <row r="51" spans="1:7" ht="16.5" customHeight="1" x14ac:dyDescent="0.3">
      <c r="A51" s="528" t="s">
        <v>125</v>
      </c>
      <c r="B51" s="529">
        <f>AVERAGE(B45:B50)</f>
        <v>187592584.66666666</v>
      </c>
      <c r="C51" s="530">
        <f>AVERAGE(C45:C50)</f>
        <v>6919.8316666666678</v>
      </c>
      <c r="D51" s="531">
        <f>AVERAGE(D45:D50)</f>
        <v>1.3133333333333335</v>
      </c>
      <c r="E51" s="531">
        <f>AVERAGE(E45:E50)</f>
        <v>5.2433333333333332</v>
      </c>
      <c r="F51" s="531">
        <f>AVERAGE(F45:F50)</f>
        <v>10</v>
      </c>
    </row>
    <row r="52" spans="1:7" ht="16.5" customHeight="1" x14ac:dyDescent="0.3">
      <c r="A52" s="532" t="s">
        <v>126</v>
      </c>
      <c r="B52" s="533">
        <f>(STDEV(B45:B50)/B51)</f>
        <v>4.247105470121493E-4</v>
      </c>
      <c r="C52" s="534"/>
      <c r="D52" s="534"/>
      <c r="E52" s="535"/>
      <c r="F52" s="535"/>
    </row>
    <row r="53" spans="1:7" s="508" customFormat="1" ht="16.5" customHeight="1" x14ac:dyDescent="0.3">
      <c r="A53" s="536" t="s">
        <v>3</v>
      </c>
      <c r="B53" s="537">
        <f>COUNT(B45:B50)</f>
        <v>6</v>
      </c>
      <c r="C53" s="538"/>
      <c r="D53" s="539"/>
      <c r="E53" s="540"/>
      <c r="F53" s="540"/>
    </row>
    <row r="54" spans="1:7" s="508" customFormat="1" ht="15.75" customHeight="1" x14ac:dyDescent="0.25">
      <c r="A54" s="515"/>
      <c r="B54" s="515"/>
      <c r="C54" s="515"/>
      <c r="D54" s="515"/>
      <c r="E54" s="515"/>
    </row>
    <row r="55" spans="1:7" s="508" customFormat="1" ht="16.5" customHeight="1" x14ac:dyDescent="0.3">
      <c r="A55" s="516" t="s">
        <v>127</v>
      </c>
      <c r="B55" s="541" t="s">
        <v>128</v>
      </c>
      <c r="C55" s="542"/>
      <c r="D55" s="542"/>
      <c r="E55" s="542"/>
    </row>
    <row r="56" spans="1:7" ht="16.5" customHeight="1" x14ac:dyDescent="0.3">
      <c r="A56" s="516"/>
      <c r="B56" s="541" t="s">
        <v>129</v>
      </c>
      <c r="C56" s="542"/>
      <c r="D56" s="542"/>
      <c r="E56" s="542"/>
    </row>
    <row r="57" spans="1:7" ht="16.5" customHeight="1" x14ac:dyDescent="0.3">
      <c r="A57" s="516"/>
      <c r="B57" s="541" t="s">
        <v>130</v>
      </c>
      <c r="C57" s="542"/>
      <c r="D57" s="542"/>
      <c r="E57" s="542"/>
    </row>
    <row r="58" spans="1:7" ht="14.25" customHeight="1" thickBot="1" x14ac:dyDescent="0.3">
      <c r="A58" s="543"/>
      <c r="B58" s="544"/>
      <c r="D58" s="545"/>
      <c r="F58" s="546"/>
      <c r="G58" s="546"/>
    </row>
    <row r="59" spans="1:7" ht="15" customHeight="1" x14ac:dyDescent="0.3">
      <c r="B59" s="547" t="s">
        <v>4</v>
      </c>
      <c r="C59" s="547"/>
      <c r="E59" s="548" t="s">
        <v>5</v>
      </c>
      <c r="F59" s="549"/>
      <c r="G59" s="548" t="s">
        <v>6</v>
      </c>
    </row>
    <row r="60" spans="1:7" ht="15" customHeight="1" x14ac:dyDescent="0.3">
      <c r="A60" s="550" t="s">
        <v>7</v>
      </c>
      <c r="B60" s="551"/>
      <c r="C60" s="551"/>
      <c r="E60" s="551"/>
      <c r="G60" s="551"/>
    </row>
    <row r="61" spans="1:7" ht="15" customHeight="1" x14ac:dyDescent="0.3">
      <c r="A61" s="550" t="s">
        <v>8</v>
      </c>
      <c r="B61" s="552"/>
      <c r="C61" s="552"/>
      <c r="E61" s="552"/>
      <c r="G61" s="5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369" customWidth="1"/>
    <col min="2" max="2" width="18.42578125" style="369" customWidth="1"/>
    <col min="3" max="3" width="14.28515625" style="369" customWidth="1"/>
    <col min="4" max="4" width="15" style="369" customWidth="1"/>
    <col min="5" max="5" width="9.140625" style="369" customWidth="1"/>
    <col min="6" max="6" width="27.85546875" style="369" customWidth="1"/>
    <col min="7" max="7" width="12.28515625" style="369" customWidth="1"/>
    <col min="8" max="8" width="9.140625" style="369" customWidth="1"/>
    <col min="9" max="16384" width="9.140625" style="412"/>
  </cols>
  <sheetData>
    <row r="10" spans="1:7" ht="13.5" customHeight="1" thickBot="1" x14ac:dyDescent="0.35"/>
    <row r="11" spans="1:7" ht="13.5" customHeight="1" thickBot="1" x14ac:dyDescent="0.35">
      <c r="A11" s="462" t="s">
        <v>9</v>
      </c>
      <c r="B11" s="463"/>
      <c r="C11" s="463"/>
      <c r="D11" s="463"/>
      <c r="E11" s="463"/>
      <c r="F11" s="464"/>
      <c r="G11" s="370"/>
    </row>
    <row r="12" spans="1:7" ht="16.5" customHeight="1" x14ac:dyDescent="0.3">
      <c r="A12" s="465" t="s">
        <v>10</v>
      </c>
      <c r="B12" s="465"/>
      <c r="C12" s="465"/>
      <c r="D12" s="465"/>
      <c r="E12" s="465"/>
      <c r="F12" s="465"/>
      <c r="G12" s="371"/>
    </row>
    <row r="14" spans="1:7" ht="16.5" customHeight="1" x14ac:dyDescent="0.3">
      <c r="A14" s="466" t="s">
        <v>11</v>
      </c>
      <c r="B14" s="466"/>
      <c r="C14" s="372" t="s">
        <v>111</v>
      </c>
    </row>
    <row r="15" spans="1:7" ht="16.5" customHeight="1" x14ac:dyDescent="0.3">
      <c r="A15" s="466" t="s">
        <v>12</v>
      </c>
      <c r="B15" s="466"/>
      <c r="C15" s="372" t="s">
        <v>110</v>
      </c>
    </row>
    <row r="16" spans="1:7" ht="16.5" customHeight="1" x14ac:dyDescent="0.3">
      <c r="A16" s="466" t="s">
        <v>13</v>
      </c>
      <c r="B16" s="466"/>
      <c r="C16" s="372" t="s">
        <v>112</v>
      </c>
    </row>
    <row r="17" spans="1:5" ht="16.5" customHeight="1" x14ac:dyDescent="0.3">
      <c r="A17" s="466" t="s">
        <v>14</v>
      </c>
      <c r="B17" s="466"/>
      <c r="C17" s="372" t="s">
        <v>113</v>
      </c>
    </row>
    <row r="18" spans="1:5" ht="16.5" customHeight="1" x14ac:dyDescent="0.3">
      <c r="A18" s="466" t="s">
        <v>15</v>
      </c>
      <c r="B18" s="466"/>
      <c r="C18" s="373" t="s">
        <v>114</v>
      </c>
    </row>
    <row r="19" spans="1:5" ht="16.5" customHeight="1" x14ac:dyDescent="0.3">
      <c r="A19" s="466" t="s">
        <v>16</v>
      </c>
      <c r="B19" s="466"/>
      <c r="C19" s="373" t="e">
        <f>#REF!</f>
        <v>#REF!</v>
      </c>
    </row>
    <row r="20" spans="1:5" ht="16.5" customHeight="1" x14ac:dyDescent="0.3">
      <c r="A20" s="374"/>
      <c r="B20" s="374"/>
      <c r="C20" s="375"/>
    </row>
    <row r="21" spans="1:5" ht="16.5" customHeight="1" x14ac:dyDescent="0.3">
      <c r="A21" s="465" t="s">
        <v>0</v>
      </c>
      <c r="B21" s="465"/>
      <c r="C21" s="376" t="s">
        <v>17</v>
      </c>
      <c r="D21" s="377"/>
    </row>
    <row r="22" spans="1:5" ht="15.75" customHeight="1" thickBot="1" x14ac:dyDescent="0.35">
      <c r="A22" s="467"/>
      <c r="B22" s="467"/>
      <c r="C22" s="378"/>
      <c r="D22" s="467"/>
      <c r="E22" s="467"/>
    </row>
    <row r="23" spans="1:5" ht="33.75" customHeight="1" thickBot="1" x14ac:dyDescent="0.35">
      <c r="C23" s="379" t="s">
        <v>18</v>
      </c>
      <c r="D23" s="380" t="s">
        <v>19</v>
      </c>
      <c r="E23" s="381"/>
    </row>
    <row r="24" spans="1:5" ht="15.75" customHeight="1" x14ac:dyDescent="0.3">
      <c r="C24" s="382">
        <v>1097.33</v>
      </c>
      <c r="D24" s="383">
        <f t="shared" ref="D24:D43" si="0">(C24-$C$46)/$C$46</f>
        <v>-1.2802716180218625E-2</v>
      </c>
      <c r="E24" s="384"/>
    </row>
    <row r="25" spans="1:5" ht="15.75" customHeight="1" x14ac:dyDescent="0.3">
      <c r="C25" s="382">
        <v>1092.17</v>
      </c>
      <c r="D25" s="385">
        <f t="shared" si="0"/>
        <v>-1.744483658566633E-2</v>
      </c>
      <c r="E25" s="384"/>
    </row>
    <row r="26" spans="1:5" ht="15.75" customHeight="1" x14ac:dyDescent="0.3">
      <c r="C26" s="382">
        <v>1071.6400000000001</v>
      </c>
      <c r="D26" s="385">
        <f t="shared" si="0"/>
        <v>-3.5914358276333755E-2</v>
      </c>
      <c r="E26" s="384"/>
    </row>
    <row r="27" spans="1:5" ht="15.75" customHeight="1" x14ac:dyDescent="0.3">
      <c r="C27" s="382">
        <v>1108.57</v>
      </c>
      <c r="D27" s="385">
        <f t="shared" si="0"/>
        <v>-2.6908104908322491E-3</v>
      </c>
      <c r="E27" s="384"/>
    </row>
    <row r="28" spans="1:5" ht="15.75" customHeight="1" x14ac:dyDescent="0.3">
      <c r="C28" s="382">
        <v>1084.58</v>
      </c>
      <c r="D28" s="385">
        <f t="shared" si="0"/>
        <v>-2.4273071833214727E-2</v>
      </c>
      <c r="E28" s="384"/>
    </row>
    <row r="29" spans="1:5" ht="15.75" customHeight="1" x14ac:dyDescent="0.3">
      <c r="C29" s="382">
        <v>1094.51</v>
      </c>
      <c r="D29" s="385">
        <f t="shared" si="0"/>
        <v>-1.5339688959940059E-2</v>
      </c>
      <c r="E29" s="384"/>
    </row>
    <row r="30" spans="1:5" ht="15.75" customHeight="1" x14ac:dyDescent="0.3">
      <c r="C30" s="382">
        <v>1114.4100000000001</v>
      </c>
      <c r="D30" s="385">
        <f t="shared" si="0"/>
        <v>2.5630622161088418E-3</v>
      </c>
      <c r="E30" s="384"/>
    </row>
    <row r="31" spans="1:5" ht="15.75" customHeight="1" x14ac:dyDescent="0.3">
      <c r="C31" s="382">
        <v>1114.05</v>
      </c>
      <c r="D31" s="385">
        <f t="shared" si="0"/>
        <v>2.2391933506123668E-3</v>
      </c>
      <c r="E31" s="384"/>
    </row>
    <row r="32" spans="1:5" ht="15.75" customHeight="1" x14ac:dyDescent="0.3">
      <c r="C32" s="382">
        <v>1121.8599999999999</v>
      </c>
      <c r="D32" s="385">
        <f t="shared" si="0"/>
        <v>9.2653484604083621E-3</v>
      </c>
      <c r="E32" s="384"/>
    </row>
    <row r="33" spans="1:7" ht="15.75" customHeight="1" x14ac:dyDescent="0.3">
      <c r="C33" s="382">
        <v>1128.8699999999999</v>
      </c>
      <c r="D33" s="385">
        <f t="shared" si="0"/>
        <v>1.5571794980212486E-2</v>
      </c>
      <c r="E33" s="384"/>
    </row>
    <row r="34" spans="1:7" ht="15.75" customHeight="1" x14ac:dyDescent="0.3">
      <c r="C34" s="382">
        <v>1125.6300000000001</v>
      </c>
      <c r="D34" s="385">
        <f t="shared" si="0"/>
        <v>1.2656975190745436E-2</v>
      </c>
      <c r="E34" s="384"/>
    </row>
    <row r="35" spans="1:7" ht="15.75" customHeight="1" x14ac:dyDescent="0.3">
      <c r="C35" s="382">
        <v>1131.28</v>
      </c>
      <c r="D35" s="385">
        <f t="shared" si="0"/>
        <v>1.7739917107563195E-2</v>
      </c>
      <c r="E35" s="384"/>
    </row>
    <row r="36" spans="1:7" ht="15.75" customHeight="1" x14ac:dyDescent="0.3">
      <c r="C36" s="382">
        <v>1114.44</v>
      </c>
      <c r="D36" s="385">
        <f t="shared" si="0"/>
        <v>2.5900512882335138E-3</v>
      </c>
      <c r="E36" s="384"/>
    </row>
    <row r="37" spans="1:7" ht="15.75" customHeight="1" x14ac:dyDescent="0.3">
      <c r="C37" s="382">
        <v>1120.46</v>
      </c>
      <c r="D37" s="385">
        <f t="shared" si="0"/>
        <v>8.0058584279226377E-3</v>
      </c>
      <c r="E37" s="384"/>
    </row>
    <row r="38" spans="1:7" ht="15.75" customHeight="1" x14ac:dyDescent="0.3">
      <c r="C38" s="382">
        <v>1094.7</v>
      </c>
      <c r="D38" s="385">
        <f t="shared" si="0"/>
        <v>-1.5168758169816931E-2</v>
      </c>
      <c r="E38" s="384"/>
    </row>
    <row r="39" spans="1:7" ht="15.75" customHeight="1" x14ac:dyDescent="0.3">
      <c r="C39" s="382">
        <v>1113.76</v>
      </c>
      <c r="D39" s="385">
        <f t="shared" si="0"/>
        <v>1.9782989867403312E-3</v>
      </c>
      <c r="E39" s="384"/>
    </row>
    <row r="40" spans="1:7" ht="15.75" customHeight="1" x14ac:dyDescent="0.3">
      <c r="C40" s="382">
        <v>1113.26</v>
      </c>
      <c r="D40" s="385">
        <f t="shared" si="0"/>
        <v>1.528481117995386E-3</v>
      </c>
      <c r="E40" s="384"/>
    </row>
    <row r="41" spans="1:7" ht="15.75" customHeight="1" x14ac:dyDescent="0.3">
      <c r="C41" s="382">
        <v>1136</v>
      </c>
      <c r="D41" s="385">
        <f t="shared" si="0"/>
        <v>2.1986197788515502E-2</v>
      </c>
      <c r="E41" s="384"/>
    </row>
    <row r="42" spans="1:7" ht="15.75" customHeight="1" x14ac:dyDescent="0.3">
      <c r="C42" s="382">
        <v>1120.33</v>
      </c>
      <c r="D42" s="385">
        <f t="shared" si="0"/>
        <v>7.8889057820488544E-3</v>
      </c>
      <c r="E42" s="384"/>
    </row>
    <row r="43" spans="1:7" ht="16.5" customHeight="1" thickBot="1" x14ac:dyDescent="0.35">
      <c r="C43" s="386">
        <v>1133.3699999999999</v>
      </c>
      <c r="D43" s="387">
        <f t="shared" si="0"/>
        <v>1.9620155798916992E-2</v>
      </c>
      <c r="E43" s="384"/>
    </row>
    <row r="44" spans="1:7" ht="16.5" customHeight="1" thickBot="1" x14ac:dyDescent="0.35">
      <c r="C44" s="388"/>
      <c r="D44" s="384"/>
      <c r="E44" s="389"/>
    </row>
    <row r="45" spans="1:7" ht="16.5" customHeight="1" thickBot="1" x14ac:dyDescent="0.35">
      <c r="B45" s="390" t="s">
        <v>20</v>
      </c>
      <c r="C45" s="391">
        <f>SUM(C24:C44)</f>
        <v>22231.219999999998</v>
      </c>
      <c r="D45" s="392"/>
      <c r="E45" s="388"/>
    </row>
    <row r="46" spans="1:7" ht="17.25" customHeight="1" thickBot="1" x14ac:dyDescent="0.35">
      <c r="B46" s="390" t="s">
        <v>21</v>
      </c>
      <c r="C46" s="393">
        <f>AVERAGE(C24:C44)</f>
        <v>1111.5609999999999</v>
      </c>
      <c r="E46" s="394"/>
    </row>
    <row r="47" spans="1:7" ht="17.25" customHeight="1" thickBot="1" x14ac:dyDescent="0.35">
      <c r="A47" s="372"/>
      <c r="B47" s="395"/>
      <c r="D47" s="396"/>
      <c r="E47" s="394"/>
    </row>
    <row r="48" spans="1:7" ht="33.75" customHeight="1" thickBot="1" x14ac:dyDescent="0.35">
      <c r="B48" s="397" t="s">
        <v>21</v>
      </c>
      <c r="C48" s="380" t="s">
        <v>22</v>
      </c>
      <c r="D48" s="398"/>
      <c r="G48" s="396"/>
    </row>
    <row r="49" spans="1:6" ht="17.25" customHeight="1" thickBot="1" x14ac:dyDescent="0.35">
      <c r="B49" s="460">
        <f>C46</f>
        <v>1111.5609999999999</v>
      </c>
      <c r="C49" s="399">
        <f>-IF(C46&lt;=80,10%,IF(C46&lt;250,7.5%,5%))</f>
        <v>-0.05</v>
      </c>
      <c r="D49" s="400">
        <f>IF(C46&lt;=80,C46*0.9,IF(C46&lt;250,C46*0.925,C46*0.95))</f>
        <v>1055.9829499999998</v>
      </c>
    </row>
    <row r="50" spans="1:6" ht="17.25" customHeight="1" thickBot="1" x14ac:dyDescent="0.35">
      <c r="B50" s="461"/>
      <c r="C50" s="401">
        <f>IF(C46&lt;=80, 10%, IF(C46&lt;250, 7.5%, 5%))</f>
        <v>0.05</v>
      </c>
      <c r="D50" s="400">
        <f>IF(C46&lt;=80, C46*1.1, IF(C46&lt;250, C46*1.075, C46*1.05))</f>
        <v>1167.13905</v>
      </c>
    </row>
    <row r="51" spans="1:6" ht="16.5" customHeight="1" thickBot="1" x14ac:dyDescent="0.35">
      <c r="A51" s="402"/>
      <c r="B51" s="403"/>
      <c r="C51" s="372"/>
      <c r="D51" s="404"/>
      <c r="E51" s="372"/>
      <c r="F51" s="377"/>
    </row>
    <row r="52" spans="1:6" ht="16.5" customHeight="1" x14ac:dyDescent="0.3">
      <c r="A52" s="372"/>
      <c r="B52" s="405" t="s">
        <v>4</v>
      </c>
      <c r="C52" s="405"/>
      <c r="D52" s="406" t="s">
        <v>5</v>
      </c>
      <c r="E52" s="407"/>
      <c r="F52" s="406" t="s">
        <v>6</v>
      </c>
    </row>
    <row r="53" spans="1:6" ht="34.5" customHeight="1" x14ac:dyDescent="0.3">
      <c r="A53" s="374" t="s">
        <v>7</v>
      </c>
      <c r="B53" s="408"/>
      <c r="C53" s="372"/>
      <c r="D53" s="408"/>
      <c r="E53" s="372"/>
      <c r="F53" s="408"/>
    </row>
    <row r="54" spans="1:6" ht="34.5" customHeight="1" x14ac:dyDescent="0.3">
      <c r="A54" s="374" t="s">
        <v>8</v>
      </c>
      <c r="B54" s="409"/>
      <c r="C54" s="410"/>
      <c r="D54" s="409"/>
      <c r="E54" s="372"/>
      <c r="F54" s="411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6" zoomScale="60" zoomScaleNormal="40" zoomScalePageLayoutView="50" workbookViewId="0">
      <selection activeCell="D109" sqref="D109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6" t="s">
        <v>23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24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3"/>
    </row>
    <row r="16" spans="1:9" ht="19.5" customHeight="1" x14ac:dyDescent="0.3">
      <c r="A16" s="469" t="s">
        <v>9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25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5" t="s">
        <v>11</v>
      </c>
      <c r="B18" s="468" t="s">
        <v>103</v>
      </c>
      <c r="C18" s="468"/>
      <c r="D18" s="172"/>
      <c r="E18" s="6"/>
      <c r="F18" s="7"/>
      <c r="G18" s="7"/>
      <c r="H18" s="7"/>
    </row>
    <row r="19" spans="1:14" ht="26.25" customHeight="1" x14ac:dyDescent="0.4">
      <c r="A19" s="5" t="s">
        <v>12</v>
      </c>
      <c r="B19" s="8" t="s">
        <v>110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473" t="s">
        <v>104</v>
      </c>
      <c r="C20" s="473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473" t="s">
        <v>109</v>
      </c>
      <c r="C21" s="473"/>
      <c r="D21" s="473"/>
      <c r="E21" s="473"/>
      <c r="F21" s="473"/>
      <c r="G21" s="473"/>
      <c r="H21" s="473"/>
      <c r="I21" s="9"/>
    </row>
    <row r="22" spans="1:14" ht="26.25" customHeight="1" x14ac:dyDescent="0.4">
      <c r="A22" s="5" t="s">
        <v>15</v>
      </c>
      <c r="B22" s="10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3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68" t="s">
        <v>105</v>
      </c>
      <c r="C26" s="468"/>
    </row>
    <row r="27" spans="1:14" ht="26.25" customHeight="1" x14ac:dyDescent="0.4">
      <c r="A27" s="14" t="s">
        <v>26</v>
      </c>
      <c r="B27" s="474" t="s">
        <v>106</v>
      </c>
      <c r="C27" s="474"/>
    </row>
    <row r="28" spans="1:14" ht="27" customHeight="1" x14ac:dyDescent="0.4">
      <c r="A28" s="14" t="s">
        <v>2</v>
      </c>
      <c r="B28" s="15">
        <v>100.4</v>
      </c>
    </row>
    <row r="29" spans="1:14" s="2" customFormat="1" ht="27" customHeight="1" x14ac:dyDescent="0.4">
      <c r="A29" s="14" t="s">
        <v>27</v>
      </c>
      <c r="B29" s="16">
        <v>0</v>
      </c>
      <c r="C29" s="475" t="s">
        <v>28</v>
      </c>
      <c r="D29" s="476"/>
      <c r="E29" s="476"/>
      <c r="F29" s="476"/>
      <c r="G29" s="477"/>
      <c r="I29" s="17"/>
      <c r="J29" s="17"/>
      <c r="K29" s="17"/>
      <c r="L29" s="17"/>
    </row>
    <row r="30" spans="1:14" s="2" customFormat="1" ht="19.5" customHeight="1" x14ac:dyDescent="0.3">
      <c r="A30" s="14" t="s">
        <v>29</v>
      </c>
      <c r="B30" s="18">
        <f>B28-B29</f>
        <v>100.4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30</v>
      </c>
      <c r="B31" s="21">
        <v>1</v>
      </c>
      <c r="C31" s="478" t="s">
        <v>31</v>
      </c>
      <c r="D31" s="479"/>
      <c r="E31" s="479"/>
      <c r="F31" s="479"/>
      <c r="G31" s="479"/>
      <c r="H31" s="480"/>
      <c r="I31" s="17"/>
      <c r="J31" s="17"/>
      <c r="K31" s="17"/>
      <c r="L31" s="17"/>
    </row>
    <row r="32" spans="1:14" s="2" customFormat="1" ht="27" customHeight="1" x14ac:dyDescent="0.4">
      <c r="A32" s="14" t="s">
        <v>32</v>
      </c>
      <c r="B32" s="21">
        <v>1</v>
      </c>
      <c r="C32" s="478" t="s">
        <v>33</v>
      </c>
      <c r="D32" s="479"/>
      <c r="E32" s="479"/>
      <c r="F32" s="479"/>
      <c r="G32" s="479"/>
      <c r="H32" s="480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34</v>
      </c>
      <c r="B34" s="26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36</v>
      </c>
      <c r="B36" s="28">
        <v>50</v>
      </c>
      <c r="C36" s="4"/>
      <c r="D36" s="481" t="s">
        <v>37</v>
      </c>
      <c r="E36" s="482"/>
      <c r="F36" s="481" t="s">
        <v>38</v>
      </c>
      <c r="G36" s="483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39</v>
      </c>
      <c r="B37" s="30">
        <v>5</v>
      </c>
      <c r="C37" s="31" t="s">
        <v>40</v>
      </c>
      <c r="D37" s="32" t="s">
        <v>41</v>
      </c>
      <c r="E37" s="33" t="s">
        <v>42</v>
      </c>
      <c r="F37" s="32" t="s">
        <v>41</v>
      </c>
      <c r="G37" s="34" t="s">
        <v>42</v>
      </c>
      <c r="I37" s="35" t="s">
        <v>43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44</v>
      </c>
      <c r="B38" s="30">
        <v>25</v>
      </c>
      <c r="C38" s="36">
        <v>1</v>
      </c>
      <c r="D38" s="37">
        <v>57767576</v>
      </c>
      <c r="E38" s="38">
        <f>IF(ISBLANK(D38),"-",$D$48/$D$45*D38)</f>
        <v>69860886.710564256</v>
      </c>
      <c r="F38" s="37">
        <v>56494703</v>
      </c>
      <c r="G38" s="39">
        <f>IF(ISBLANK(F38),"-",$D$48/$F$45*F38)</f>
        <v>72325995.503845811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45</v>
      </c>
      <c r="B39" s="30">
        <v>1</v>
      </c>
      <c r="C39" s="41">
        <v>2</v>
      </c>
      <c r="D39" s="42">
        <v>57892958</v>
      </c>
      <c r="E39" s="43">
        <f>IF(ISBLANK(D39),"-",$D$48/$D$45*D39)</f>
        <v>70012516.713137746</v>
      </c>
      <c r="F39" s="42">
        <v>56573689</v>
      </c>
      <c r="G39" s="44">
        <f>IF(ISBLANK(F39),"-",$D$48/$F$45*F39)</f>
        <v>72427115.445672333</v>
      </c>
      <c r="I39" s="485">
        <f>ABS((F43/D43*D42)-F42)/D42</f>
        <v>3.2968860656643457E-2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46</v>
      </c>
      <c r="B40" s="30">
        <v>1</v>
      </c>
      <c r="C40" s="41">
        <v>3</v>
      </c>
      <c r="D40" s="42">
        <v>57896563</v>
      </c>
      <c r="E40" s="43">
        <f>IF(ISBLANK(D40),"-",$D$48/$D$45*D40)</f>
        <v>70016876.399211317</v>
      </c>
      <c r="F40" s="42">
        <v>56601404</v>
      </c>
      <c r="G40" s="44">
        <f>IF(ISBLANK(F40),"-",$D$48/$F$45*F40)</f>
        <v>72462596.913118735</v>
      </c>
      <c r="I40" s="485"/>
      <c r="L40" s="22"/>
      <c r="M40" s="22"/>
      <c r="N40" s="45"/>
    </row>
    <row r="41" spans="1:14" ht="27" customHeight="1" x14ac:dyDescent="0.4">
      <c r="A41" s="29" t="s">
        <v>47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48</v>
      </c>
      <c r="B42" s="30">
        <v>1</v>
      </c>
      <c r="C42" s="51" t="s">
        <v>49</v>
      </c>
      <c r="D42" s="52">
        <f>AVERAGE(D38:D41)</f>
        <v>57852365.666666664</v>
      </c>
      <c r="E42" s="53">
        <f>AVERAGE(E38:E41)</f>
        <v>69963426.607637778</v>
      </c>
      <c r="F42" s="52">
        <f>AVERAGE(F38:F41)</f>
        <v>56556598.666666664</v>
      </c>
      <c r="G42" s="54">
        <f>AVERAGE(G38:G41)</f>
        <v>72405235.954212293</v>
      </c>
      <c r="H42" s="55"/>
    </row>
    <row r="43" spans="1:14" ht="26.25" customHeight="1" x14ac:dyDescent="0.4">
      <c r="A43" s="29" t="s">
        <v>50</v>
      </c>
      <c r="B43" s="30">
        <v>1</v>
      </c>
      <c r="C43" s="56" t="s">
        <v>51</v>
      </c>
      <c r="D43" s="57">
        <v>20.59</v>
      </c>
      <c r="E43" s="45"/>
      <c r="F43" s="57">
        <v>19.45</v>
      </c>
      <c r="H43" s="55"/>
    </row>
    <row r="44" spans="1:14" ht="26.25" customHeight="1" x14ac:dyDescent="0.4">
      <c r="A44" s="29" t="s">
        <v>52</v>
      </c>
      <c r="B44" s="30">
        <v>1</v>
      </c>
      <c r="C44" s="58" t="s">
        <v>53</v>
      </c>
      <c r="D44" s="59">
        <f>D43*$B$34</f>
        <v>20.59</v>
      </c>
      <c r="E44" s="60"/>
      <c r="F44" s="59">
        <f>F43*$B$34</f>
        <v>19.45</v>
      </c>
      <c r="H44" s="55"/>
    </row>
    <row r="45" spans="1:14" ht="19.5" customHeight="1" x14ac:dyDescent="0.3">
      <c r="A45" s="29" t="s">
        <v>54</v>
      </c>
      <c r="B45" s="61">
        <f>(B44/B43)*(B42/B41)*(B40/B39)*(B38/B37)*B36</f>
        <v>250</v>
      </c>
      <c r="C45" s="58" t="s">
        <v>55</v>
      </c>
      <c r="D45" s="62">
        <f>D44*$B$30/100</f>
        <v>20.672359999999998</v>
      </c>
      <c r="E45" s="63"/>
      <c r="F45" s="62">
        <f>F44*$B$30/100</f>
        <v>19.527799999999999</v>
      </c>
      <c r="H45" s="55"/>
    </row>
    <row r="46" spans="1:14" ht="19.5" customHeight="1" x14ac:dyDescent="0.3">
      <c r="A46" s="486" t="s">
        <v>56</v>
      </c>
      <c r="B46" s="487"/>
      <c r="C46" s="58" t="s">
        <v>57</v>
      </c>
      <c r="D46" s="64">
        <f>D45/$B$45</f>
        <v>8.2689439999999989E-2</v>
      </c>
      <c r="E46" s="65"/>
      <c r="F46" s="66">
        <f>F45/$B$45</f>
        <v>7.8111199999999992E-2</v>
      </c>
      <c r="H46" s="55"/>
    </row>
    <row r="47" spans="1:14" ht="27" customHeight="1" x14ac:dyDescent="0.4">
      <c r="A47" s="488"/>
      <c r="B47" s="489"/>
      <c r="C47" s="67" t="s">
        <v>58</v>
      </c>
      <c r="D47" s="68">
        <v>0.1</v>
      </c>
      <c r="E47" s="69"/>
      <c r="F47" s="65"/>
      <c r="H47" s="55"/>
    </row>
    <row r="48" spans="1:14" ht="18.75" x14ac:dyDescent="0.3">
      <c r="C48" s="70" t="s">
        <v>59</v>
      </c>
      <c r="D48" s="62">
        <f>D47*$B$45</f>
        <v>25</v>
      </c>
      <c r="F48" s="71"/>
      <c r="H48" s="55"/>
    </row>
    <row r="49" spans="1:12" ht="19.5" customHeight="1" x14ac:dyDescent="0.3">
      <c r="C49" s="72" t="s">
        <v>60</v>
      </c>
      <c r="D49" s="73">
        <f>D48/B34</f>
        <v>25</v>
      </c>
      <c r="F49" s="71"/>
      <c r="H49" s="55"/>
    </row>
    <row r="50" spans="1:12" ht="18.75" x14ac:dyDescent="0.3">
      <c r="C50" s="27" t="s">
        <v>61</v>
      </c>
      <c r="D50" s="74">
        <f>AVERAGE(E38:E41,G38:G41)</f>
        <v>71184331.280925021</v>
      </c>
      <c r="F50" s="75"/>
      <c r="H50" s="55"/>
    </row>
    <row r="51" spans="1:12" ht="18.75" x14ac:dyDescent="0.3">
      <c r="C51" s="29" t="s">
        <v>62</v>
      </c>
      <c r="D51" s="76">
        <f>STDEV(E38:E41,G38:G41)/D50</f>
        <v>1.8815431618066251E-2</v>
      </c>
      <c r="F51" s="75"/>
      <c r="H51" s="55"/>
    </row>
    <row r="52" spans="1:12" ht="19.5" customHeight="1" x14ac:dyDescent="0.3">
      <c r="C52" s="77" t="s">
        <v>3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63</v>
      </c>
    </row>
    <row r="55" spans="1:12" ht="18.75" x14ac:dyDescent="0.3">
      <c r="A55" s="4" t="s">
        <v>64</v>
      </c>
      <c r="B55" s="81" t="str">
        <f>B21</f>
        <v xml:space="preserve"> Lamivudine 300mg and Tenofovir Disoproxil Fumarate 300 mg</v>
      </c>
    </row>
    <row r="56" spans="1:12" ht="26.25" customHeight="1" x14ac:dyDescent="0.4">
      <c r="A56" s="82" t="s">
        <v>65</v>
      </c>
      <c r="B56" s="83">
        <v>300</v>
      </c>
      <c r="C56" s="4" t="str">
        <f>B20</f>
        <v xml:space="preserve">Lamivudine </v>
      </c>
      <c r="H56" s="84"/>
    </row>
    <row r="57" spans="1:12" ht="18.75" x14ac:dyDescent="0.3">
      <c r="A57" s="81" t="s">
        <v>66</v>
      </c>
      <c r="B57" s="173">
        <v>1111.5609999999999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67</v>
      </c>
      <c r="B59" s="28">
        <v>100</v>
      </c>
      <c r="C59" s="4"/>
      <c r="D59" s="85" t="s">
        <v>68</v>
      </c>
      <c r="E59" s="86" t="s">
        <v>40</v>
      </c>
      <c r="F59" s="86" t="s">
        <v>41</v>
      </c>
      <c r="G59" s="86" t="s">
        <v>69</v>
      </c>
      <c r="H59" s="31" t="s">
        <v>70</v>
      </c>
      <c r="L59" s="17"/>
    </row>
    <row r="60" spans="1:12" s="2" customFormat="1" ht="26.25" customHeight="1" x14ac:dyDescent="0.4">
      <c r="A60" s="29" t="s">
        <v>71</v>
      </c>
      <c r="B60" s="30">
        <v>5</v>
      </c>
      <c r="C60" s="490" t="s">
        <v>72</v>
      </c>
      <c r="D60" s="493">
        <v>183.43</v>
      </c>
      <c r="E60" s="87">
        <v>1</v>
      </c>
      <c r="F60" s="88">
        <v>64538921</v>
      </c>
      <c r="G60" s="174">
        <f>IF(ISBLANK(F60),"-",(F60/$D$50*$D$47*$B$68)*($B$57/$D$60))</f>
        <v>274.70731863838864</v>
      </c>
      <c r="H60" s="89">
        <f t="shared" ref="H60:H71" si="0">IF(ISBLANK(F60),"-",G60/$B$56)</f>
        <v>0.91569106212796214</v>
      </c>
      <c r="L60" s="17"/>
    </row>
    <row r="61" spans="1:12" s="2" customFormat="1" ht="26.25" customHeight="1" x14ac:dyDescent="0.4">
      <c r="A61" s="29" t="s">
        <v>73</v>
      </c>
      <c r="B61" s="30">
        <v>25</v>
      </c>
      <c r="C61" s="491"/>
      <c r="D61" s="494"/>
      <c r="E61" s="90">
        <v>2</v>
      </c>
      <c r="F61" s="42">
        <v>64682510</v>
      </c>
      <c r="G61" s="175">
        <f>IF(ISBLANK(F61),"-",(F61/$D$50*$D$47*$B$68)*($B$57/$D$60))</f>
        <v>275.31849943541448</v>
      </c>
      <c r="H61" s="91">
        <f t="shared" si="0"/>
        <v>0.91772833145138155</v>
      </c>
      <c r="L61" s="17"/>
    </row>
    <row r="62" spans="1:12" s="2" customFormat="1" ht="26.25" customHeight="1" x14ac:dyDescent="0.4">
      <c r="A62" s="29" t="s">
        <v>74</v>
      </c>
      <c r="B62" s="30">
        <v>1</v>
      </c>
      <c r="C62" s="491"/>
      <c r="D62" s="494"/>
      <c r="E62" s="90">
        <v>3</v>
      </c>
      <c r="F62" s="92">
        <v>64570055</v>
      </c>
      <c r="G62" s="175">
        <f>IF(ISBLANK(F62),"-",(F62/$D$50*$D$47*$B$68)*($B$57/$D$60))</f>
        <v>274.83983925580782</v>
      </c>
      <c r="H62" s="91">
        <f t="shared" si="0"/>
        <v>0.91613279751935939</v>
      </c>
      <c r="L62" s="17"/>
    </row>
    <row r="63" spans="1:12" ht="27" customHeight="1" x14ac:dyDescent="0.4">
      <c r="A63" s="29" t="s">
        <v>75</v>
      </c>
      <c r="B63" s="30">
        <v>1</v>
      </c>
      <c r="C63" s="492"/>
      <c r="D63" s="495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76</v>
      </c>
      <c r="B64" s="30">
        <v>1</v>
      </c>
      <c r="C64" s="490" t="s">
        <v>77</v>
      </c>
      <c r="D64" s="493">
        <v>185.29</v>
      </c>
      <c r="E64" s="87">
        <v>1</v>
      </c>
      <c r="F64" s="88">
        <v>66328253</v>
      </c>
      <c r="G64" s="176">
        <f>IF(ISBLANK(F64),"-",(F64/$D$50*$D$47*$B$68)*($B$57/$D$64))</f>
        <v>279.48948470675833</v>
      </c>
      <c r="H64" s="95">
        <f t="shared" si="0"/>
        <v>0.93163161568919439</v>
      </c>
    </row>
    <row r="65" spans="1:8" ht="26.25" customHeight="1" x14ac:dyDescent="0.4">
      <c r="A65" s="29" t="s">
        <v>78</v>
      </c>
      <c r="B65" s="30">
        <v>1</v>
      </c>
      <c r="C65" s="491"/>
      <c r="D65" s="494"/>
      <c r="E65" s="90">
        <v>2</v>
      </c>
      <c r="F65" s="42">
        <v>66453648</v>
      </c>
      <c r="G65" s="177">
        <f>IF(ISBLANK(F65),"-",(F65/$D$50*$D$47*$B$68)*($B$57/$D$64))</f>
        <v>280.01786563569374</v>
      </c>
      <c r="H65" s="96">
        <f t="shared" si="0"/>
        <v>0.93339288545231247</v>
      </c>
    </row>
    <row r="66" spans="1:8" ht="26.25" customHeight="1" x14ac:dyDescent="0.4">
      <c r="A66" s="29" t="s">
        <v>79</v>
      </c>
      <c r="B66" s="30">
        <v>1</v>
      </c>
      <c r="C66" s="491"/>
      <c r="D66" s="494"/>
      <c r="E66" s="90">
        <v>3</v>
      </c>
      <c r="F66" s="42">
        <v>66369529</v>
      </c>
      <c r="G66" s="177">
        <f>IF(ISBLANK(F66),"-",(F66/$D$50*$D$47*$B$68)*($B$57/$D$64))</f>
        <v>279.66341071036885</v>
      </c>
      <c r="H66" s="96">
        <f t="shared" si="0"/>
        <v>0.93221136903456281</v>
      </c>
    </row>
    <row r="67" spans="1:8" ht="27" customHeight="1" x14ac:dyDescent="0.4">
      <c r="A67" s="29" t="s">
        <v>80</v>
      </c>
      <c r="B67" s="30">
        <v>1</v>
      </c>
      <c r="C67" s="492"/>
      <c r="D67" s="495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81</v>
      </c>
      <c r="B68" s="98">
        <f>(B67/B66)*(B65/B64)*(B63/B62)*(B61/B60)*B59</f>
        <v>500</v>
      </c>
      <c r="C68" s="490" t="s">
        <v>82</v>
      </c>
      <c r="D68" s="493">
        <v>185.69</v>
      </c>
      <c r="E68" s="87">
        <v>1</v>
      </c>
      <c r="F68" s="88">
        <v>66471530</v>
      </c>
      <c r="G68" s="176">
        <f>IF(ISBLANK(F68),"-",(F68/$D$50*$D$47*$B$68)*($B$57/$D$68))</f>
        <v>279.48985899640252</v>
      </c>
      <c r="H68" s="91">
        <f t="shared" si="0"/>
        <v>0.93163286332134176</v>
      </c>
    </row>
    <row r="69" spans="1:8" ht="27" customHeight="1" x14ac:dyDescent="0.4">
      <c r="A69" s="77" t="s">
        <v>83</v>
      </c>
      <c r="B69" s="99">
        <f>(D47*B68)/B56*B57</f>
        <v>185.26016666666663</v>
      </c>
      <c r="C69" s="491"/>
      <c r="D69" s="494"/>
      <c r="E69" s="90">
        <v>2</v>
      </c>
      <c r="F69" s="42">
        <v>66229640</v>
      </c>
      <c r="G69" s="177">
        <f>IF(ISBLANK(F69),"-",(F69/$D$50*$D$47*$B$68)*($B$57/$D$68))</f>
        <v>278.47279496925222</v>
      </c>
      <c r="H69" s="91">
        <f t="shared" si="0"/>
        <v>0.92824264989750738</v>
      </c>
    </row>
    <row r="70" spans="1:8" ht="26.25" customHeight="1" x14ac:dyDescent="0.4">
      <c r="A70" s="503" t="s">
        <v>56</v>
      </c>
      <c r="B70" s="504"/>
      <c r="C70" s="491"/>
      <c r="D70" s="494"/>
      <c r="E70" s="90">
        <v>3</v>
      </c>
      <c r="F70" s="42">
        <v>66493467</v>
      </c>
      <c r="G70" s="177">
        <f>IF(ISBLANK(F70),"-",(F70/$D$50*$D$47*$B$68)*($B$57/$D$68))</f>
        <v>279.58209651578562</v>
      </c>
      <c r="H70" s="91">
        <f t="shared" si="0"/>
        <v>0.93194032171928542</v>
      </c>
    </row>
    <row r="71" spans="1:8" ht="27" customHeight="1" x14ac:dyDescent="0.4">
      <c r="A71" s="505"/>
      <c r="B71" s="506"/>
      <c r="C71" s="502"/>
      <c r="D71" s="495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49</v>
      </c>
      <c r="G72" s="183">
        <f>AVERAGE(G60:G71)</f>
        <v>277.95346320709695</v>
      </c>
      <c r="H72" s="104">
        <f>AVERAGE(H60:H71)</f>
        <v>0.92651154402365643</v>
      </c>
    </row>
    <row r="73" spans="1:8" ht="26.25" customHeight="1" x14ac:dyDescent="0.4">
      <c r="C73" s="101"/>
      <c r="D73" s="101"/>
      <c r="E73" s="101"/>
      <c r="F73" s="105" t="s">
        <v>62</v>
      </c>
      <c r="G73" s="179">
        <f>STDEV(G60:G71)/G72</f>
        <v>8.2437019030807985E-3</v>
      </c>
      <c r="H73" s="179">
        <f>STDEV(H60:H71)/H72</f>
        <v>8.2437019030808072E-3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3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84</v>
      </c>
      <c r="B76" s="109" t="s">
        <v>85</v>
      </c>
      <c r="C76" s="498" t="str">
        <f>B20</f>
        <v xml:space="preserve">Lamivudine </v>
      </c>
      <c r="D76" s="498"/>
      <c r="E76" s="110" t="s">
        <v>86</v>
      </c>
      <c r="F76" s="110"/>
      <c r="G76" s="111">
        <f>H72</f>
        <v>0.92651154402365643</v>
      </c>
      <c r="H76" s="112"/>
    </row>
    <row r="77" spans="1:8" ht="18.75" x14ac:dyDescent="0.3">
      <c r="A77" s="12" t="s">
        <v>87</v>
      </c>
      <c r="B77" s="12" t="s">
        <v>88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84" t="str">
        <f>B26</f>
        <v>Lamivudine</v>
      </c>
      <c r="C79" s="484"/>
    </row>
    <row r="80" spans="1:8" ht="26.25" customHeight="1" x14ac:dyDescent="0.4">
      <c r="A80" s="14" t="s">
        <v>26</v>
      </c>
      <c r="B80" s="484" t="str">
        <f>B27</f>
        <v>L3-7</v>
      </c>
      <c r="C80" s="484"/>
    </row>
    <row r="81" spans="1:12" ht="27" customHeight="1" x14ac:dyDescent="0.4">
      <c r="A81" s="14" t="s">
        <v>2</v>
      </c>
      <c r="B81" s="113">
        <f>B28</f>
        <v>100.4</v>
      </c>
    </row>
    <row r="82" spans="1:12" s="2" customFormat="1" ht="27" customHeight="1" x14ac:dyDescent="0.4">
      <c r="A82" s="14" t="s">
        <v>27</v>
      </c>
      <c r="B82" s="16">
        <v>0</v>
      </c>
      <c r="C82" s="475" t="s">
        <v>28</v>
      </c>
      <c r="D82" s="476"/>
      <c r="E82" s="476"/>
      <c r="F82" s="476"/>
      <c r="G82" s="477"/>
      <c r="I82" s="17"/>
      <c r="J82" s="17"/>
      <c r="K82" s="17"/>
      <c r="L82" s="17"/>
    </row>
    <row r="83" spans="1:12" s="2" customFormat="1" ht="19.5" customHeight="1" x14ac:dyDescent="0.3">
      <c r="A83" s="14" t="s">
        <v>29</v>
      </c>
      <c r="B83" s="18">
        <f>B81-B82</f>
        <v>100.4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30</v>
      </c>
      <c r="B84" s="21">
        <v>1</v>
      </c>
      <c r="C84" s="478" t="s">
        <v>89</v>
      </c>
      <c r="D84" s="479"/>
      <c r="E84" s="479"/>
      <c r="F84" s="479"/>
      <c r="G84" s="479"/>
      <c r="H84" s="480"/>
      <c r="I84" s="17"/>
      <c r="J84" s="17"/>
      <c r="K84" s="17"/>
      <c r="L84" s="17"/>
    </row>
    <row r="85" spans="1:12" s="2" customFormat="1" ht="27" customHeight="1" x14ac:dyDescent="0.4">
      <c r="A85" s="14" t="s">
        <v>32</v>
      </c>
      <c r="B85" s="21">
        <v>1</v>
      </c>
      <c r="C85" s="478" t="s">
        <v>90</v>
      </c>
      <c r="D85" s="479"/>
      <c r="E85" s="479"/>
      <c r="F85" s="479"/>
      <c r="G85" s="479"/>
      <c r="H85" s="480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34</v>
      </c>
      <c r="B87" s="26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36</v>
      </c>
      <c r="B89" s="28">
        <v>50</v>
      </c>
      <c r="D89" s="114" t="s">
        <v>37</v>
      </c>
      <c r="E89" s="115"/>
      <c r="F89" s="481" t="s">
        <v>38</v>
      </c>
      <c r="G89" s="483"/>
    </row>
    <row r="90" spans="1:12" ht="27" customHeight="1" x14ac:dyDescent="0.4">
      <c r="A90" s="29" t="s">
        <v>39</v>
      </c>
      <c r="B90" s="30">
        <v>15</v>
      </c>
      <c r="C90" s="116" t="s">
        <v>40</v>
      </c>
      <c r="D90" s="32" t="s">
        <v>41</v>
      </c>
      <c r="E90" s="33" t="s">
        <v>42</v>
      </c>
      <c r="F90" s="32" t="s">
        <v>41</v>
      </c>
      <c r="G90" s="117" t="s">
        <v>42</v>
      </c>
      <c r="I90" s="35" t="s">
        <v>43</v>
      </c>
    </row>
    <row r="91" spans="1:12" ht="26.25" customHeight="1" x14ac:dyDescent="0.4">
      <c r="A91" s="29" t="s">
        <v>44</v>
      </c>
      <c r="B91" s="30">
        <v>25</v>
      </c>
      <c r="C91" s="118">
        <v>1</v>
      </c>
      <c r="D91" s="37">
        <v>189349697</v>
      </c>
      <c r="E91" s="38">
        <f>IF(ISBLANK(D91),"-",$D$101/$D$98*D91)</f>
        <v>254432188.94966787</v>
      </c>
      <c r="F91" s="37">
        <v>184865269</v>
      </c>
      <c r="G91" s="39">
        <f>IF(ISBLANK(F91),"-",$D$101/$F$98*F91)</f>
        <v>262965943.99323586</v>
      </c>
      <c r="I91" s="40"/>
    </row>
    <row r="92" spans="1:12" ht="26.25" customHeight="1" x14ac:dyDescent="0.4">
      <c r="A92" s="29" t="s">
        <v>45</v>
      </c>
      <c r="B92" s="30">
        <v>1</v>
      </c>
      <c r="C92" s="102">
        <v>2</v>
      </c>
      <c r="D92" s="42">
        <v>189138009</v>
      </c>
      <c r="E92" s="43">
        <f>IF(ISBLANK(D92),"-",$D$101/$D$98*D92)</f>
        <v>254147740.42892703</v>
      </c>
      <c r="F92" s="42">
        <v>185212020</v>
      </c>
      <c r="G92" s="44">
        <f>IF(ISBLANK(F92),"-",$D$101/$F$98*F92)</f>
        <v>263459188.09765226</v>
      </c>
      <c r="I92" s="485">
        <f>ABS((F96/D96*D95)-F95)/D95</f>
        <v>3.3189785171838654E-2</v>
      </c>
    </row>
    <row r="93" spans="1:12" ht="26.25" customHeight="1" x14ac:dyDescent="0.4">
      <c r="A93" s="29" t="s">
        <v>46</v>
      </c>
      <c r="B93" s="30">
        <v>1</v>
      </c>
      <c r="C93" s="102">
        <v>3</v>
      </c>
      <c r="D93" s="42">
        <v>189043478</v>
      </c>
      <c r="E93" s="43">
        <f>IF(ISBLANK(D93),"-",$D$101/$D$98*D93)</f>
        <v>254020717.62596157</v>
      </c>
      <c r="F93" s="42">
        <v>184867814</v>
      </c>
      <c r="G93" s="44">
        <f>IF(ISBLANK(F93),"-",$D$101/$F$98*F93)</f>
        <v>262969564.18826267</v>
      </c>
      <c r="I93" s="485"/>
    </row>
    <row r="94" spans="1:12" ht="27" customHeight="1" x14ac:dyDescent="0.4">
      <c r="A94" s="29" t="s">
        <v>47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48</v>
      </c>
      <c r="B95" s="30">
        <v>1</v>
      </c>
      <c r="C95" s="121" t="s">
        <v>49</v>
      </c>
      <c r="D95" s="122">
        <f>AVERAGE(D91:D94)</f>
        <v>189177061.33333334</v>
      </c>
      <c r="E95" s="53">
        <f>AVERAGE(E91:E94)</f>
        <v>254200215.66818547</v>
      </c>
      <c r="F95" s="123">
        <f>AVERAGE(F91:F94)</f>
        <v>184981701</v>
      </c>
      <c r="G95" s="124">
        <f>AVERAGE(G91:G94)</f>
        <v>263131565.42638361</v>
      </c>
    </row>
    <row r="96" spans="1:12" ht="26.25" customHeight="1" x14ac:dyDescent="0.4">
      <c r="A96" s="29" t="s">
        <v>50</v>
      </c>
      <c r="B96" s="15">
        <v>1</v>
      </c>
      <c r="C96" s="125" t="s">
        <v>91</v>
      </c>
      <c r="D96" s="126">
        <v>20.59</v>
      </c>
      <c r="E96" s="45"/>
      <c r="F96" s="57">
        <v>19.45</v>
      </c>
    </row>
    <row r="97" spans="1:10" ht="26.25" customHeight="1" x14ac:dyDescent="0.4">
      <c r="A97" s="29" t="s">
        <v>52</v>
      </c>
      <c r="B97" s="15">
        <v>1</v>
      </c>
      <c r="C97" s="127" t="s">
        <v>92</v>
      </c>
      <c r="D97" s="128">
        <f>D96*$B$87</f>
        <v>20.59</v>
      </c>
      <c r="E97" s="60"/>
      <c r="F97" s="59">
        <f>F96*$B$87</f>
        <v>19.45</v>
      </c>
    </row>
    <row r="98" spans="1:10" ht="19.5" customHeight="1" x14ac:dyDescent="0.3">
      <c r="A98" s="29" t="s">
        <v>54</v>
      </c>
      <c r="B98" s="129">
        <f>(B97/B96)*(B95/B94)*(B93/B92)*(B91/B90)*B89</f>
        <v>83.333333333333343</v>
      </c>
      <c r="C98" s="127" t="s">
        <v>93</v>
      </c>
      <c r="D98" s="130">
        <f>D97*$B$83/100</f>
        <v>20.672359999999998</v>
      </c>
      <c r="E98" s="63"/>
      <c r="F98" s="62">
        <f>F97*$B$83/100</f>
        <v>19.527799999999999</v>
      </c>
    </row>
    <row r="99" spans="1:10" ht="19.5" customHeight="1" x14ac:dyDescent="0.3">
      <c r="A99" s="486" t="s">
        <v>56</v>
      </c>
      <c r="B99" s="500"/>
      <c r="C99" s="127" t="s">
        <v>94</v>
      </c>
      <c r="D99" s="131">
        <f>D98/$B$98</f>
        <v>0.24806831999999995</v>
      </c>
      <c r="E99" s="63"/>
      <c r="F99" s="66">
        <f>F98/$B$98</f>
        <v>0.23433359999999998</v>
      </c>
      <c r="G99" s="132"/>
      <c r="H99" s="55"/>
    </row>
    <row r="100" spans="1:10" ht="19.5" customHeight="1" x14ac:dyDescent="0.3">
      <c r="A100" s="488"/>
      <c r="B100" s="501"/>
      <c r="C100" s="127" t="s">
        <v>58</v>
      </c>
      <c r="D100" s="133">
        <f>$B$56/$B$116</f>
        <v>0.33333333333333331</v>
      </c>
      <c r="F100" s="71"/>
      <c r="G100" s="134"/>
      <c r="H100" s="55"/>
    </row>
    <row r="101" spans="1:10" ht="18.75" x14ac:dyDescent="0.3">
      <c r="C101" s="127" t="s">
        <v>59</v>
      </c>
      <c r="D101" s="128">
        <f>D100*$B$98</f>
        <v>27.777777777777779</v>
      </c>
      <c r="F101" s="71"/>
      <c r="G101" s="132"/>
      <c r="H101" s="55"/>
    </row>
    <row r="102" spans="1:10" ht="19.5" customHeight="1" x14ac:dyDescent="0.3">
      <c r="C102" s="135" t="s">
        <v>60</v>
      </c>
      <c r="D102" s="136">
        <f>D101/B34</f>
        <v>27.777777777777779</v>
      </c>
      <c r="F102" s="75"/>
      <c r="G102" s="132"/>
      <c r="H102" s="55"/>
      <c r="J102" s="137"/>
    </row>
    <row r="103" spans="1:10" ht="18.75" x14ac:dyDescent="0.3">
      <c r="C103" s="138" t="s">
        <v>95</v>
      </c>
      <c r="D103" s="139">
        <f>AVERAGE(E91:E94,G91:G94)</f>
        <v>258665890.54728451</v>
      </c>
      <c r="F103" s="75"/>
      <c r="G103" s="140"/>
      <c r="H103" s="55"/>
      <c r="J103" s="141"/>
    </row>
    <row r="104" spans="1:10" ht="18.75" x14ac:dyDescent="0.3">
      <c r="C104" s="105" t="s">
        <v>62</v>
      </c>
      <c r="D104" s="142">
        <f>STDEV(E91:E94,G91:G94)/D103</f>
        <v>1.8931778679156883E-2</v>
      </c>
      <c r="F104" s="75"/>
      <c r="G104" s="132"/>
      <c r="H104" s="55"/>
      <c r="J104" s="141"/>
    </row>
    <row r="105" spans="1:10" ht="19.5" customHeight="1" x14ac:dyDescent="0.3">
      <c r="C105" s="107" t="s">
        <v>3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96</v>
      </c>
      <c r="B107" s="28">
        <v>900</v>
      </c>
      <c r="C107" s="144" t="s">
        <v>97</v>
      </c>
      <c r="D107" s="145" t="s">
        <v>41</v>
      </c>
      <c r="E107" s="146" t="s">
        <v>98</v>
      </c>
      <c r="F107" s="147" t="s">
        <v>99</v>
      </c>
    </row>
    <row r="108" spans="1:10" ht="26.25" customHeight="1" x14ac:dyDescent="0.4">
      <c r="A108" s="29" t="s">
        <v>100</v>
      </c>
      <c r="B108" s="30">
        <v>1</v>
      </c>
      <c r="C108" s="148">
        <v>1</v>
      </c>
      <c r="D108" s="149">
        <v>231609196</v>
      </c>
      <c r="E108" s="180">
        <f t="shared" ref="E108:E113" si="1">IF(ISBLANK(D108),"-",D108/$D$103*$D$100*$B$116)</f>
        <v>268.61971886973032</v>
      </c>
      <c r="F108" s="150">
        <f t="shared" ref="F108:F113" si="2">IF(ISBLANK(D108), "-", E108/$B$56)</f>
        <v>0.89539906289910109</v>
      </c>
    </row>
    <row r="109" spans="1:10" ht="26.25" customHeight="1" x14ac:dyDescent="0.4">
      <c r="A109" s="29" t="s">
        <v>73</v>
      </c>
      <c r="B109" s="30">
        <v>1</v>
      </c>
      <c r="C109" s="148">
        <v>2</v>
      </c>
      <c r="D109" s="149">
        <v>233124106</v>
      </c>
      <c r="E109" s="181">
        <f t="shared" si="1"/>
        <v>270.37670738892945</v>
      </c>
      <c r="F109" s="151">
        <f t="shared" si="2"/>
        <v>0.90125569129643146</v>
      </c>
    </row>
    <row r="110" spans="1:10" ht="26.25" customHeight="1" x14ac:dyDescent="0.4">
      <c r="A110" s="29" t="s">
        <v>74</v>
      </c>
      <c r="B110" s="30">
        <v>1</v>
      </c>
      <c r="C110" s="148">
        <v>3</v>
      </c>
      <c r="D110" s="149">
        <v>225400195</v>
      </c>
      <c r="E110" s="181">
        <f t="shared" si="1"/>
        <v>261.41853630925084</v>
      </c>
      <c r="F110" s="151">
        <f t="shared" si="2"/>
        <v>0.87139512103083616</v>
      </c>
    </row>
    <row r="111" spans="1:10" ht="26.25" customHeight="1" x14ac:dyDescent="0.4">
      <c r="A111" s="29" t="s">
        <v>75</v>
      </c>
      <c r="B111" s="30">
        <v>1</v>
      </c>
      <c r="C111" s="148">
        <v>4</v>
      </c>
      <c r="D111" s="149">
        <v>228159316</v>
      </c>
      <c r="E111" s="181">
        <f t="shared" si="1"/>
        <v>264.61855737986309</v>
      </c>
      <c r="F111" s="151">
        <f t="shared" si="2"/>
        <v>0.88206185793287695</v>
      </c>
    </row>
    <row r="112" spans="1:10" ht="26.25" customHeight="1" x14ac:dyDescent="0.4">
      <c r="A112" s="29" t="s">
        <v>76</v>
      </c>
      <c r="B112" s="30">
        <v>1</v>
      </c>
      <c r="C112" s="148">
        <v>5</v>
      </c>
      <c r="D112" s="149">
        <v>232026337</v>
      </c>
      <c r="E112" s="181">
        <f t="shared" si="1"/>
        <v>269.10351787289704</v>
      </c>
      <c r="F112" s="151">
        <f t="shared" si="2"/>
        <v>0.89701172624299019</v>
      </c>
    </row>
    <row r="113" spans="1:10" ht="26.25" customHeight="1" x14ac:dyDescent="0.4">
      <c r="A113" s="29" t="s">
        <v>78</v>
      </c>
      <c r="B113" s="30">
        <v>1</v>
      </c>
      <c r="C113" s="152">
        <v>6</v>
      </c>
      <c r="D113" s="153">
        <v>227076054</v>
      </c>
      <c r="E113" s="182">
        <f t="shared" si="1"/>
        <v>263.36219304317996</v>
      </c>
      <c r="F113" s="154">
        <f t="shared" si="2"/>
        <v>0.87787397681059987</v>
      </c>
    </row>
    <row r="114" spans="1:10" ht="26.25" customHeight="1" x14ac:dyDescent="0.4">
      <c r="A114" s="29" t="s">
        <v>79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80</v>
      </c>
      <c r="B115" s="30">
        <v>1</v>
      </c>
      <c r="C115" s="148"/>
      <c r="D115" s="156" t="s">
        <v>49</v>
      </c>
      <c r="E115" s="184">
        <f>AVERAGE(E108:E113)</f>
        <v>266.24987181064176</v>
      </c>
      <c r="F115" s="157">
        <f>AVERAGE(F108:F113)</f>
        <v>0.88749957270213919</v>
      </c>
    </row>
    <row r="116" spans="1:10" ht="27" customHeight="1" x14ac:dyDescent="0.4">
      <c r="A116" s="29" t="s">
        <v>81</v>
      </c>
      <c r="B116" s="61">
        <f>(B115/B114)*(B113/B112)*(B111/B110)*(B109/B108)*B107</f>
        <v>900</v>
      </c>
      <c r="C116" s="158"/>
      <c r="D116" s="121" t="s">
        <v>62</v>
      </c>
      <c r="E116" s="159">
        <f>STDEV(E108:E113)/E115</f>
        <v>1.3555718266372913E-2</v>
      </c>
      <c r="F116" s="159">
        <f>STDEV(F108:F113)/F115</f>
        <v>1.3555718266372911E-2</v>
      </c>
      <c r="I116" s="3"/>
    </row>
    <row r="117" spans="1:10" ht="27" customHeight="1" x14ac:dyDescent="0.4">
      <c r="A117" s="486" t="s">
        <v>56</v>
      </c>
      <c r="B117" s="487"/>
      <c r="C117" s="160"/>
      <c r="D117" s="161" t="s">
        <v>3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488"/>
      <c r="B118" s="489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84</v>
      </c>
      <c r="B120" s="109" t="s">
        <v>101</v>
      </c>
      <c r="C120" s="498" t="str">
        <f>B20</f>
        <v xml:space="preserve">Lamivudine </v>
      </c>
      <c r="D120" s="498"/>
      <c r="E120" s="110" t="s">
        <v>102</v>
      </c>
      <c r="F120" s="110"/>
      <c r="G120" s="111">
        <f>F115</f>
        <v>0.88749957270213919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499" t="s">
        <v>4</v>
      </c>
      <c r="C122" s="499"/>
      <c r="E122" s="116" t="s">
        <v>5</v>
      </c>
      <c r="F122" s="165"/>
      <c r="G122" s="499" t="s">
        <v>6</v>
      </c>
      <c r="H122" s="499"/>
    </row>
    <row r="123" spans="1:10" ht="69.95" customHeight="1" x14ac:dyDescent="0.3">
      <c r="A123" s="166" t="s">
        <v>7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8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7" zoomScale="60" zoomScaleNormal="40" zoomScalePageLayoutView="50" workbookViewId="0">
      <selection activeCell="F91" sqref="F9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6" t="s">
        <v>23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24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186"/>
    </row>
    <row r="16" spans="1:9" ht="19.5" customHeight="1" x14ac:dyDescent="0.3">
      <c r="A16" s="469" t="s">
        <v>9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25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188" t="s">
        <v>11</v>
      </c>
      <c r="B18" s="468" t="s">
        <v>103</v>
      </c>
      <c r="C18" s="468"/>
      <c r="D18" s="355"/>
      <c r="E18" s="189"/>
      <c r="F18" s="190"/>
      <c r="G18" s="190"/>
      <c r="H18" s="190"/>
    </row>
    <row r="19" spans="1:14" ht="26.25" customHeight="1" x14ac:dyDescent="0.4">
      <c r="A19" s="188" t="s">
        <v>12</v>
      </c>
      <c r="B19" s="191" t="s">
        <v>110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13</v>
      </c>
      <c r="B20" s="473" t="s">
        <v>107</v>
      </c>
      <c r="C20" s="473"/>
      <c r="D20" s="190"/>
      <c r="E20" s="190"/>
      <c r="F20" s="190"/>
      <c r="G20" s="190"/>
      <c r="H20" s="190"/>
    </row>
    <row r="21" spans="1:14" ht="26.25" customHeight="1" x14ac:dyDescent="0.4">
      <c r="A21" s="188" t="s">
        <v>14</v>
      </c>
      <c r="B21" s="473" t="s">
        <v>109</v>
      </c>
      <c r="C21" s="473"/>
      <c r="D21" s="473"/>
      <c r="E21" s="473"/>
      <c r="F21" s="473"/>
      <c r="G21" s="473"/>
      <c r="H21" s="473"/>
      <c r="I21" s="192"/>
    </row>
    <row r="22" spans="1:14" ht="26.25" customHeight="1" x14ac:dyDescent="0.4">
      <c r="A22" s="188" t="s">
        <v>15</v>
      </c>
      <c r="B22" s="193">
        <v>42527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16</v>
      </c>
      <c r="B23" s="193">
        <v>42528</v>
      </c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0</v>
      </c>
      <c r="B25" s="194"/>
    </row>
    <row r="26" spans="1:14" ht="26.25" customHeight="1" x14ac:dyDescent="0.4">
      <c r="A26" s="196" t="s">
        <v>1</v>
      </c>
      <c r="B26" s="468" t="s">
        <v>107</v>
      </c>
      <c r="C26" s="468"/>
    </row>
    <row r="27" spans="1:14" ht="26.25" customHeight="1" x14ac:dyDescent="0.4">
      <c r="A27" s="197" t="s">
        <v>26</v>
      </c>
      <c r="B27" s="474" t="s">
        <v>108</v>
      </c>
      <c r="C27" s="474"/>
    </row>
    <row r="28" spans="1:14" ht="27" customHeight="1" x14ac:dyDescent="0.4">
      <c r="A28" s="197" t="s">
        <v>2</v>
      </c>
      <c r="B28" s="198">
        <v>98.8</v>
      </c>
    </row>
    <row r="29" spans="1:14" s="2" customFormat="1" ht="27" customHeight="1" x14ac:dyDescent="0.4">
      <c r="A29" s="197" t="s">
        <v>27</v>
      </c>
      <c r="B29" s="199">
        <v>0</v>
      </c>
      <c r="C29" s="475" t="s">
        <v>28</v>
      </c>
      <c r="D29" s="476"/>
      <c r="E29" s="476"/>
      <c r="F29" s="476"/>
      <c r="G29" s="477"/>
      <c r="I29" s="200"/>
      <c r="J29" s="200"/>
      <c r="K29" s="200"/>
      <c r="L29" s="200"/>
    </row>
    <row r="30" spans="1:14" s="2" customFormat="1" ht="19.5" customHeight="1" x14ac:dyDescent="0.3">
      <c r="A30" s="197" t="s">
        <v>29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30</v>
      </c>
      <c r="B31" s="204">
        <v>1</v>
      </c>
      <c r="C31" s="478" t="s">
        <v>31</v>
      </c>
      <c r="D31" s="479"/>
      <c r="E31" s="479"/>
      <c r="F31" s="479"/>
      <c r="G31" s="479"/>
      <c r="H31" s="480"/>
      <c r="I31" s="200"/>
      <c r="J31" s="200"/>
      <c r="K31" s="200"/>
      <c r="L31" s="200"/>
    </row>
    <row r="32" spans="1:14" s="2" customFormat="1" ht="27" customHeight="1" x14ac:dyDescent="0.4">
      <c r="A32" s="197" t="s">
        <v>32</v>
      </c>
      <c r="B32" s="204">
        <v>1</v>
      </c>
      <c r="C32" s="478" t="s">
        <v>33</v>
      </c>
      <c r="D32" s="479"/>
      <c r="E32" s="479"/>
      <c r="F32" s="479"/>
      <c r="G32" s="479"/>
      <c r="H32" s="480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34</v>
      </c>
      <c r="B34" s="209">
        <f>B31/B32</f>
        <v>1</v>
      </c>
      <c r="C34" s="187" t="s">
        <v>35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36</v>
      </c>
      <c r="B36" s="211">
        <v>25</v>
      </c>
      <c r="C36" s="187"/>
      <c r="D36" s="481" t="s">
        <v>37</v>
      </c>
      <c r="E36" s="482"/>
      <c r="F36" s="481" t="s">
        <v>38</v>
      </c>
      <c r="G36" s="483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39</v>
      </c>
      <c r="B37" s="213">
        <v>3</v>
      </c>
      <c r="C37" s="214" t="s">
        <v>40</v>
      </c>
      <c r="D37" s="215" t="s">
        <v>41</v>
      </c>
      <c r="E37" s="216" t="s">
        <v>42</v>
      </c>
      <c r="F37" s="215" t="s">
        <v>41</v>
      </c>
      <c r="G37" s="217" t="s">
        <v>42</v>
      </c>
      <c r="I37" s="218" t="s">
        <v>43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44</v>
      </c>
      <c r="B38" s="213">
        <v>25</v>
      </c>
      <c r="C38" s="219">
        <v>1</v>
      </c>
      <c r="D38" s="220">
        <v>57347458</v>
      </c>
      <c r="E38" s="221">
        <f>IF(ISBLANK(D38),"-",$D$48/$D$45*D38)</f>
        <v>56986319.735665575</v>
      </c>
      <c r="F38" s="220">
        <v>55969832</v>
      </c>
      <c r="G38" s="222">
        <f>IF(ISBLANK(F38),"-",$D$48/$F$45*F38)</f>
        <v>57263492.166388065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45</v>
      </c>
      <c r="B39" s="213">
        <v>1</v>
      </c>
      <c r="C39" s="224">
        <v>2</v>
      </c>
      <c r="D39" s="225">
        <v>57434558</v>
      </c>
      <c r="E39" s="226">
        <f>IF(ISBLANK(D39),"-",$D$48/$D$45*D39)</f>
        <v>57072871.234582521</v>
      </c>
      <c r="F39" s="225">
        <v>56039660</v>
      </c>
      <c r="G39" s="227">
        <f>IF(ISBLANK(F39),"-",$D$48/$F$45*F39)</f>
        <v>57334934.13768065</v>
      </c>
      <c r="I39" s="485">
        <f>ABS((F43/D43*D42)-F42)/D42</f>
        <v>4.7731526070085122E-3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46</v>
      </c>
      <c r="B40" s="213">
        <v>1</v>
      </c>
      <c r="C40" s="224">
        <v>3</v>
      </c>
      <c r="D40" s="225">
        <v>57460594</v>
      </c>
      <c r="E40" s="226">
        <f>IF(ISBLANK(D40),"-",$D$48/$D$45*D40)</f>
        <v>57098743.276210554</v>
      </c>
      <c r="F40" s="225">
        <v>56103892</v>
      </c>
      <c r="G40" s="227">
        <f>IF(ISBLANK(F40),"-",$D$48/$F$45*F40)</f>
        <v>57400650.765681811</v>
      </c>
      <c r="I40" s="485"/>
      <c r="L40" s="205"/>
      <c r="M40" s="205"/>
      <c r="N40" s="228"/>
    </row>
    <row r="41" spans="1:14" ht="27" customHeight="1" x14ac:dyDescent="0.4">
      <c r="A41" s="212" t="s">
        <v>47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48</v>
      </c>
      <c r="B42" s="213">
        <v>1</v>
      </c>
      <c r="C42" s="234" t="s">
        <v>49</v>
      </c>
      <c r="D42" s="235">
        <f>AVERAGE(D38:D41)</f>
        <v>57414203.333333336</v>
      </c>
      <c r="E42" s="236">
        <f>AVERAGE(E38:E41)</f>
        <v>57052644.748819552</v>
      </c>
      <c r="F42" s="235">
        <f>AVERAGE(F38:F41)</f>
        <v>56037794.666666664</v>
      </c>
      <c r="G42" s="237">
        <f>AVERAGE(G38:G41)</f>
        <v>57333025.689916842</v>
      </c>
      <c r="H42" s="238"/>
    </row>
    <row r="43" spans="1:14" ht="26.25" customHeight="1" x14ac:dyDescent="0.4">
      <c r="A43" s="212" t="s">
        <v>50</v>
      </c>
      <c r="B43" s="213">
        <v>1</v>
      </c>
      <c r="C43" s="239" t="s">
        <v>51</v>
      </c>
      <c r="D43" s="240">
        <v>21.22</v>
      </c>
      <c r="E43" s="228"/>
      <c r="F43" s="240">
        <v>20.61</v>
      </c>
      <c r="H43" s="238"/>
    </row>
    <row r="44" spans="1:14" ht="26.25" customHeight="1" x14ac:dyDescent="0.4">
      <c r="A44" s="212" t="s">
        <v>52</v>
      </c>
      <c r="B44" s="213">
        <v>1</v>
      </c>
      <c r="C44" s="241" t="s">
        <v>53</v>
      </c>
      <c r="D44" s="242">
        <f>D43*$B$34</f>
        <v>21.22</v>
      </c>
      <c r="E44" s="243"/>
      <c r="F44" s="242">
        <f>F43*$B$34</f>
        <v>20.61</v>
      </c>
      <c r="H44" s="238"/>
    </row>
    <row r="45" spans="1:14" ht="19.5" customHeight="1" x14ac:dyDescent="0.3">
      <c r="A45" s="212" t="s">
        <v>54</v>
      </c>
      <c r="B45" s="244">
        <f>(B44/B43)*(B42/B41)*(B40/B39)*(B38/B37)*B36</f>
        <v>208.33333333333334</v>
      </c>
      <c r="C45" s="241" t="s">
        <v>55</v>
      </c>
      <c r="D45" s="245">
        <f>D44*$B$30/100</f>
        <v>20.965359999999997</v>
      </c>
      <c r="E45" s="246"/>
      <c r="F45" s="245">
        <f>F44*$B$30/100</f>
        <v>20.362679999999997</v>
      </c>
      <c r="H45" s="238"/>
    </row>
    <row r="46" spans="1:14" ht="19.5" customHeight="1" x14ac:dyDescent="0.3">
      <c r="A46" s="486" t="s">
        <v>56</v>
      </c>
      <c r="B46" s="487"/>
      <c r="C46" s="241" t="s">
        <v>57</v>
      </c>
      <c r="D46" s="247">
        <f>D45/$B$45</f>
        <v>0.10063372799999998</v>
      </c>
      <c r="E46" s="248"/>
      <c r="F46" s="249">
        <f>F45/$B$45</f>
        <v>9.7740863999999983E-2</v>
      </c>
      <c r="H46" s="238"/>
    </row>
    <row r="47" spans="1:14" ht="27" customHeight="1" x14ac:dyDescent="0.4">
      <c r="A47" s="488"/>
      <c r="B47" s="489"/>
      <c r="C47" s="250" t="s">
        <v>58</v>
      </c>
      <c r="D47" s="251">
        <v>0.1</v>
      </c>
      <c r="E47" s="252"/>
      <c r="F47" s="248"/>
      <c r="H47" s="238"/>
    </row>
    <row r="48" spans="1:14" ht="18.75" x14ac:dyDescent="0.3">
      <c r="C48" s="253" t="s">
        <v>59</v>
      </c>
      <c r="D48" s="245">
        <f>D47*$B$45</f>
        <v>20.833333333333336</v>
      </c>
      <c r="F48" s="254"/>
      <c r="H48" s="238"/>
    </row>
    <row r="49" spans="1:12" ht="19.5" customHeight="1" x14ac:dyDescent="0.3">
      <c r="C49" s="255" t="s">
        <v>60</v>
      </c>
      <c r="D49" s="256">
        <f>D48/B34</f>
        <v>20.833333333333336</v>
      </c>
      <c r="F49" s="254"/>
      <c r="H49" s="238"/>
    </row>
    <row r="50" spans="1:12" ht="18.75" x14ac:dyDescent="0.3">
      <c r="C50" s="210" t="s">
        <v>61</v>
      </c>
      <c r="D50" s="257">
        <f>AVERAGE(E38:E41,G38:G41)</f>
        <v>57192835.21936819</v>
      </c>
      <c r="F50" s="258"/>
      <c r="H50" s="238"/>
    </row>
    <row r="51" spans="1:12" ht="18.75" x14ac:dyDescent="0.3">
      <c r="C51" s="212" t="s">
        <v>62</v>
      </c>
      <c r="D51" s="259">
        <f>STDEV(E38:E41,G38:G41)/D50</f>
        <v>2.8652000397608986E-3</v>
      </c>
      <c r="F51" s="258"/>
      <c r="H51" s="238"/>
    </row>
    <row r="52" spans="1:12" ht="19.5" customHeight="1" x14ac:dyDescent="0.3">
      <c r="C52" s="260" t="s">
        <v>3</v>
      </c>
      <c r="D52" s="261">
        <f>COUNT(E38:E41,G38:G41)</f>
        <v>6</v>
      </c>
      <c r="F52" s="258"/>
    </row>
    <row r="54" spans="1:12" ht="18.75" x14ac:dyDescent="0.3">
      <c r="A54" s="262" t="s">
        <v>0</v>
      </c>
      <c r="B54" s="263" t="s">
        <v>63</v>
      </c>
    </row>
    <row r="55" spans="1:12" ht="18.75" x14ac:dyDescent="0.3">
      <c r="A55" s="187" t="s">
        <v>64</v>
      </c>
      <c r="B55" s="264" t="str">
        <f>B21</f>
        <v xml:space="preserve"> Lamivudine 300mg and Tenofovir Disoproxil Fumarate 300 mg</v>
      </c>
    </row>
    <row r="56" spans="1:12" ht="26.25" customHeight="1" x14ac:dyDescent="0.4">
      <c r="A56" s="265" t="s">
        <v>65</v>
      </c>
      <c r="B56" s="266">
        <v>300</v>
      </c>
      <c r="C56" s="187" t="str">
        <f>B20</f>
        <v>Tenofovir Disoproxil Fumarate</v>
      </c>
      <c r="H56" s="267"/>
    </row>
    <row r="57" spans="1:12" ht="18.75" x14ac:dyDescent="0.3">
      <c r="A57" s="264" t="s">
        <v>66</v>
      </c>
      <c r="B57" s="356">
        <v>1111.5609999999999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67</v>
      </c>
      <c r="B59" s="211">
        <v>100</v>
      </c>
      <c r="C59" s="187"/>
      <c r="D59" s="268" t="s">
        <v>68</v>
      </c>
      <c r="E59" s="269" t="s">
        <v>40</v>
      </c>
      <c r="F59" s="269" t="s">
        <v>41</v>
      </c>
      <c r="G59" s="269" t="s">
        <v>69</v>
      </c>
      <c r="H59" s="214" t="s">
        <v>70</v>
      </c>
      <c r="L59" s="200"/>
    </row>
    <row r="60" spans="1:12" s="2" customFormat="1" ht="26.25" customHeight="1" x14ac:dyDescent="0.4">
      <c r="A60" s="212" t="s">
        <v>71</v>
      </c>
      <c r="B60" s="213">
        <v>5</v>
      </c>
      <c r="C60" s="490" t="s">
        <v>72</v>
      </c>
      <c r="D60" s="493">
        <v>183.43</v>
      </c>
      <c r="E60" s="270">
        <v>1</v>
      </c>
      <c r="F60" s="271">
        <v>54525632</v>
      </c>
      <c r="G60" s="357">
        <f>IF(ISBLANK(F60),"-",(F60/$D$50*$D$47*$B$68)*($B$57/$D$60))</f>
        <v>288.86306886931789</v>
      </c>
      <c r="H60" s="272">
        <f t="shared" ref="H60:H71" si="0">IF(ISBLANK(F60),"-",G60/$B$56)</f>
        <v>0.96287689623105965</v>
      </c>
      <c r="L60" s="200"/>
    </row>
    <row r="61" spans="1:12" s="2" customFormat="1" ht="26.25" customHeight="1" x14ac:dyDescent="0.4">
      <c r="A61" s="212" t="s">
        <v>73</v>
      </c>
      <c r="B61" s="213">
        <v>25</v>
      </c>
      <c r="C61" s="491"/>
      <c r="D61" s="494"/>
      <c r="E61" s="273">
        <v>2</v>
      </c>
      <c r="F61" s="225">
        <v>54648137</v>
      </c>
      <c r="G61" s="358">
        <f>IF(ISBLANK(F61),"-",(F61/$D$50*$D$47*$B$68)*($B$57/$D$60))</f>
        <v>289.51206951275537</v>
      </c>
      <c r="H61" s="274">
        <f t="shared" si="0"/>
        <v>0.96504023170918463</v>
      </c>
      <c r="L61" s="200"/>
    </row>
    <row r="62" spans="1:12" s="2" customFormat="1" ht="26.25" customHeight="1" x14ac:dyDescent="0.4">
      <c r="A62" s="212" t="s">
        <v>74</v>
      </c>
      <c r="B62" s="213">
        <v>1</v>
      </c>
      <c r="C62" s="491"/>
      <c r="D62" s="494"/>
      <c r="E62" s="273">
        <v>3</v>
      </c>
      <c r="F62" s="275">
        <v>54501721</v>
      </c>
      <c r="G62" s="358">
        <f>IF(ISBLANK(F62),"-",(F62/$D$50*$D$47*$B$68)*($B$57/$D$60))</f>
        <v>288.73639441206933</v>
      </c>
      <c r="H62" s="274">
        <f t="shared" si="0"/>
        <v>0.96245464804023106</v>
      </c>
      <c r="L62" s="200"/>
    </row>
    <row r="63" spans="1:12" ht="27" customHeight="1" x14ac:dyDescent="0.4">
      <c r="A63" s="212" t="s">
        <v>75</v>
      </c>
      <c r="B63" s="213">
        <v>1</v>
      </c>
      <c r="C63" s="492"/>
      <c r="D63" s="495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76</v>
      </c>
      <c r="B64" s="213">
        <v>1</v>
      </c>
      <c r="C64" s="490" t="s">
        <v>77</v>
      </c>
      <c r="D64" s="493">
        <v>185.29</v>
      </c>
      <c r="E64" s="270">
        <v>1</v>
      </c>
      <c r="F64" s="271">
        <v>55384821</v>
      </c>
      <c r="G64" s="359">
        <f>IF(ISBLANK(F64),"-",(F64/$D$50*$D$47*$B$68)*($B$57/$D$64))</f>
        <v>290.46944432923948</v>
      </c>
      <c r="H64" s="278">
        <f t="shared" si="0"/>
        <v>0.96823148109746493</v>
      </c>
    </row>
    <row r="65" spans="1:8" ht="26.25" customHeight="1" x14ac:dyDescent="0.4">
      <c r="A65" s="212" t="s">
        <v>78</v>
      </c>
      <c r="B65" s="213">
        <v>1</v>
      </c>
      <c r="C65" s="491"/>
      <c r="D65" s="494"/>
      <c r="E65" s="273">
        <v>2</v>
      </c>
      <c r="F65" s="225">
        <v>55412566</v>
      </c>
      <c r="G65" s="360">
        <f>IF(ISBLANK(F65),"-",(F65/$D$50*$D$47*$B$68)*($B$57/$D$64))</f>
        <v>290.61495486059817</v>
      </c>
      <c r="H65" s="279">
        <f t="shared" si="0"/>
        <v>0.96871651620199395</v>
      </c>
    </row>
    <row r="66" spans="1:8" ht="26.25" customHeight="1" x14ac:dyDescent="0.4">
      <c r="A66" s="212" t="s">
        <v>79</v>
      </c>
      <c r="B66" s="213">
        <v>1</v>
      </c>
      <c r="C66" s="491"/>
      <c r="D66" s="494"/>
      <c r="E66" s="273">
        <v>3</v>
      </c>
      <c r="F66" s="225">
        <v>55363686</v>
      </c>
      <c r="G66" s="360">
        <f>IF(ISBLANK(F66),"-",(F66/$D$50*$D$47*$B$68)*($B$57/$D$64))</f>
        <v>290.35860039050226</v>
      </c>
      <c r="H66" s="279">
        <f t="shared" si="0"/>
        <v>0.96786200130167421</v>
      </c>
    </row>
    <row r="67" spans="1:8" ht="27" customHeight="1" x14ac:dyDescent="0.4">
      <c r="A67" s="212" t="s">
        <v>80</v>
      </c>
      <c r="B67" s="213">
        <v>1</v>
      </c>
      <c r="C67" s="492"/>
      <c r="D67" s="495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81</v>
      </c>
      <c r="B68" s="281">
        <f>(B67/B66)*(B65/B64)*(B63/B62)*(B61/B60)*B59</f>
        <v>500</v>
      </c>
      <c r="C68" s="490" t="s">
        <v>82</v>
      </c>
      <c r="D68" s="493">
        <v>185.69</v>
      </c>
      <c r="E68" s="270">
        <v>1</v>
      </c>
      <c r="F68" s="271">
        <v>56091071</v>
      </c>
      <c r="G68" s="359">
        <f>IF(ISBLANK(F68),"-",(F68/$D$50*$D$47*$B$68)*($B$57/$D$68))</f>
        <v>293.53973312403906</v>
      </c>
      <c r="H68" s="274">
        <f t="shared" si="0"/>
        <v>0.97846577708013016</v>
      </c>
    </row>
    <row r="69" spans="1:8" ht="27" customHeight="1" x14ac:dyDescent="0.4">
      <c r="A69" s="260" t="s">
        <v>83</v>
      </c>
      <c r="B69" s="282">
        <f>(D47*B68)/B56*B57</f>
        <v>185.26016666666663</v>
      </c>
      <c r="C69" s="491"/>
      <c r="D69" s="494"/>
      <c r="E69" s="273">
        <v>2</v>
      </c>
      <c r="F69" s="225">
        <v>56018921</v>
      </c>
      <c r="G69" s="360">
        <f>IF(ISBLANK(F69),"-",(F69/$D$50*$D$47*$B$68)*($B$57/$D$68))</f>
        <v>293.16215267554128</v>
      </c>
      <c r="H69" s="274">
        <f t="shared" si="0"/>
        <v>0.97720717558513759</v>
      </c>
    </row>
    <row r="70" spans="1:8" ht="26.25" customHeight="1" x14ac:dyDescent="0.4">
      <c r="A70" s="503" t="s">
        <v>56</v>
      </c>
      <c r="B70" s="504"/>
      <c r="C70" s="491"/>
      <c r="D70" s="494"/>
      <c r="E70" s="273">
        <v>3</v>
      </c>
      <c r="F70" s="225">
        <v>56055205</v>
      </c>
      <c r="G70" s="360">
        <f>IF(ISBLANK(F70),"-",(F70/$D$50*$D$47*$B$68)*($B$57/$D$68))</f>
        <v>293.35203665327231</v>
      </c>
      <c r="H70" s="274">
        <f t="shared" si="0"/>
        <v>0.97784012217757432</v>
      </c>
    </row>
    <row r="71" spans="1:8" ht="27" customHeight="1" x14ac:dyDescent="0.4">
      <c r="A71" s="505"/>
      <c r="B71" s="506"/>
      <c r="C71" s="502"/>
      <c r="D71" s="495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49</v>
      </c>
      <c r="G72" s="366">
        <f>AVERAGE(G60:G71)</f>
        <v>290.95649498081497</v>
      </c>
      <c r="H72" s="287">
        <f>AVERAGE(H60:H71)</f>
        <v>0.96985498326938335</v>
      </c>
    </row>
    <row r="73" spans="1:8" ht="26.25" customHeight="1" x14ac:dyDescent="0.4">
      <c r="C73" s="284"/>
      <c r="D73" s="284"/>
      <c r="E73" s="284"/>
      <c r="F73" s="288" t="s">
        <v>62</v>
      </c>
      <c r="G73" s="362">
        <f>STDEV(G60:G71)/G72</f>
        <v>6.5871058239428968E-3</v>
      </c>
      <c r="H73" s="362">
        <f>STDEV(H60:H71)/H72</f>
        <v>6.5871058239428768E-3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3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84</v>
      </c>
      <c r="B76" s="292" t="s">
        <v>85</v>
      </c>
      <c r="C76" s="498" t="str">
        <f>B20</f>
        <v>Tenofovir Disoproxil Fumarate</v>
      </c>
      <c r="D76" s="498"/>
      <c r="E76" s="293" t="s">
        <v>86</v>
      </c>
      <c r="F76" s="293"/>
      <c r="G76" s="294">
        <f>H72</f>
        <v>0.96985498326938335</v>
      </c>
      <c r="H76" s="295"/>
    </row>
    <row r="77" spans="1:8" ht="18.75" x14ac:dyDescent="0.3">
      <c r="A77" s="195" t="s">
        <v>87</v>
      </c>
      <c r="B77" s="195" t="s">
        <v>88</v>
      </c>
    </row>
    <row r="78" spans="1:8" ht="18.75" x14ac:dyDescent="0.3">
      <c r="A78" s="195"/>
      <c r="B78" s="195"/>
    </row>
    <row r="79" spans="1:8" ht="26.25" customHeight="1" x14ac:dyDescent="0.4">
      <c r="A79" s="196" t="s">
        <v>1</v>
      </c>
      <c r="B79" s="484" t="str">
        <f>B26</f>
        <v>Tenofovir Disoproxil Fumarate</v>
      </c>
      <c r="C79" s="484"/>
    </row>
    <row r="80" spans="1:8" ht="26.25" customHeight="1" x14ac:dyDescent="0.4">
      <c r="A80" s="197" t="s">
        <v>26</v>
      </c>
      <c r="B80" s="484" t="str">
        <f>B27</f>
        <v>T11-8</v>
      </c>
      <c r="C80" s="484"/>
    </row>
    <row r="81" spans="1:12" ht="27" customHeight="1" x14ac:dyDescent="0.4">
      <c r="A81" s="197" t="s">
        <v>2</v>
      </c>
      <c r="B81" s="296">
        <f>B28</f>
        <v>98.8</v>
      </c>
    </row>
    <row r="82" spans="1:12" s="2" customFormat="1" ht="27" customHeight="1" x14ac:dyDescent="0.4">
      <c r="A82" s="197" t="s">
        <v>27</v>
      </c>
      <c r="B82" s="199">
        <v>0</v>
      </c>
      <c r="C82" s="475" t="s">
        <v>28</v>
      </c>
      <c r="D82" s="476"/>
      <c r="E82" s="476"/>
      <c r="F82" s="476"/>
      <c r="G82" s="477"/>
      <c r="I82" s="200"/>
      <c r="J82" s="200"/>
      <c r="K82" s="200"/>
      <c r="L82" s="200"/>
    </row>
    <row r="83" spans="1:12" s="2" customFormat="1" ht="19.5" customHeight="1" x14ac:dyDescent="0.3">
      <c r="A83" s="197" t="s">
        <v>29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30</v>
      </c>
      <c r="B84" s="204">
        <v>1</v>
      </c>
      <c r="C84" s="478" t="s">
        <v>89</v>
      </c>
      <c r="D84" s="479"/>
      <c r="E84" s="479"/>
      <c r="F84" s="479"/>
      <c r="G84" s="479"/>
      <c r="H84" s="480"/>
      <c r="I84" s="200"/>
      <c r="J84" s="200"/>
      <c r="K84" s="200"/>
      <c r="L84" s="200"/>
    </row>
    <row r="85" spans="1:12" s="2" customFormat="1" ht="27" customHeight="1" x14ac:dyDescent="0.4">
      <c r="A85" s="197" t="s">
        <v>32</v>
      </c>
      <c r="B85" s="204">
        <v>1</v>
      </c>
      <c r="C85" s="478" t="s">
        <v>90</v>
      </c>
      <c r="D85" s="479"/>
      <c r="E85" s="479"/>
      <c r="F85" s="479"/>
      <c r="G85" s="479"/>
      <c r="H85" s="480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34</v>
      </c>
      <c r="B87" s="209">
        <f>B84/B85</f>
        <v>1</v>
      </c>
      <c r="C87" s="187" t="s">
        <v>35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36</v>
      </c>
      <c r="B89" s="211">
        <v>25</v>
      </c>
      <c r="D89" s="297" t="s">
        <v>37</v>
      </c>
      <c r="E89" s="298"/>
      <c r="F89" s="481" t="s">
        <v>38</v>
      </c>
      <c r="G89" s="483"/>
    </row>
    <row r="90" spans="1:12" ht="27" customHeight="1" x14ac:dyDescent="0.4">
      <c r="A90" s="212" t="s">
        <v>39</v>
      </c>
      <c r="B90" s="213">
        <v>10</v>
      </c>
      <c r="C90" s="299" t="s">
        <v>40</v>
      </c>
      <c r="D90" s="215" t="s">
        <v>41</v>
      </c>
      <c r="E90" s="216" t="s">
        <v>42</v>
      </c>
      <c r="F90" s="215" t="s">
        <v>41</v>
      </c>
      <c r="G90" s="300" t="s">
        <v>42</v>
      </c>
      <c r="I90" s="218" t="s">
        <v>43</v>
      </c>
    </row>
    <row r="91" spans="1:12" ht="26.25" customHeight="1" x14ac:dyDescent="0.4">
      <c r="A91" s="212" t="s">
        <v>44</v>
      </c>
      <c r="B91" s="213">
        <v>25</v>
      </c>
      <c r="C91" s="301">
        <v>1</v>
      </c>
      <c r="D91" s="220">
        <v>187567235</v>
      </c>
      <c r="E91" s="221">
        <f>IF(ISBLANK(D91),"-",$D$101/$D$98*D91)</f>
        <v>186386054.38526535</v>
      </c>
      <c r="F91" s="220">
        <v>182816947</v>
      </c>
      <c r="G91" s="222">
        <f>IF(ISBLANK(F91),"-",$D$101/$F$98*F91)</f>
        <v>187042491.25524408</v>
      </c>
      <c r="I91" s="223"/>
    </row>
    <row r="92" spans="1:12" ht="26.25" customHeight="1" x14ac:dyDescent="0.4">
      <c r="A92" s="212" t="s">
        <v>45</v>
      </c>
      <c r="B92" s="213">
        <v>1</v>
      </c>
      <c r="C92" s="285">
        <v>2</v>
      </c>
      <c r="D92" s="225">
        <v>187437200</v>
      </c>
      <c r="E92" s="226">
        <f>IF(ISBLANK(D92),"-",$D$101/$D$98*D92)</f>
        <v>186256838.26400629</v>
      </c>
      <c r="F92" s="225">
        <v>182975573</v>
      </c>
      <c r="G92" s="227">
        <f>IF(ISBLANK(F92),"-",$D$101/$F$98*F92)</f>
        <v>187204783.66141719</v>
      </c>
      <c r="I92" s="485">
        <f>ABS((F96/D96*D95)-F95)/D95</f>
        <v>3.9757973761112165E-3</v>
      </c>
    </row>
    <row r="93" spans="1:12" ht="26.25" customHeight="1" x14ac:dyDescent="0.4">
      <c r="A93" s="212" t="s">
        <v>46</v>
      </c>
      <c r="B93" s="213">
        <v>1</v>
      </c>
      <c r="C93" s="285">
        <v>3</v>
      </c>
      <c r="D93" s="225">
        <v>187465696</v>
      </c>
      <c r="E93" s="226">
        <f>IF(ISBLANK(D93),"-",$D$101/$D$98*D93)</f>
        <v>186285154.81409973</v>
      </c>
      <c r="F93" s="225">
        <v>182744850</v>
      </c>
      <c r="G93" s="227">
        <f>IF(ISBLANK(F93),"-",$D$101/$F$98*F93)</f>
        <v>186968727.83936104</v>
      </c>
      <c r="I93" s="485"/>
    </row>
    <row r="94" spans="1:12" ht="27" customHeight="1" x14ac:dyDescent="0.4">
      <c r="A94" s="212" t="s">
        <v>47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48</v>
      </c>
      <c r="B95" s="213">
        <v>1</v>
      </c>
      <c r="C95" s="304" t="s">
        <v>49</v>
      </c>
      <c r="D95" s="305">
        <f>AVERAGE(D91:D94)</f>
        <v>187490043.66666666</v>
      </c>
      <c r="E95" s="236">
        <f>AVERAGE(E91:E94)</f>
        <v>186309349.15445709</v>
      </c>
      <c r="F95" s="306">
        <f>AVERAGE(F91:F94)</f>
        <v>182845790</v>
      </c>
      <c r="G95" s="307">
        <f>AVERAGE(G91:G94)</f>
        <v>187072000.91867411</v>
      </c>
    </row>
    <row r="96" spans="1:12" ht="26.25" customHeight="1" x14ac:dyDescent="0.4">
      <c r="A96" s="212" t="s">
        <v>50</v>
      </c>
      <c r="B96" s="198">
        <v>1</v>
      </c>
      <c r="C96" s="308" t="s">
        <v>91</v>
      </c>
      <c r="D96" s="309">
        <v>21.22</v>
      </c>
      <c r="E96" s="228"/>
      <c r="F96" s="240">
        <v>20.61</v>
      </c>
    </row>
    <row r="97" spans="1:10" ht="26.25" customHeight="1" x14ac:dyDescent="0.4">
      <c r="A97" s="212" t="s">
        <v>52</v>
      </c>
      <c r="B97" s="198">
        <v>1</v>
      </c>
      <c r="C97" s="310" t="s">
        <v>92</v>
      </c>
      <c r="D97" s="311">
        <f>D96*$B$87</f>
        <v>21.22</v>
      </c>
      <c r="E97" s="243"/>
      <c r="F97" s="242">
        <f>F96*$B$87</f>
        <v>20.61</v>
      </c>
    </row>
    <row r="98" spans="1:10" ht="19.5" customHeight="1" x14ac:dyDescent="0.3">
      <c r="A98" s="212" t="s">
        <v>54</v>
      </c>
      <c r="B98" s="312">
        <f>(B97/B96)*(B95/B94)*(B93/B92)*(B91/B90)*B89</f>
        <v>62.5</v>
      </c>
      <c r="C98" s="310" t="s">
        <v>93</v>
      </c>
      <c r="D98" s="313">
        <f>D97*$B$83/100</f>
        <v>20.965359999999997</v>
      </c>
      <c r="E98" s="246"/>
      <c r="F98" s="245">
        <f>F97*$B$83/100</f>
        <v>20.362679999999997</v>
      </c>
    </row>
    <row r="99" spans="1:10" ht="19.5" customHeight="1" x14ac:dyDescent="0.3">
      <c r="A99" s="486" t="s">
        <v>56</v>
      </c>
      <c r="B99" s="500"/>
      <c r="C99" s="310" t="s">
        <v>94</v>
      </c>
      <c r="D99" s="314">
        <f>D98/$B$98</f>
        <v>0.33544575999999993</v>
      </c>
      <c r="E99" s="246"/>
      <c r="F99" s="249">
        <f>F98/$B$98</f>
        <v>0.32580287999999996</v>
      </c>
      <c r="G99" s="315"/>
      <c r="H99" s="238"/>
    </row>
    <row r="100" spans="1:10" ht="19.5" customHeight="1" x14ac:dyDescent="0.3">
      <c r="A100" s="488"/>
      <c r="B100" s="501"/>
      <c r="C100" s="310" t="s">
        <v>58</v>
      </c>
      <c r="D100" s="316">
        <f>$B$56/$B$116</f>
        <v>0.33333333333333331</v>
      </c>
      <c r="F100" s="254"/>
      <c r="G100" s="317"/>
      <c r="H100" s="238"/>
    </row>
    <row r="101" spans="1:10" ht="18.75" x14ac:dyDescent="0.3">
      <c r="C101" s="310" t="s">
        <v>59</v>
      </c>
      <c r="D101" s="311">
        <f>D100*$B$98</f>
        <v>20.833333333333332</v>
      </c>
      <c r="F101" s="254"/>
      <c r="G101" s="315"/>
      <c r="H101" s="238"/>
    </row>
    <row r="102" spans="1:10" ht="19.5" customHeight="1" x14ac:dyDescent="0.3">
      <c r="C102" s="318" t="s">
        <v>60</v>
      </c>
      <c r="D102" s="319">
        <f>D101/B34</f>
        <v>20.833333333333332</v>
      </c>
      <c r="F102" s="258"/>
      <c r="G102" s="315"/>
      <c r="H102" s="238"/>
      <c r="J102" s="320"/>
    </row>
    <row r="103" spans="1:10" ht="18.75" x14ac:dyDescent="0.3">
      <c r="C103" s="321" t="s">
        <v>95</v>
      </c>
      <c r="D103" s="322">
        <f>AVERAGE(E91:E94,G91:G94)</f>
        <v>186690675.03656557</v>
      </c>
      <c r="F103" s="258"/>
      <c r="G103" s="323"/>
      <c r="H103" s="238"/>
      <c r="J103" s="324"/>
    </row>
    <row r="104" spans="1:10" ht="18.75" x14ac:dyDescent="0.3">
      <c r="C104" s="288" t="s">
        <v>62</v>
      </c>
      <c r="D104" s="325">
        <f>STDEV(E91:E94,G91:G94)/D103</f>
        <v>2.2862088691848123E-3</v>
      </c>
      <c r="F104" s="258"/>
      <c r="G104" s="315"/>
      <c r="H104" s="238"/>
      <c r="J104" s="324"/>
    </row>
    <row r="105" spans="1:10" ht="19.5" customHeight="1" x14ac:dyDescent="0.3">
      <c r="C105" s="290" t="s">
        <v>3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96</v>
      </c>
      <c r="B107" s="211">
        <v>900</v>
      </c>
      <c r="C107" s="327" t="s">
        <v>97</v>
      </c>
      <c r="D107" s="328" t="s">
        <v>41</v>
      </c>
      <c r="E107" s="329" t="s">
        <v>98</v>
      </c>
      <c r="F107" s="330" t="s">
        <v>99</v>
      </c>
    </row>
    <row r="108" spans="1:10" ht="26.25" customHeight="1" x14ac:dyDescent="0.4">
      <c r="A108" s="212" t="s">
        <v>100</v>
      </c>
      <c r="B108" s="213">
        <v>1</v>
      </c>
      <c r="C108" s="331">
        <v>1</v>
      </c>
      <c r="D108" s="332">
        <v>176384659</v>
      </c>
      <c r="E108" s="363">
        <f t="shared" ref="E108:E113" si="1">IF(ISBLANK(D108),"-",D108/$D$103*$D$100*$B$116)</f>
        <v>283.43888996938864</v>
      </c>
      <c r="F108" s="333">
        <f t="shared" ref="F108:F113" si="2">IF(ISBLANK(D108), "-", E108/$B$56)</f>
        <v>0.9447962998979621</v>
      </c>
    </row>
    <row r="109" spans="1:10" ht="26.25" customHeight="1" x14ac:dyDescent="0.4">
      <c r="A109" s="212" t="s">
        <v>73</v>
      </c>
      <c r="B109" s="213">
        <v>1</v>
      </c>
      <c r="C109" s="331">
        <v>2</v>
      </c>
      <c r="D109" s="332">
        <v>184649427</v>
      </c>
      <c r="E109" s="364">
        <f t="shared" si="1"/>
        <v>296.71984467971026</v>
      </c>
      <c r="F109" s="334">
        <f t="shared" si="2"/>
        <v>0.98906614893236755</v>
      </c>
    </row>
    <row r="110" spans="1:10" ht="26.25" customHeight="1" x14ac:dyDescent="0.4">
      <c r="A110" s="212" t="s">
        <v>74</v>
      </c>
      <c r="B110" s="213">
        <v>1</v>
      </c>
      <c r="C110" s="331">
        <v>3</v>
      </c>
      <c r="D110" s="332">
        <v>174598411</v>
      </c>
      <c r="E110" s="364">
        <f t="shared" si="1"/>
        <v>280.56850343350493</v>
      </c>
      <c r="F110" s="334">
        <f t="shared" si="2"/>
        <v>0.93522834477834982</v>
      </c>
    </row>
    <row r="111" spans="1:10" ht="26.25" customHeight="1" x14ac:dyDescent="0.4">
      <c r="A111" s="212" t="s">
        <v>75</v>
      </c>
      <c r="B111" s="213">
        <v>1</v>
      </c>
      <c r="C111" s="331">
        <v>4</v>
      </c>
      <c r="D111" s="332">
        <v>174053876</v>
      </c>
      <c r="E111" s="364">
        <f t="shared" si="1"/>
        <v>279.69347044126783</v>
      </c>
      <c r="F111" s="334">
        <f t="shared" si="2"/>
        <v>0.93231156813755944</v>
      </c>
    </row>
    <row r="112" spans="1:10" ht="26.25" customHeight="1" x14ac:dyDescent="0.4">
      <c r="A112" s="212" t="s">
        <v>76</v>
      </c>
      <c r="B112" s="213">
        <v>1</v>
      </c>
      <c r="C112" s="331">
        <v>5</v>
      </c>
      <c r="D112" s="332">
        <v>179185927</v>
      </c>
      <c r="E112" s="364">
        <f t="shared" si="1"/>
        <v>287.94034886569079</v>
      </c>
      <c r="F112" s="334">
        <f t="shared" si="2"/>
        <v>0.95980116288563599</v>
      </c>
    </row>
    <row r="113" spans="1:10" ht="26.25" customHeight="1" x14ac:dyDescent="0.4">
      <c r="A113" s="212" t="s">
        <v>78</v>
      </c>
      <c r="B113" s="213">
        <v>1</v>
      </c>
      <c r="C113" s="335">
        <v>6</v>
      </c>
      <c r="D113" s="336">
        <v>177365983</v>
      </c>
      <c r="E113" s="365">
        <f t="shared" si="1"/>
        <v>285.01581500831912</v>
      </c>
      <c r="F113" s="337">
        <f t="shared" si="2"/>
        <v>0.95005271669439706</v>
      </c>
    </row>
    <row r="114" spans="1:10" ht="26.25" customHeight="1" x14ac:dyDescent="0.4">
      <c r="A114" s="212" t="s">
        <v>79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80</v>
      </c>
      <c r="B115" s="213">
        <v>1</v>
      </c>
      <c r="C115" s="331"/>
      <c r="D115" s="339" t="s">
        <v>49</v>
      </c>
      <c r="E115" s="367">
        <f>AVERAGE(E108:E113)</f>
        <v>285.5628120663136</v>
      </c>
      <c r="F115" s="340">
        <f>AVERAGE(F108:F113)</f>
        <v>0.95187604022104522</v>
      </c>
    </row>
    <row r="116" spans="1:10" ht="27" customHeight="1" x14ac:dyDescent="0.4">
      <c r="A116" s="212" t="s">
        <v>81</v>
      </c>
      <c r="B116" s="244">
        <f>(B115/B114)*(B113/B112)*(B111/B110)*(B109/B108)*B107</f>
        <v>900</v>
      </c>
      <c r="C116" s="341"/>
      <c r="D116" s="304" t="s">
        <v>62</v>
      </c>
      <c r="E116" s="342">
        <f>STDEV(E108:E113)/E115</f>
        <v>2.183174307379087E-2</v>
      </c>
      <c r="F116" s="342">
        <f>STDEV(F108:F113)/F115</f>
        <v>2.183174307379087E-2</v>
      </c>
      <c r="I116" s="186"/>
    </row>
    <row r="117" spans="1:10" ht="27" customHeight="1" x14ac:dyDescent="0.4">
      <c r="A117" s="486" t="s">
        <v>56</v>
      </c>
      <c r="B117" s="487"/>
      <c r="C117" s="343"/>
      <c r="D117" s="344" t="s">
        <v>3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488"/>
      <c r="B118" s="489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84</v>
      </c>
      <c r="B120" s="292" t="s">
        <v>101</v>
      </c>
      <c r="C120" s="498" t="str">
        <f>B20</f>
        <v>Tenofovir Disoproxil Fumarate</v>
      </c>
      <c r="D120" s="498"/>
      <c r="E120" s="293" t="s">
        <v>102</v>
      </c>
      <c r="F120" s="293"/>
      <c r="G120" s="294">
        <f>F115</f>
        <v>0.95187604022104522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499" t="s">
        <v>4</v>
      </c>
      <c r="C122" s="499"/>
      <c r="E122" s="299" t="s">
        <v>5</v>
      </c>
      <c r="F122" s="348"/>
      <c r="G122" s="499" t="s">
        <v>6</v>
      </c>
      <c r="H122" s="499"/>
    </row>
    <row r="123" spans="1:10" ht="69.95" customHeight="1" x14ac:dyDescent="0.3">
      <c r="A123" s="349" t="s">
        <v>7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8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3TC</vt:lpstr>
      <vt:lpstr>SST TDF</vt:lpstr>
      <vt:lpstr>Uniformity</vt:lpstr>
      <vt:lpstr>3TC</vt:lpstr>
      <vt:lpstr>TDF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2016-06-07T13:26:59Z</cp:lastPrinted>
  <dcterms:created xsi:type="dcterms:W3CDTF">2005-07-05T10:19:27Z</dcterms:created>
  <dcterms:modified xsi:type="dcterms:W3CDTF">2016-07-15T12:30:43Z</dcterms:modified>
</cp:coreProperties>
</file>