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20775" windowHeight="8640" activeTab="1"/>
  </bookViews>
  <sheets>
    <sheet name="SST(Assay)" sheetId="6" r:id="rId1"/>
    <sheet name="SST(Diss.)" sheetId="7" r:id="rId2"/>
    <sheet name="Uniformity" sheetId="2" r:id="rId3"/>
    <sheet name="Lopinavir" sheetId="3" r:id="rId4"/>
    <sheet name="Ritonavir" sheetId="4" r:id="rId5"/>
  </sheets>
  <externalReferences>
    <externalReference r:id="rId6"/>
  </externalReferences>
  <definedNames>
    <definedName name="_xlnm.Print_Area" localSheetId="0">'SST(Assay)'!$A$1:$G$62</definedName>
    <definedName name="_xlnm.Print_Area" localSheetId="1">'SST(Diss.)'!$A$1:$G$62</definedName>
    <definedName name="_xlnm.Print_Area" localSheetId="2">Uniformity!$A$1:$F$54</definedName>
  </definedNames>
  <calcPr calcId="124519"/>
</workbook>
</file>

<file path=xl/calcChain.xml><?xml version="1.0" encoding="utf-8"?>
<calcChain xmlns="http://schemas.openxmlformats.org/spreadsheetml/2006/main">
  <c r="F51" i="7"/>
  <c r="B17"/>
  <c r="F51" i="6" l="1"/>
  <c r="B53" i="7" l="1"/>
  <c r="E51"/>
  <c r="D51"/>
  <c r="C51"/>
  <c r="B51"/>
  <c r="B52" s="1"/>
  <c r="B42"/>
  <c r="B41"/>
  <c r="B40"/>
  <c r="B39"/>
  <c r="B32"/>
  <c r="E30"/>
  <c r="D30"/>
  <c r="C30"/>
  <c r="B30"/>
  <c r="B31" s="1"/>
  <c r="B21"/>
  <c r="B20"/>
  <c r="B19"/>
  <c r="B18"/>
  <c r="B42" i="6" l="1"/>
  <c r="B41"/>
  <c r="B40"/>
  <c r="B39"/>
  <c r="B38"/>
  <c r="B53"/>
  <c r="E51"/>
  <c r="D51"/>
  <c r="C51"/>
  <c r="B51"/>
  <c r="B52" s="1"/>
  <c r="B32"/>
  <c r="E30"/>
  <c r="D30"/>
  <c r="C30"/>
  <c r="B30"/>
  <c r="B31" s="1"/>
  <c r="B21"/>
  <c r="C120" i="4" l="1"/>
  <c r="B116"/>
  <c r="D100"/>
  <c r="B98"/>
  <c r="F95"/>
  <c r="D95"/>
  <c r="B87"/>
  <c r="F97" s="1"/>
  <c r="B81"/>
  <c r="B83" s="1"/>
  <c r="C76"/>
  <c r="B69"/>
  <c r="B68"/>
  <c r="B57"/>
  <c r="C56"/>
  <c r="B55"/>
  <c r="B45"/>
  <c r="D48" s="1"/>
  <c r="F42"/>
  <c r="D42"/>
  <c r="B34"/>
  <c r="F44" s="1"/>
  <c r="F45" s="1"/>
  <c r="B30"/>
  <c r="C120" i="3"/>
  <c r="B116"/>
  <c r="D100" s="1"/>
  <c r="B98"/>
  <c r="F95"/>
  <c r="D95"/>
  <c r="B87"/>
  <c r="F97" s="1"/>
  <c r="B83"/>
  <c r="B81"/>
  <c r="B80"/>
  <c r="B79"/>
  <c r="C76"/>
  <c r="B68"/>
  <c r="B57"/>
  <c r="C56"/>
  <c r="B55"/>
  <c r="B45"/>
  <c r="D48" s="1"/>
  <c r="F42"/>
  <c r="D42"/>
  <c r="B34"/>
  <c r="D44" s="1"/>
  <c r="B30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D97" i="4" l="1"/>
  <c r="I92"/>
  <c r="I92" i="3"/>
  <c r="D101" i="4"/>
  <c r="D97" i="3"/>
  <c r="D98" s="1"/>
  <c r="I39" i="4"/>
  <c r="F98"/>
  <c r="F99" s="1"/>
  <c r="D98"/>
  <c r="D99" s="1"/>
  <c r="I39" i="3"/>
  <c r="D101"/>
  <c r="D102" s="1"/>
  <c r="F44"/>
  <c r="F45" s="1"/>
  <c r="D45"/>
  <c r="E39" s="1"/>
  <c r="D49"/>
  <c r="E38"/>
  <c r="F98"/>
  <c r="B69"/>
  <c r="E94" i="4"/>
  <c r="G40"/>
  <c r="F46"/>
  <c r="G39"/>
  <c r="G41"/>
  <c r="G38"/>
  <c r="D44"/>
  <c r="D45" s="1"/>
  <c r="D49"/>
  <c r="G92" l="1"/>
  <c r="G91"/>
  <c r="E92"/>
  <c r="D102"/>
  <c r="G93"/>
  <c r="G94"/>
  <c r="D99" i="3"/>
  <c r="E93"/>
  <c r="E91"/>
  <c r="E94"/>
  <c r="E92"/>
  <c r="E93" i="4"/>
  <c r="E91"/>
  <c r="E41" i="3"/>
  <c r="E40"/>
  <c r="G39"/>
  <c r="G38"/>
  <c r="D46"/>
  <c r="F46"/>
  <c r="G41"/>
  <c r="F99"/>
  <c r="G94"/>
  <c r="G91"/>
  <c r="G93"/>
  <c r="G92"/>
  <c r="G40"/>
  <c r="D46" i="4"/>
  <c r="E39"/>
  <c r="E41"/>
  <c r="E38"/>
  <c r="E40"/>
  <c r="G42"/>
  <c r="G95" l="1"/>
  <c r="D103"/>
  <c r="E113" s="1"/>
  <c r="F113" s="1"/>
  <c r="E95" i="3"/>
  <c r="D103"/>
  <c r="E109" s="1"/>
  <c r="F109" s="1"/>
  <c r="E95" i="4"/>
  <c r="D105"/>
  <c r="D105" i="3"/>
  <c r="E42"/>
  <c r="D52"/>
  <c r="G42"/>
  <c r="D50"/>
  <c r="G95"/>
  <c r="D50" i="4"/>
  <c r="E42"/>
  <c r="D52"/>
  <c r="D104" i="3" l="1"/>
  <c r="E110" i="4"/>
  <c r="F110" s="1"/>
  <c r="D104"/>
  <c r="E112"/>
  <c r="F112" s="1"/>
  <c r="E111"/>
  <c r="F111" s="1"/>
  <c r="E108"/>
  <c r="F108" s="1"/>
  <c r="E109"/>
  <c r="F109" s="1"/>
  <c r="E112" i="3"/>
  <c r="F112" s="1"/>
  <c r="E113"/>
  <c r="F113" s="1"/>
  <c r="E110"/>
  <c r="F110" s="1"/>
  <c r="E111"/>
  <c r="F111" s="1"/>
  <c r="E108"/>
  <c r="F108" s="1"/>
  <c r="G68"/>
  <c r="H68" s="1"/>
  <c r="G62"/>
  <c r="H62" s="1"/>
  <c r="G65"/>
  <c r="H65" s="1"/>
  <c r="G64"/>
  <c r="H64" s="1"/>
  <c r="G66"/>
  <c r="H66" s="1"/>
  <c r="G70"/>
  <c r="H70" s="1"/>
  <c r="G71"/>
  <c r="H71" s="1"/>
  <c r="G69"/>
  <c r="H69" s="1"/>
  <c r="G67"/>
  <c r="H67" s="1"/>
  <c r="G60"/>
  <c r="G61"/>
  <c r="H61" s="1"/>
  <c r="D51"/>
  <c r="G63"/>
  <c r="H63" s="1"/>
  <c r="G70" i="4"/>
  <c r="H70" s="1"/>
  <c r="G67"/>
  <c r="H67" s="1"/>
  <c r="G65"/>
  <c r="H65" s="1"/>
  <c r="G63"/>
  <c r="H63" s="1"/>
  <c r="G61"/>
  <c r="H61" s="1"/>
  <c r="D51"/>
  <c r="G71"/>
  <c r="H71" s="1"/>
  <c r="G69"/>
  <c r="H69" s="1"/>
  <c r="G66"/>
  <c r="H66" s="1"/>
  <c r="G64"/>
  <c r="H64" s="1"/>
  <c r="G62"/>
  <c r="H62" s="1"/>
  <c r="G60"/>
  <c r="G68"/>
  <c r="H68" s="1"/>
  <c r="F117" l="1"/>
  <c r="E117"/>
  <c r="F115"/>
  <c r="F116" s="1"/>
  <c r="E115"/>
  <c r="E116" s="1"/>
  <c r="E117" i="3"/>
  <c r="E115"/>
  <c r="E116" s="1"/>
  <c r="F117"/>
  <c r="F115"/>
  <c r="H60"/>
  <c r="G72"/>
  <c r="G73" s="1"/>
  <c r="G74"/>
  <c r="G74" i="4"/>
  <c r="G72"/>
  <c r="G73" s="1"/>
  <c r="H60"/>
  <c r="G120" l="1"/>
  <c r="G120" i="3"/>
  <c r="F116"/>
  <c r="H74"/>
  <c r="H72"/>
  <c r="G76" s="1"/>
  <c r="H72" i="4"/>
  <c r="H74"/>
  <c r="H73" i="3" l="1"/>
  <c r="G76" i="4"/>
  <c r="H73"/>
</calcChain>
</file>

<file path=xl/sharedStrings.xml><?xml version="1.0" encoding="utf-8"?>
<sst xmlns="http://schemas.openxmlformats.org/spreadsheetml/2006/main" count="438" uniqueCount="132">
  <si>
    <t>HPLC System Suitability Report</t>
  </si>
  <si>
    <t>Analysis Data</t>
  </si>
  <si>
    <t>Assay</t>
  </si>
  <si>
    <t>Sample(s)</t>
  </si>
  <si>
    <t>Reference Substance:</t>
  </si>
  <si>
    <t>ALUVIA TABLETS</t>
  </si>
  <si>
    <t>% age Purity:</t>
  </si>
  <si>
    <t>NDQD2016061023</t>
  </si>
  <si>
    <t>Weight (mg):</t>
  </si>
  <si>
    <t>Lopinavir 200mg &amp; Ritonavir 50mg</t>
  </si>
  <si>
    <t>Standard Conc (mg/mL):</t>
  </si>
  <si>
    <t>Each film-coated tablet contains Lopinavir 200 mg, Ritonavir 50 mg</t>
  </si>
  <si>
    <t>2016-06-09 13:26:06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</si>
  <si>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</si>
  <si>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</si>
  <si>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</si>
  <si>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</si>
  <si>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</si>
  <si>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</si>
  <si>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</si>
  <si>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</si>
  <si>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</si>
  <si>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</si>
  <si>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</si>
  <si>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</si>
  <si>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</si>
  <si>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</si>
  <si>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</si>
  <si>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</si>
  <si>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</si>
  <si>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</si>
  <si>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</si>
  <si>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</si>
  <si>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</si>
  <si>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</si>
  <si>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</si>
  <si>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</si>
  <si>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</si>
  <si>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</si>
  <si>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</si>
  <si>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</si>
  <si>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</si>
  <si>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</si>
  <si>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</si>
  <si>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</si>
  <si>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</si>
  <si>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</si>
  <si>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</si>
  <si>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</si>
  <si>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</si>
  <si>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</si>
  <si>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</si>
  <si>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</si>
  <si>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</si>
  <si>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</si>
  <si>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</si>
  <si>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</si>
  <si>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</si>
  <si>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</si>
  <si>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</si>
  <si>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</si>
  <si>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</si>
  <si>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</si>
  <si>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</si>
  <si>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</si>
  <si>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</si>
  <si>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</si>
  <si>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</si>
  <si>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</si>
  <si>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</si>
  <si>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</si>
  <si>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</si>
  <si>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</si>
  <si>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</si>
  <si>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</si>
  <si>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</si>
  <si>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</si>
  <si>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</si>
  <si>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</si>
  <si>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</si>
  <si>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</si>
  <si>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</si>
  <si>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</si>
  <si>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</si>
  <si>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</si>
  <si>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</si>
  <si>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</si>
  <si>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</si>
  <si>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</si>
  <si>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</si>
  <si>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</si>
  <si>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</si>
  <si>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</si>
  <si>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</si>
  <si>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</si>
  <si>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</si>
  <si>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</si>
  <si>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</si>
  <si>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</si>
  <si>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</si>
  <si>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</si>
  <si>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</si>
  <si>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</si>
  <si>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</si>
  <si>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</si>
  <si>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</si>
  <si>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</si>
  <si>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</si>
  <si>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</si>
  <si>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</si>
  <si>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</si>
  <si>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</si>
  <si>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</si>
  <si>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</si>
  <si>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</si>
  <si>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</si>
  <si>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</si>
  <si>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</si>
  <si>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</si>
  <si>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</si>
  <si>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</si>
  <si>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Lopinavir USP</t>
  </si>
  <si>
    <t>F0I127</t>
  </si>
  <si>
    <t>Ritonavir</t>
  </si>
  <si>
    <t>G0L143</t>
  </si>
  <si>
    <t>Ritonavir USP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</si>
  <si>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</si>
  <si>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</si>
  <si>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</si>
  <si>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t>2016-06-09 13:35:29</t>
  </si>
  <si>
    <t>Dissolution</t>
  </si>
  <si>
    <t>Peak resolution</t>
  </si>
</sst>
</file>

<file path=xl/styles.xml><?xml version="1.0" encoding="utf-8"?>
<styleSheet xmlns="http://schemas.openxmlformats.org/spreadsheetml/2006/main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30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2"/>
      <name val="Book Antiqua"/>
      <family val="1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3" fillId="2" borderId="0"/>
    <xf numFmtId="0" fontId="27" fillId="2" borderId="0"/>
    <xf numFmtId="0" fontId="29" fillId="2" borderId="0"/>
    <xf numFmtId="0" fontId="23" fillId="2" borderId="0"/>
    <xf numFmtId="9" fontId="23" fillId="2" borderId="0" applyFont="0" applyFill="0" applyBorder="0" applyAlignment="0" applyProtection="0"/>
  </cellStyleXfs>
  <cellXfs count="58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8" borderId="59" xfId="1" applyFont="1" applyFill="1" applyBorder="1" applyAlignment="1" applyProtection="1">
      <alignment horizontal="center"/>
      <protection locked="0"/>
    </xf>
    <xf numFmtId="2" fontId="24" fillId="8" borderId="59" xfId="1" applyNumberFormat="1" applyFont="1" applyFill="1" applyBorder="1" applyAlignment="1" applyProtection="1">
      <alignment horizontal="center"/>
      <protection locked="0"/>
    </xf>
    <xf numFmtId="2" fontId="24" fillId="8" borderId="60" xfId="1" applyNumberFormat="1" applyFont="1" applyFill="1" applyBorder="1" applyAlignment="1" applyProtection="1">
      <alignment horizontal="center"/>
      <protection locked="0"/>
    </xf>
    <xf numFmtId="0" fontId="24" fillId="8" borderId="61" xfId="1" applyFont="1" applyFill="1" applyBorder="1" applyAlignment="1" applyProtection="1">
      <alignment horizontal="center"/>
      <protection locked="0"/>
    </xf>
    <xf numFmtId="2" fontId="24" fillId="8" borderId="61" xfId="1" applyNumberFormat="1" applyFont="1" applyFill="1" applyBorder="1" applyAlignment="1" applyProtection="1">
      <alignment horizontal="center"/>
      <protection locked="0"/>
    </xf>
    <xf numFmtId="0" fontId="25" fillId="8" borderId="0" xfId="1" applyFont="1" applyFill="1" applyBorder="1" applyAlignment="1" applyProtection="1">
      <alignment horizontal="center"/>
      <protection locked="0"/>
    </xf>
    <xf numFmtId="0" fontId="24" fillId="8" borderId="0" xfId="1" applyFont="1" applyFill="1" applyAlignment="1" applyProtection="1">
      <alignment horizontal="center"/>
      <protection locked="0"/>
    </xf>
    <xf numFmtId="0" fontId="27" fillId="2" borderId="0" xfId="2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left"/>
    </xf>
    <xf numFmtId="164" fontId="5" fillId="2" borderId="0" xfId="2" applyNumberFormat="1" applyFont="1" applyFill="1" applyAlignment="1">
      <alignment horizontal="left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28" fillId="8" borderId="59" xfId="1" applyFont="1" applyFill="1" applyBorder="1" applyAlignment="1" applyProtection="1">
      <alignment horizontal="left"/>
      <protection locked="0"/>
    </xf>
    <xf numFmtId="173" fontId="28" fillId="8" borderId="59" xfId="1" applyNumberFormat="1" applyFont="1" applyFill="1" applyBorder="1" applyAlignment="1" applyProtection="1">
      <alignment horizontal="center"/>
      <protection locked="0"/>
    </xf>
    <xf numFmtId="2" fontId="28" fillId="8" borderId="59" xfId="1" applyNumberFormat="1" applyFont="1" applyFill="1" applyBorder="1" applyAlignment="1" applyProtection="1">
      <alignment horizontal="center"/>
      <protection locked="0"/>
    </xf>
    <xf numFmtId="2" fontId="28" fillId="8" borderId="60" xfId="1" applyNumberFormat="1" applyFont="1" applyFill="1" applyBorder="1" applyAlignment="1" applyProtection="1">
      <alignment horizontal="center"/>
      <protection locked="0"/>
    </xf>
    <xf numFmtId="0" fontId="28" fillId="8" borderId="61" xfId="1" applyFont="1" applyFill="1" applyBorder="1" applyAlignment="1" applyProtection="1">
      <alignment horizontal="left"/>
      <protection locked="0"/>
    </xf>
    <xf numFmtId="173" fontId="28" fillId="8" borderId="61" xfId="1" applyNumberFormat="1" applyFont="1" applyFill="1" applyBorder="1" applyAlignment="1" applyProtection="1">
      <alignment horizontal="center"/>
      <protection locked="0"/>
    </xf>
    <xf numFmtId="2" fontId="28" fillId="8" borderId="61" xfId="1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24" fillId="8" borderId="59" xfId="1" applyFont="1" applyFill="1" applyBorder="1" applyAlignment="1" applyProtection="1">
      <alignment horizontal="left"/>
      <protection locked="0"/>
    </xf>
    <xf numFmtId="0" fontId="24" fillId="8" borderId="61" xfId="1" applyFont="1" applyFill="1" applyBorder="1" applyAlignment="1" applyProtection="1">
      <alignment horizontal="left"/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5" fillId="2" borderId="0" xfId="3" applyFont="1" applyFill="1" applyAlignment="1">
      <alignment horizontal="left"/>
    </xf>
    <xf numFmtId="0" fontId="25" fillId="2" borderId="0" xfId="4" applyFont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left"/>
    </xf>
    <xf numFmtId="2" fontId="5" fillId="2" borderId="0" xfId="3" applyNumberFormat="1" applyFont="1" applyFill="1" applyAlignment="1">
      <alignment horizontal="center"/>
    </xf>
    <xf numFmtId="171" fontId="5" fillId="2" borderId="0" xfId="3" applyNumberFormat="1" applyFont="1" applyFill="1" applyAlignment="1">
      <alignment horizontal="center"/>
    </xf>
    <xf numFmtId="22" fontId="6" fillId="2" borderId="0" xfId="3" applyNumberFormat="1" applyFont="1" applyFill="1"/>
    <xf numFmtId="0" fontId="5" fillId="2" borderId="1" xfId="3" applyFont="1" applyFill="1" applyBorder="1" applyAlignment="1">
      <alignment horizontal="left"/>
    </xf>
    <xf numFmtId="0" fontId="5" fillId="2" borderId="2" xfId="3" applyFont="1" applyFill="1" applyBorder="1" applyAlignment="1">
      <alignment horizontal="left"/>
    </xf>
    <xf numFmtId="0" fontId="2" fillId="2" borderId="0" xfId="3" applyFont="1" applyFill="1" applyAlignment="1">
      <alignment horizontal="left"/>
    </xf>
    <xf numFmtId="0" fontId="6" fillId="2" borderId="3" xfId="3" applyFont="1" applyFill="1" applyBorder="1" applyAlignment="1">
      <alignment horizontal="center"/>
    </xf>
    <xf numFmtId="0" fontId="24" fillId="8" borderId="59" xfId="4" applyFont="1" applyFill="1" applyBorder="1" applyAlignment="1" applyProtection="1">
      <alignment horizontal="center"/>
      <protection locked="0"/>
    </xf>
    <xf numFmtId="2" fontId="24" fillId="8" borderId="59" xfId="4" applyNumberFormat="1" applyFont="1" applyFill="1" applyBorder="1" applyAlignment="1" applyProtection="1">
      <alignment horizontal="center"/>
      <protection locked="0"/>
    </xf>
    <xf numFmtId="2" fontId="24" fillId="8" borderId="60" xfId="4" applyNumberFormat="1" applyFont="1" applyFill="1" applyBorder="1" applyAlignment="1" applyProtection="1">
      <alignment horizontal="center"/>
      <protection locked="0"/>
    </xf>
    <xf numFmtId="0" fontId="24" fillId="8" borderId="61" xfId="4" applyFont="1" applyFill="1" applyBorder="1" applyAlignment="1" applyProtection="1">
      <alignment horizontal="center"/>
      <protection locked="0"/>
    </xf>
    <xf numFmtId="2" fontId="24" fillId="8" borderId="61" xfId="4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 applyAlignment="1">
      <alignment horizontal="center"/>
    </xf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 applyAlignment="1">
      <alignment horizontal="center"/>
    </xf>
    <xf numFmtId="0" fontId="6" fillId="2" borderId="8" xfId="3" applyFont="1" applyFill="1" applyBorder="1" applyAlignment="1">
      <alignment horizontal="center"/>
    </xf>
    <xf numFmtId="0" fontId="6" fillId="2" borderId="0" xfId="3" applyFont="1" applyFill="1" applyAlignment="1">
      <alignment horizontal="center"/>
    </xf>
    <xf numFmtId="0" fontId="6" fillId="2" borderId="0" xfId="3" applyFont="1" applyFill="1" applyAlignment="1" applyProtection="1">
      <alignment horizontal="center"/>
      <protection locked="0"/>
    </xf>
    <xf numFmtId="0" fontId="4" fillId="2" borderId="0" xfId="3" applyFont="1" applyFill="1" applyAlignment="1">
      <alignment horizontal="center"/>
    </xf>
    <xf numFmtId="0" fontId="2" fillId="2" borderId="0" xfId="3" applyFont="1" applyFill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10" fillId="3" borderId="3" xfId="3" applyFont="1" applyFill="1" applyBorder="1" applyAlignment="1" applyProtection="1">
      <alignment horizontal="center"/>
      <protection locked="0"/>
    </xf>
    <xf numFmtId="2" fontId="10" fillId="3" borderId="3" xfId="3" applyNumberFormat="1" applyFont="1" applyFill="1" applyBorder="1" applyAlignment="1" applyProtection="1">
      <alignment horizontal="center"/>
      <protection locked="0"/>
    </xf>
    <xf numFmtId="2" fontId="10" fillId="3" borderId="4" xfId="3" applyNumberFormat="1" applyFont="1" applyFill="1" applyBorder="1" applyAlignment="1" applyProtection="1">
      <alignment horizontal="center"/>
      <protection locked="0"/>
    </xf>
    <xf numFmtId="0" fontId="10" fillId="3" borderId="5" xfId="3" applyFont="1" applyFill="1" applyBorder="1" applyAlignment="1" applyProtection="1">
      <alignment horizontal="center"/>
      <protection locked="0"/>
    </xf>
    <xf numFmtId="2" fontId="10" fillId="3" borderId="5" xfId="3" applyNumberFormat="1" applyFont="1" applyFill="1" applyBorder="1" applyAlignment="1" applyProtection="1">
      <alignment horizontal="center"/>
      <protection locked="0"/>
    </xf>
    <xf numFmtId="1" fontId="11" fillId="4" borderId="2" xfId="3" applyNumberFormat="1" applyFont="1" applyFill="1" applyBorder="1" applyAlignment="1">
      <alignment horizontal="center"/>
    </xf>
    <xf numFmtId="1" fontId="11" fillId="4" borderId="1" xfId="3" applyNumberFormat="1" applyFont="1" applyFill="1" applyBorder="1" applyAlignment="1">
      <alignment horizontal="center"/>
    </xf>
    <xf numFmtId="2" fontId="11" fillId="4" borderId="1" xfId="3" applyNumberFormat="1" applyFont="1" applyFill="1" applyBorder="1" applyAlignment="1">
      <alignment horizontal="center"/>
    </xf>
    <xf numFmtId="0" fontId="6" fillId="2" borderId="6" xfId="3" applyFont="1" applyFill="1" applyBorder="1"/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10" fontId="2" fillId="2" borderId="9" xfId="3" applyNumberFormat="1" applyFont="1" applyFill="1" applyBorder="1"/>
    <xf numFmtId="0" fontId="0" fillId="2" borderId="0" xfId="3" applyFont="1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26" fillId="3" borderId="0" xfId="0" applyFont="1" applyFill="1" applyAlignment="1" applyProtection="1">
      <alignment horizontal="left"/>
      <protection locked="0"/>
    </xf>
  </cellXfs>
  <cellStyles count="6">
    <cellStyle name="Normal" xfId="0" builtinId="0"/>
    <cellStyle name="Normal 2" xfId="1"/>
    <cellStyle name="Normal 2 2" xfId="4"/>
    <cellStyle name="Normal 3" xfId="2"/>
    <cellStyle name="Normal 4" xfId="3"/>
    <cellStyle name="Percent 2" xfId="5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6114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ST"/>
      <sheetName val="Relative density"/>
      <sheetName val="Lopinavir"/>
      <sheetName val="Ritonavir"/>
    </sheetNames>
    <sheetDataSet>
      <sheetData sheetId="0"/>
      <sheetData sheetId="1"/>
      <sheetData sheetId="2">
        <row r="18">
          <cell r="B18" t="str">
            <v>KALETRA ORAL SOLUTION</v>
          </cell>
        </row>
        <row r="26">
          <cell r="B26" t="str">
            <v>Lopinavir USP</v>
          </cell>
        </row>
        <row r="28">
          <cell r="B28">
            <v>99.8</v>
          </cell>
        </row>
        <row r="43">
          <cell r="D43">
            <v>25.49</v>
          </cell>
        </row>
        <row r="46">
          <cell r="D46">
            <v>1.0175607999999998</v>
          </cell>
        </row>
      </sheetData>
      <sheetData sheetId="3">
        <row r="26">
          <cell r="B26" t="str">
            <v>Ritonavir USP</v>
          </cell>
        </row>
        <row r="28">
          <cell r="B28">
            <v>99.4</v>
          </cell>
        </row>
        <row r="43">
          <cell r="D43">
            <v>15.73</v>
          </cell>
        </row>
        <row r="46">
          <cell r="D46">
            <v>0.25016992000000005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view="pageBreakPreview" topLeftCell="A31" zoomScale="80" zoomScaleSheetLayoutView="80" workbookViewId="0">
      <selection activeCell="F44" sqref="F44"/>
    </sheetView>
  </sheetViews>
  <sheetFormatPr defaultRowHeight="13.5"/>
  <cols>
    <col min="1" max="1" width="34.28515625" style="425" customWidth="1"/>
    <col min="2" max="2" width="27.5703125" style="425" customWidth="1"/>
    <col min="3" max="3" width="31.85546875" style="425" customWidth="1"/>
    <col min="4" max="4" width="25.85546875" style="425" customWidth="1"/>
    <col min="5" max="5" width="25.7109375" style="425" customWidth="1"/>
    <col min="6" max="6" width="23.140625" style="425" customWidth="1"/>
    <col min="7" max="7" width="28.42578125" style="425" customWidth="1"/>
    <col min="8" max="8" width="21.5703125" style="425" customWidth="1"/>
    <col min="9" max="9" width="9.140625" style="425" customWidth="1"/>
    <col min="10" max="16384" width="9.140625" style="423"/>
  </cols>
  <sheetData>
    <row r="14" spans="1:6" ht="15" customHeight="1">
      <c r="A14" s="424"/>
      <c r="C14" s="426"/>
      <c r="F14" s="426"/>
    </row>
    <row r="15" spans="1:6" ht="18.75" customHeight="1">
      <c r="A15" s="536" t="s">
        <v>0</v>
      </c>
      <c r="B15" s="536"/>
      <c r="C15" s="536"/>
      <c r="D15" s="536"/>
      <c r="E15" s="536"/>
    </row>
    <row r="16" spans="1:6" ht="16.5" customHeight="1">
      <c r="A16" s="427" t="s">
        <v>1</v>
      </c>
      <c r="B16" s="428" t="s">
        <v>2</v>
      </c>
    </row>
    <row r="17" spans="1:5" ht="16.5" customHeight="1">
      <c r="A17" s="429" t="s">
        <v>3</v>
      </c>
      <c r="B17" s="429" t="s">
        <v>5</v>
      </c>
      <c r="D17" s="430"/>
      <c r="E17" s="431"/>
    </row>
    <row r="18" spans="1:5" ht="16.5" customHeight="1">
      <c r="A18" s="432" t="s">
        <v>4</v>
      </c>
      <c r="B18" s="429" t="s">
        <v>121</v>
      </c>
      <c r="C18" s="431"/>
      <c r="D18" s="431"/>
      <c r="E18" s="431"/>
    </row>
    <row r="19" spans="1:5" ht="16.5" customHeight="1">
      <c r="A19" s="432" t="s">
        <v>6</v>
      </c>
      <c r="B19" s="433">
        <v>99.8</v>
      </c>
      <c r="C19" s="431"/>
      <c r="D19" s="431"/>
      <c r="E19" s="431"/>
    </row>
    <row r="20" spans="1:5" ht="16.5" customHeight="1">
      <c r="A20" s="429" t="s">
        <v>8</v>
      </c>
      <c r="B20" s="433">
        <v>22.17</v>
      </c>
      <c r="C20" s="431"/>
      <c r="D20" s="431"/>
      <c r="E20" s="431"/>
    </row>
    <row r="21" spans="1:5" ht="16.5" customHeight="1">
      <c r="A21" s="429" t="s">
        <v>10</v>
      </c>
      <c r="B21" s="434">
        <f>B20/25</f>
        <v>0.88680000000000003</v>
      </c>
      <c r="C21" s="431"/>
      <c r="D21" s="431"/>
      <c r="E21" s="431"/>
    </row>
    <row r="22" spans="1:5" ht="15.75" customHeight="1">
      <c r="A22" s="431"/>
      <c r="B22" s="431" t="s">
        <v>129</v>
      </c>
      <c r="C22" s="431"/>
      <c r="D22" s="431"/>
      <c r="E22" s="431"/>
    </row>
    <row r="23" spans="1:5" ht="16.5" customHeight="1">
      <c r="A23" s="435" t="s">
        <v>13</v>
      </c>
      <c r="B23" s="436" t="s">
        <v>14</v>
      </c>
      <c r="C23" s="435" t="s">
        <v>15</v>
      </c>
      <c r="D23" s="435" t="s">
        <v>16</v>
      </c>
      <c r="E23" s="435" t="s">
        <v>17</v>
      </c>
    </row>
    <row r="24" spans="1:5" ht="16.5" customHeight="1">
      <c r="A24" s="437">
        <v>1</v>
      </c>
      <c r="B24" s="438">
        <v>54433867</v>
      </c>
      <c r="C24" s="439">
        <v>3666.2</v>
      </c>
      <c r="D24" s="440">
        <v>1</v>
      </c>
      <c r="E24" s="441">
        <v>5.2</v>
      </c>
    </row>
    <row r="25" spans="1:5" ht="16.5" customHeight="1">
      <c r="A25" s="437">
        <v>2</v>
      </c>
      <c r="B25" s="438">
        <v>54138077</v>
      </c>
      <c r="C25" s="439">
        <v>3629.4</v>
      </c>
      <c r="D25" s="440">
        <v>1</v>
      </c>
      <c r="E25" s="440">
        <v>5.2</v>
      </c>
    </row>
    <row r="26" spans="1:5" ht="16.5" customHeight="1">
      <c r="A26" s="437">
        <v>3</v>
      </c>
      <c r="B26" s="438">
        <v>54205915</v>
      </c>
      <c r="C26" s="439">
        <v>3646</v>
      </c>
      <c r="D26" s="440">
        <v>1</v>
      </c>
      <c r="E26" s="440">
        <v>5.2</v>
      </c>
    </row>
    <row r="27" spans="1:5" ht="16.5" customHeight="1">
      <c r="A27" s="437">
        <v>4</v>
      </c>
      <c r="B27" s="438">
        <v>54162986</v>
      </c>
      <c r="C27" s="439">
        <v>3615.3</v>
      </c>
      <c r="D27" s="440">
        <v>1</v>
      </c>
      <c r="E27" s="440">
        <v>5.2</v>
      </c>
    </row>
    <row r="28" spans="1:5" ht="16.5" customHeight="1">
      <c r="A28" s="437">
        <v>5</v>
      </c>
      <c r="B28" s="438">
        <v>54130334</v>
      </c>
      <c r="C28" s="439">
        <v>3632.9</v>
      </c>
      <c r="D28" s="440">
        <v>1</v>
      </c>
      <c r="E28" s="440">
        <v>5.2</v>
      </c>
    </row>
    <row r="29" spans="1:5" ht="16.5" customHeight="1">
      <c r="A29" s="437">
        <v>6</v>
      </c>
      <c r="B29" s="442">
        <v>54100167</v>
      </c>
      <c r="C29" s="443">
        <v>3661.1</v>
      </c>
      <c r="D29" s="444">
        <v>1</v>
      </c>
      <c r="E29" s="444">
        <v>5.2</v>
      </c>
    </row>
    <row r="30" spans="1:5" ht="16.5" customHeight="1">
      <c r="A30" s="445" t="s">
        <v>18</v>
      </c>
      <c r="B30" s="446">
        <f>AVERAGE(B24:B29)</f>
        <v>54195224.333333336</v>
      </c>
      <c r="C30" s="447">
        <f>AVERAGE(C24:C29)</f>
        <v>3641.8166666666671</v>
      </c>
      <c r="D30" s="448">
        <f>AVERAGE(D24:D29)</f>
        <v>1</v>
      </c>
      <c r="E30" s="448">
        <f>AVERAGE(E24:E29)</f>
        <v>5.2</v>
      </c>
    </row>
    <row r="31" spans="1:5" ht="16.5" customHeight="1">
      <c r="A31" s="449" t="s">
        <v>19</v>
      </c>
      <c r="B31" s="450">
        <f>(STDEV(B24:B29)/B30)</f>
        <v>2.2540892287831542E-3</v>
      </c>
      <c r="C31" s="451"/>
      <c r="D31" s="451"/>
      <c r="E31" s="452"/>
    </row>
    <row r="32" spans="1:5" s="425" customFormat="1" ht="16.5" customHeight="1">
      <c r="A32" s="453" t="s">
        <v>20</v>
      </c>
      <c r="B32" s="454">
        <f>COUNT(B24:B29)</f>
        <v>6</v>
      </c>
      <c r="C32" s="455"/>
      <c r="D32" s="456"/>
      <c r="E32" s="457"/>
    </row>
    <row r="33" spans="1:6" s="425" customFormat="1" ht="15.75" customHeight="1">
      <c r="A33" s="431"/>
      <c r="B33" s="431"/>
      <c r="C33" s="431"/>
      <c r="D33" s="431"/>
      <c r="E33" s="431"/>
    </row>
    <row r="34" spans="1:6" s="425" customFormat="1" ht="16.5" customHeight="1">
      <c r="A34" s="432" t="s">
        <v>21</v>
      </c>
      <c r="B34" s="458" t="s">
        <v>128</v>
      </c>
      <c r="C34" s="459"/>
      <c r="D34" s="459"/>
      <c r="E34" s="459"/>
    </row>
    <row r="35" spans="1:6" ht="16.5" customHeight="1">
      <c r="A35" s="432"/>
      <c r="B35" s="458" t="s">
        <v>127</v>
      </c>
      <c r="C35" s="459"/>
      <c r="D35" s="459"/>
      <c r="E35" s="459"/>
    </row>
    <row r="36" spans="1:6" ht="16.5" customHeight="1">
      <c r="A36" s="432"/>
      <c r="B36" s="458" t="s">
        <v>126</v>
      </c>
      <c r="C36" s="459"/>
      <c r="D36" s="459"/>
      <c r="E36" s="459"/>
    </row>
    <row r="37" spans="1:6" ht="15.75" customHeight="1">
      <c r="A37" s="431"/>
      <c r="B37" s="431"/>
      <c r="C37" s="431"/>
      <c r="D37" s="431"/>
      <c r="E37" s="431"/>
    </row>
    <row r="38" spans="1:6" ht="16.5" customHeight="1">
      <c r="A38" s="427" t="s">
        <v>1</v>
      </c>
      <c r="B38" s="428" t="str">
        <f>B16</f>
        <v>Assay</v>
      </c>
    </row>
    <row r="39" spans="1:6" ht="16.5" customHeight="1">
      <c r="A39" s="432" t="s">
        <v>4</v>
      </c>
      <c r="B39" s="429" t="str">
        <f>Ritonavir!B26</f>
        <v>Ritonavir USP</v>
      </c>
      <c r="C39" s="431"/>
      <c r="D39" s="431"/>
      <c r="E39" s="431"/>
    </row>
    <row r="40" spans="1:6" ht="16.5" customHeight="1">
      <c r="A40" s="432" t="s">
        <v>6</v>
      </c>
      <c r="B40" s="433">
        <f>Ritonavir!B28</f>
        <v>99.4</v>
      </c>
      <c r="C40" s="431"/>
      <c r="D40" s="431"/>
      <c r="E40" s="431"/>
    </row>
    <row r="41" spans="1:6" ht="16.5" customHeight="1">
      <c r="A41" s="429" t="s">
        <v>8</v>
      </c>
      <c r="B41" s="460">
        <f>Ritonavir!D43</f>
        <v>13.48</v>
      </c>
      <c r="C41" s="431"/>
      <c r="D41" s="431"/>
      <c r="E41" s="431"/>
    </row>
    <row r="42" spans="1:6" ht="16.5" customHeight="1">
      <c r="A42" s="429" t="s">
        <v>10</v>
      </c>
      <c r="B42" s="461">
        <f>Ritonavir!D46</f>
        <v>0.21438592000000001</v>
      </c>
      <c r="C42" s="431"/>
      <c r="D42" s="431"/>
      <c r="E42" s="431"/>
    </row>
    <row r="43" spans="1:6" ht="15.75" customHeight="1">
      <c r="A43" s="431"/>
      <c r="B43" s="431"/>
      <c r="C43" s="431"/>
      <c r="D43" s="431"/>
      <c r="E43" s="431"/>
    </row>
    <row r="44" spans="1:6" ht="16.5" customHeight="1">
      <c r="A44" s="435" t="s">
        <v>13</v>
      </c>
      <c r="B44" s="436" t="s">
        <v>14</v>
      </c>
      <c r="C44" s="435" t="s">
        <v>15</v>
      </c>
      <c r="D44" s="435" t="s">
        <v>16</v>
      </c>
      <c r="E44" s="435" t="s">
        <v>17</v>
      </c>
      <c r="F44" s="435" t="s">
        <v>131</v>
      </c>
    </row>
    <row r="45" spans="1:6" ht="16.5" customHeight="1">
      <c r="A45" s="437">
        <v>1</v>
      </c>
      <c r="B45" s="462">
        <v>12312730</v>
      </c>
      <c r="C45" s="416">
        <v>4796.7</v>
      </c>
      <c r="D45" s="417">
        <v>1.1000000000000001</v>
      </c>
      <c r="E45" s="418">
        <v>7.5</v>
      </c>
      <c r="F45" s="418">
        <v>6</v>
      </c>
    </row>
    <row r="46" spans="1:6" ht="16.5" customHeight="1">
      <c r="A46" s="437">
        <v>2</v>
      </c>
      <c r="B46" s="462">
        <v>12263627</v>
      </c>
      <c r="C46" s="416">
        <v>4775.2</v>
      </c>
      <c r="D46" s="417">
        <v>1</v>
      </c>
      <c r="E46" s="417">
        <v>7.5</v>
      </c>
      <c r="F46" s="417">
        <v>6</v>
      </c>
    </row>
    <row r="47" spans="1:6" ht="16.5" customHeight="1">
      <c r="A47" s="437">
        <v>3</v>
      </c>
      <c r="B47" s="462">
        <v>12292153</v>
      </c>
      <c r="C47" s="416">
        <v>4803.5</v>
      </c>
      <c r="D47" s="417">
        <v>1</v>
      </c>
      <c r="E47" s="417">
        <v>7.5</v>
      </c>
      <c r="F47" s="417">
        <v>6</v>
      </c>
    </row>
    <row r="48" spans="1:6" ht="16.5" customHeight="1">
      <c r="A48" s="437">
        <v>4</v>
      </c>
      <c r="B48" s="462">
        <v>12229547</v>
      </c>
      <c r="C48" s="416">
        <v>4763.3999999999996</v>
      </c>
      <c r="D48" s="417">
        <v>1</v>
      </c>
      <c r="E48" s="417">
        <v>7.5</v>
      </c>
      <c r="F48" s="417">
        <v>5.9</v>
      </c>
    </row>
    <row r="49" spans="1:7" ht="16.5" customHeight="1">
      <c r="A49" s="437">
        <v>5</v>
      </c>
      <c r="B49" s="462">
        <v>12292202</v>
      </c>
      <c r="C49" s="416">
        <v>4789.5</v>
      </c>
      <c r="D49" s="417">
        <v>1.1000000000000001</v>
      </c>
      <c r="E49" s="417">
        <v>7.5</v>
      </c>
      <c r="F49" s="417">
        <v>6</v>
      </c>
    </row>
    <row r="50" spans="1:7" ht="16.5" customHeight="1">
      <c r="A50" s="437">
        <v>6</v>
      </c>
      <c r="B50" s="463">
        <v>12300136</v>
      </c>
      <c r="C50" s="419">
        <v>4815.5</v>
      </c>
      <c r="D50" s="420">
        <v>1.1000000000000001</v>
      </c>
      <c r="E50" s="420">
        <v>7.5</v>
      </c>
      <c r="F50" s="420">
        <v>6</v>
      </c>
    </row>
    <row r="51" spans="1:7" ht="16.5" customHeight="1">
      <c r="A51" s="445" t="s">
        <v>18</v>
      </c>
      <c r="B51" s="446">
        <f>AVERAGE(B45:B50)</f>
        <v>12281732.5</v>
      </c>
      <c r="C51" s="447">
        <f>AVERAGE(C45:C50)</f>
        <v>4790.6333333333332</v>
      </c>
      <c r="D51" s="448">
        <f>AVERAGE(D45:D50)</f>
        <v>1.0499999999999998</v>
      </c>
      <c r="E51" s="448">
        <f>AVERAGE(E45:E50)</f>
        <v>7.5</v>
      </c>
      <c r="F51" s="448">
        <f>AVERAGE(F45:F50)</f>
        <v>5.9833333333333334</v>
      </c>
    </row>
    <row r="52" spans="1:7" ht="16.5" customHeight="1">
      <c r="A52" s="449" t="s">
        <v>19</v>
      </c>
      <c r="B52" s="450">
        <f>(STDEV(B45:B50)/B51)</f>
        <v>2.4612719549645858E-3</v>
      </c>
      <c r="C52" s="451"/>
      <c r="D52" s="451"/>
      <c r="E52" s="452"/>
      <c r="F52" s="452"/>
    </row>
    <row r="53" spans="1:7" s="425" customFormat="1" ht="16.5" customHeight="1">
      <c r="A53" s="453" t="s">
        <v>20</v>
      </c>
      <c r="B53" s="454">
        <f>COUNT(B45:B50)</f>
        <v>6</v>
      </c>
      <c r="C53" s="455"/>
      <c r="D53" s="456"/>
      <c r="E53" s="457"/>
      <c r="F53" s="457"/>
    </row>
    <row r="54" spans="1:7" s="425" customFormat="1" ht="15.75" customHeight="1">
      <c r="A54" s="431"/>
      <c r="B54" s="431"/>
      <c r="C54" s="431"/>
      <c r="D54" s="431"/>
      <c r="E54" s="431"/>
    </row>
    <row r="55" spans="1:7" s="425" customFormat="1" ht="16.5" customHeight="1">
      <c r="A55" s="432" t="s">
        <v>21</v>
      </c>
      <c r="B55" s="458" t="s">
        <v>128</v>
      </c>
      <c r="C55" s="459"/>
      <c r="D55" s="459"/>
      <c r="E55" s="459"/>
    </row>
    <row r="56" spans="1:7" ht="16.5" customHeight="1">
      <c r="A56" s="432"/>
      <c r="B56" s="458" t="s">
        <v>127</v>
      </c>
      <c r="C56" s="459"/>
      <c r="D56" s="459"/>
      <c r="E56" s="459"/>
    </row>
    <row r="57" spans="1:7" ht="16.5" customHeight="1">
      <c r="A57" s="432"/>
      <c r="B57" s="458" t="s">
        <v>126</v>
      </c>
      <c r="C57" s="459"/>
      <c r="D57" s="459"/>
      <c r="E57" s="459"/>
    </row>
    <row r="58" spans="1:7" ht="14.25" customHeight="1" thickBot="1">
      <c r="A58" s="464"/>
      <c r="B58" s="465"/>
      <c r="D58" s="466"/>
      <c r="F58" s="423"/>
      <c r="G58" s="423"/>
    </row>
    <row r="59" spans="1:7" ht="15" customHeight="1">
      <c r="B59" s="537" t="s">
        <v>22</v>
      </c>
      <c r="C59" s="537"/>
      <c r="E59" s="467" t="s">
        <v>23</v>
      </c>
      <c r="F59" s="468"/>
      <c r="G59" s="467" t="s">
        <v>24</v>
      </c>
    </row>
    <row r="60" spans="1:7" ht="43.5" customHeight="1">
      <c r="A60" s="469" t="s">
        <v>25</v>
      </c>
      <c r="B60" s="470"/>
      <c r="C60" s="470"/>
      <c r="E60" s="470"/>
      <c r="G60" s="470"/>
    </row>
    <row r="61" spans="1:7" ht="49.5" customHeight="1">
      <c r="A61" s="469" t="s">
        <v>26</v>
      </c>
      <c r="B61" s="471"/>
      <c r="C61" s="471"/>
      <c r="E61" s="471"/>
      <c r="G61" s="47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4:I61"/>
  <sheetViews>
    <sheetView tabSelected="1" view="pageBreakPreview" topLeftCell="A10" zoomScale="60" workbookViewId="0">
      <selection activeCell="G38" sqref="G38"/>
    </sheetView>
  </sheetViews>
  <sheetFormatPr defaultRowHeight="13.5"/>
  <cols>
    <col min="1" max="1" width="27.5703125" style="474" customWidth="1"/>
    <col min="2" max="2" width="20.42578125" style="474" customWidth="1"/>
    <col min="3" max="3" width="35.140625" style="474" customWidth="1"/>
    <col min="4" max="4" width="31.7109375" style="474" customWidth="1"/>
    <col min="5" max="5" width="29.7109375" style="474" customWidth="1"/>
    <col min="6" max="6" width="31.7109375" style="474" customWidth="1"/>
    <col min="7" max="7" width="28.42578125" style="474" customWidth="1"/>
    <col min="8" max="8" width="21.5703125" style="474" customWidth="1"/>
    <col min="9" max="9" width="9.140625" style="474" customWidth="1"/>
    <col min="10" max="16384" width="9.140625" style="529"/>
  </cols>
  <sheetData>
    <row r="14" spans="1:6" ht="15" customHeight="1">
      <c r="A14" s="473"/>
      <c r="C14" s="475"/>
      <c r="F14" s="475"/>
    </row>
    <row r="15" spans="1:6" ht="18.75" customHeight="1">
      <c r="A15" s="538" t="s">
        <v>0</v>
      </c>
      <c r="B15" s="538"/>
      <c r="C15" s="538"/>
      <c r="D15" s="538"/>
      <c r="E15" s="538"/>
    </row>
    <row r="16" spans="1:6" ht="16.5" customHeight="1">
      <c r="A16" s="476" t="s">
        <v>1</v>
      </c>
      <c r="B16" s="510" t="s">
        <v>130</v>
      </c>
    </row>
    <row r="17" spans="1:5" ht="16.5" customHeight="1">
      <c r="A17" s="477" t="s">
        <v>3</v>
      </c>
      <c r="B17" s="478" t="str">
        <f>'SST(Assay)'!B17</f>
        <v>ALUVIA TABLETS</v>
      </c>
      <c r="D17" s="479"/>
      <c r="E17" s="480"/>
    </row>
    <row r="18" spans="1:5" ht="16.5" customHeight="1">
      <c r="A18" s="481" t="s">
        <v>4</v>
      </c>
      <c r="B18" s="482" t="str">
        <f>[1]Lopinavir!B26</f>
        <v>Lopinavir USP</v>
      </c>
      <c r="C18" s="480"/>
      <c r="D18" s="480"/>
      <c r="E18" s="480"/>
    </row>
    <row r="19" spans="1:5" ht="16.5" customHeight="1">
      <c r="A19" s="481" t="s">
        <v>6</v>
      </c>
      <c r="B19" s="483">
        <f>[1]Lopinavir!B28</f>
        <v>99.8</v>
      </c>
      <c r="C19" s="480"/>
      <c r="D19" s="480"/>
      <c r="E19" s="480"/>
    </row>
    <row r="20" spans="1:5" ht="16.5" customHeight="1">
      <c r="A20" s="477" t="s">
        <v>8</v>
      </c>
      <c r="B20" s="483">
        <f>[1]Lopinavir!D43</f>
        <v>25.49</v>
      </c>
      <c r="C20" s="480"/>
      <c r="D20" s="480"/>
      <c r="E20" s="480"/>
    </row>
    <row r="21" spans="1:5" ht="16.5" customHeight="1">
      <c r="A21" s="477" t="s">
        <v>10</v>
      </c>
      <c r="B21" s="484">
        <f>[1]Lopinavir!D46</f>
        <v>1.0175607999999998</v>
      </c>
      <c r="C21" s="480"/>
      <c r="D21" s="480"/>
      <c r="E21" s="480"/>
    </row>
    <row r="22" spans="1:5" ht="15.75" customHeight="1">
      <c r="A22" s="480"/>
      <c r="B22" s="485"/>
      <c r="C22" s="480"/>
      <c r="D22" s="480"/>
      <c r="E22" s="480"/>
    </row>
    <row r="23" spans="1:5" s="488" customFormat="1" ht="16.5" customHeight="1">
      <c r="A23" s="486" t="s">
        <v>13</v>
      </c>
      <c r="B23" s="487" t="s">
        <v>14</v>
      </c>
      <c r="C23" s="486" t="s">
        <v>15</v>
      </c>
      <c r="D23" s="486" t="s">
        <v>16</v>
      </c>
      <c r="E23" s="486" t="s">
        <v>17</v>
      </c>
    </row>
    <row r="24" spans="1:5" ht="16.5" customHeight="1">
      <c r="A24" s="489">
        <v>1</v>
      </c>
      <c r="B24" s="490">
        <v>55187964</v>
      </c>
      <c r="C24" s="490">
        <v>3453.7</v>
      </c>
      <c r="D24" s="491">
        <v>1</v>
      </c>
      <c r="E24" s="492">
        <v>9</v>
      </c>
    </row>
    <row r="25" spans="1:5" ht="16.5" customHeight="1">
      <c r="A25" s="489">
        <v>2</v>
      </c>
      <c r="B25" s="490">
        <v>54983091</v>
      </c>
      <c r="C25" s="490">
        <v>3424.7</v>
      </c>
      <c r="D25" s="491">
        <v>1</v>
      </c>
      <c r="E25" s="491">
        <v>5.2</v>
      </c>
    </row>
    <row r="26" spans="1:5" ht="16.5" customHeight="1">
      <c r="A26" s="489">
        <v>3</v>
      </c>
      <c r="B26" s="490">
        <v>55106021</v>
      </c>
      <c r="C26" s="490">
        <v>3461.7</v>
      </c>
      <c r="D26" s="491">
        <v>1</v>
      </c>
      <c r="E26" s="491">
        <v>5.2</v>
      </c>
    </row>
    <row r="27" spans="1:5" ht="16.5" customHeight="1">
      <c r="A27" s="489">
        <v>4</v>
      </c>
      <c r="B27" s="490">
        <v>55023377</v>
      </c>
      <c r="C27" s="490">
        <v>3462.8</v>
      </c>
      <c r="D27" s="491">
        <v>1</v>
      </c>
      <c r="E27" s="491">
        <v>5.2</v>
      </c>
    </row>
    <row r="28" spans="1:5" ht="16.5" customHeight="1">
      <c r="A28" s="489">
        <v>5</v>
      </c>
      <c r="B28" s="490">
        <v>55017814</v>
      </c>
      <c r="C28" s="490">
        <v>3432.4</v>
      </c>
      <c r="D28" s="491">
        <v>1</v>
      </c>
      <c r="E28" s="491">
        <v>5.2</v>
      </c>
    </row>
    <row r="29" spans="1:5" ht="16.5" customHeight="1">
      <c r="A29" s="489">
        <v>6</v>
      </c>
      <c r="B29" s="493">
        <v>54896691</v>
      </c>
      <c r="C29" s="493">
        <v>3443.7</v>
      </c>
      <c r="D29" s="494">
        <v>1</v>
      </c>
      <c r="E29" s="494">
        <v>5.2</v>
      </c>
    </row>
    <row r="30" spans="1:5" ht="16.5" customHeight="1">
      <c r="A30" s="495" t="s">
        <v>18</v>
      </c>
      <c r="B30" s="496">
        <f>AVERAGE(B24:B29)</f>
        <v>55035826.333333336</v>
      </c>
      <c r="C30" s="497">
        <f>AVERAGE(C24:C29)</f>
        <v>3446.5</v>
      </c>
      <c r="D30" s="498">
        <f>AVERAGE(D24:D29)</f>
        <v>1</v>
      </c>
      <c r="E30" s="498">
        <f>AVERAGE(E24:E29)</f>
        <v>5.833333333333333</v>
      </c>
    </row>
    <row r="31" spans="1:5" ht="16.5" customHeight="1">
      <c r="A31" s="499" t="s">
        <v>19</v>
      </c>
      <c r="B31" s="500">
        <f>(STDEV(B24:B29)/B30)</f>
        <v>1.8295331311480119E-3</v>
      </c>
      <c r="C31" s="501"/>
      <c r="D31" s="501"/>
      <c r="E31" s="502"/>
    </row>
    <row r="32" spans="1:5" s="474" customFormat="1" ht="16.5" customHeight="1">
      <c r="A32" s="503" t="s">
        <v>20</v>
      </c>
      <c r="B32" s="504">
        <f>COUNT(B24:B29)</f>
        <v>6</v>
      </c>
      <c r="C32" s="505"/>
      <c r="D32" s="506"/>
      <c r="E32" s="507"/>
    </row>
    <row r="33" spans="1:6" s="474" customFormat="1" ht="15.75" customHeight="1">
      <c r="A33" s="480"/>
      <c r="B33" s="508"/>
      <c r="C33" s="508"/>
      <c r="D33" s="508"/>
      <c r="E33" s="508"/>
    </row>
    <row r="34" spans="1:6" s="474" customFormat="1" ht="16.5" customHeight="1">
      <c r="A34" s="481" t="s">
        <v>21</v>
      </c>
      <c r="B34" s="509" t="s">
        <v>128</v>
      </c>
      <c r="C34" s="509"/>
      <c r="D34" s="509"/>
      <c r="E34" s="509"/>
    </row>
    <row r="35" spans="1:6" ht="16.5" customHeight="1">
      <c r="A35" s="481"/>
      <c r="B35" s="509" t="s">
        <v>127</v>
      </c>
      <c r="C35" s="509"/>
      <c r="D35" s="509"/>
      <c r="E35" s="509"/>
    </row>
    <row r="36" spans="1:6" ht="16.5" customHeight="1">
      <c r="A36" s="481"/>
      <c r="B36" s="509" t="s">
        <v>126</v>
      </c>
      <c r="C36" s="509"/>
      <c r="D36" s="509"/>
      <c r="E36" s="509"/>
    </row>
    <row r="37" spans="1:6" ht="15.75" customHeight="1">
      <c r="A37" s="480"/>
      <c r="B37" s="508"/>
      <c r="C37" s="508"/>
      <c r="D37" s="508"/>
      <c r="E37" s="508"/>
    </row>
    <row r="38" spans="1:6" ht="16.5" customHeight="1">
      <c r="A38" s="476" t="s">
        <v>1</v>
      </c>
      <c r="B38" s="510" t="s">
        <v>130</v>
      </c>
      <c r="C38" s="511"/>
      <c r="D38" s="511"/>
      <c r="E38" s="511"/>
    </row>
    <row r="39" spans="1:6" ht="16.5" customHeight="1">
      <c r="A39" s="481" t="s">
        <v>4</v>
      </c>
      <c r="B39" s="483" t="str">
        <f>[1]Ritonavir!B26</f>
        <v>Ritonavir USP</v>
      </c>
      <c r="C39" s="508"/>
      <c r="D39" s="508"/>
      <c r="E39" s="508"/>
    </row>
    <row r="40" spans="1:6" ht="16.5" customHeight="1">
      <c r="A40" s="481" t="s">
        <v>6</v>
      </c>
      <c r="B40" s="483">
        <f>[1]Ritonavir!B28</f>
        <v>99.4</v>
      </c>
      <c r="C40" s="508"/>
      <c r="D40" s="508"/>
      <c r="E40" s="508"/>
    </row>
    <row r="41" spans="1:6" ht="16.5" customHeight="1">
      <c r="A41" s="477" t="s">
        <v>8</v>
      </c>
      <c r="B41" s="483">
        <f>[1]Ritonavir!D43</f>
        <v>15.73</v>
      </c>
      <c r="C41" s="508"/>
      <c r="D41" s="508"/>
      <c r="E41" s="508"/>
    </row>
    <row r="42" spans="1:6" ht="16.5" customHeight="1">
      <c r="A42" s="477" t="s">
        <v>10</v>
      </c>
      <c r="B42" s="484">
        <f>[1]Ritonavir!D46</f>
        <v>0.25016992000000005</v>
      </c>
      <c r="C42" s="508"/>
      <c r="D42" s="508"/>
      <c r="E42" s="508"/>
    </row>
    <row r="43" spans="1:6" ht="15.75" customHeight="1">
      <c r="A43" s="480"/>
      <c r="B43" s="508"/>
      <c r="C43" s="508"/>
      <c r="D43" s="508"/>
      <c r="E43" s="508"/>
    </row>
    <row r="44" spans="1:6" s="488" customFormat="1" ht="16.5" customHeight="1">
      <c r="A44" s="486" t="s">
        <v>13</v>
      </c>
      <c r="B44" s="512" t="s">
        <v>14</v>
      </c>
      <c r="C44" s="513" t="s">
        <v>15</v>
      </c>
      <c r="D44" s="513" t="s">
        <v>16</v>
      </c>
      <c r="E44" s="513" t="s">
        <v>17</v>
      </c>
      <c r="F44" s="435" t="s">
        <v>131</v>
      </c>
    </row>
    <row r="45" spans="1:6" ht="16.5" customHeight="1">
      <c r="A45" s="489">
        <v>1</v>
      </c>
      <c r="B45" s="514">
        <v>12576726</v>
      </c>
      <c r="C45" s="514">
        <v>4599.5</v>
      </c>
      <c r="D45" s="515">
        <v>1</v>
      </c>
      <c r="E45" s="516">
        <v>7.6</v>
      </c>
      <c r="F45" s="516">
        <v>5.9</v>
      </c>
    </row>
    <row r="46" spans="1:6" ht="16.5" customHeight="1">
      <c r="A46" s="489">
        <v>2</v>
      </c>
      <c r="B46" s="514">
        <v>12553480</v>
      </c>
      <c r="C46" s="514">
        <v>4576.7</v>
      </c>
      <c r="D46" s="515">
        <v>1</v>
      </c>
      <c r="E46" s="515">
        <v>7.6</v>
      </c>
      <c r="F46" s="515">
        <v>5.8</v>
      </c>
    </row>
    <row r="47" spans="1:6" ht="16.5" customHeight="1">
      <c r="A47" s="489">
        <v>3</v>
      </c>
      <c r="B47" s="514">
        <v>12602173</v>
      </c>
      <c r="C47" s="514">
        <v>4587.2</v>
      </c>
      <c r="D47" s="515">
        <v>1</v>
      </c>
      <c r="E47" s="515">
        <v>7.6</v>
      </c>
      <c r="F47" s="515">
        <v>5.8</v>
      </c>
    </row>
    <row r="48" spans="1:6" ht="16.5" customHeight="1">
      <c r="A48" s="489">
        <v>4</v>
      </c>
      <c r="B48" s="514">
        <v>12595684</v>
      </c>
      <c r="C48" s="514">
        <v>4578.6000000000004</v>
      </c>
      <c r="D48" s="515">
        <v>1</v>
      </c>
      <c r="E48" s="515">
        <v>7.6</v>
      </c>
      <c r="F48" s="515">
        <v>5.8</v>
      </c>
    </row>
    <row r="49" spans="1:7" ht="16.5" customHeight="1">
      <c r="A49" s="489">
        <v>5</v>
      </c>
      <c r="B49" s="514">
        <v>12591454</v>
      </c>
      <c r="C49" s="514">
        <v>4549.3999999999996</v>
      </c>
      <c r="D49" s="515">
        <v>1</v>
      </c>
      <c r="E49" s="515">
        <v>7.6</v>
      </c>
      <c r="F49" s="515">
        <v>5.8</v>
      </c>
    </row>
    <row r="50" spans="1:7" ht="16.5" customHeight="1">
      <c r="A50" s="489">
        <v>6</v>
      </c>
      <c r="B50" s="517">
        <v>12568539</v>
      </c>
      <c r="C50" s="517">
        <v>4563.8999999999996</v>
      </c>
      <c r="D50" s="518">
        <v>1</v>
      </c>
      <c r="E50" s="518">
        <v>7.6</v>
      </c>
      <c r="F50" s="518">
        <v>5.8</v>
      </c>
    </row>
    <row r="51" spans="1:7" ht="16.5" customHeight="1">
      <c r="A51" s="495" t="s">
        <v>18</v>
      </c>
      <c r="B51" s="519">
        <f>AVERAGE(B45:B50)</f>
        <v>12581342.666666666</v>
      </c>
      <c r="C51" s="520">
        <f>AVERAGE(C45:C50)</f>
        <v>4575.8833333333341</v>
      </c>
      <c r="D51" s="521">
        <f>AVERAGE(D45:D50)</f>
        <v>1</v>
      </c>
      <c r="E51" s="521">
        <f>AVERAGE(E45:E50)</f>
        <v>7.6000000000000005</v>
      </c>
      <c r="F51" s="521">
        <f>AVERAGE(F45:F50)</f>
        <v>5.8166666666666664</v>
      </c>
    </row>
    <row r="52" spans="1:7" ht="16.5" customHeight="1">
      <c r="A52" s="499" t="s">
        <v>19</v>
      </c>
      <c r="B52" s="500">
        <f>(STDEV(B45:B50)/B51)</f>
        <v>1.4670510576835175E-3</v>
      </c>
      <c r="C52" s="501"/>
      <c r="D52" s="501"/>
      <c r="E52" s="522"/>
      <c r="F52" s="522"/>
    </row>
    <row r="53" spans="1:7" s="474" customFormat="1" ht="16.5" customHeight="1">
      <c r="A53" s="503" t="s">
        <v>20</v>
      </c>
      <c r="B53" s="504">
        <f>COUNT(B45:B50)</f>
        <v>6</v>
      </c>
      <c r="C53" s="505"/>
      <c r="D53" s="523"/>
      <c r="E53" s="524"/>
      <c r="F53" s="524"/>
    </row>
    <row r="54" spans="1:7" s="474" customFormat="1" ht="15.75" customHeight="1">
      <c r="A54" s="480"/>
      <c r="B54" s="480"/>
      <c r="C54" s="480"/>
      <c r="D54" s="480"/>
      <c r="E54" s="480"/>
    </row>
    <row r="55" spans="1:7" s="474" customFormat="1" ht="16.5" customHeight="1">
      <c r="A55" s="481" t="s">
        <v>21</v>
      </c>
      <c r="B55" s="525" t="s">
        <v>128</v>
      </c>
      <c r="C55" s="526"/>
      <c r="D55" s="526"/>
      <c r="E55" s="526"/>
    </row>
    <row r="56" spans="1:7" ht="16.5" customHeight="1">
      <c r="A56" s="481"/>
      <c r="B56" s="525" t="s">
        <v>127</v>
      </c>
      <c r="C56" s="526"/>
      <c r="D56" s="526"/>
      <c r="E56" s="526"/>
    </row>
    <row r="57" spans="1:7" ht="16.5" customHeight="1">
      <c r="A57" s="481"/>
      <c r="B57" s="525" t="s">
        <v>126</v>
      </c>
      <c r="C57" s="526"/>
      <c r="D57" s="526"/>
      <c r="E57" s="526"/>
    </row>
    <row r="58" spans="1:7" ht="14.25" customHeight="1" thickBot="1">
      <c r="A58" s="527"/>
      <c r="B58" s="511"/>
      <c r="D58" s="528"/>
      <c r="F58" s="529"/>
      <c r="G58" s="529"/>
    </row>
    <row r="59" spans="1:7" ht="15" customHeight="1">
      <c r="B59" s="539" t="s">
        <v>22</v>
      </c>
      <c r="C59" s="539"/>
      <c r="E59" s="530" t="s">
        <v>23</v>
      </c>
      <c r="F59" s="531"/>
      <c r="G59" s="530" t="s">
        <v>24</v>
      </c>
    </row>
    <row r="60" spans="1:7" ht="42.75" customHeight="1">
      <c r="A60" s="532" t="s">
        <v>25</v>
      </c>
      <c r="B60" s="533"/>
      <c r="C60" s="533"/>
      <c r="E60" s="533"/>
      <c r="G60" s="533"/>
    </row>
    <row r="61" spans="1:7" ht="72.75" customHeight="1">
      <c r="A61" s="532" t="s">
        <v>26</v>
      </c>
      <c r="B61" s="534"/>
      <c r="C61" s="534"/>
      <c r="E61" s="534"/>
      <c r="G61" s="5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5" workbookViewId="0">
      <selection activeCell="F19" sqref="F19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43" t="s">
        <v>27</v>
      </c>
      <c r="B11" s="544"/>
      <c r="C11" s="544"/>
      <c r="D11" s="544"/>
      <c r="E11" s="544"/>
      <c r="F11" s="545"/>
      <c r="G11" s="43"/>
    </row>
    <row r="12" spans="1:7" ht="16.5" customHeight="1">
      <c r="A12" s="542" t="s">
        <v>28</v>
      </c>
      <c r="B12" s="542"/>
      <c r="C12" s="542"/>
      <c r="D12" s="542"/>
      <c r="E12" s="542"/>
      <c r="F12" s="542"/>
      <c r="G12" s="42"/>
    </row>
    <row r="14" spans="1:7" ht="16.5" customHeight="1">
      <c r="A14" s="547" t="s">
        <v>29</v>
      </c>
      <c r="B14" s="547"/>
      <c r="C14" s="12" t="s">
        <v>5</v>
      </c>
    </row>
    <row r="15" spans="1:7" ht="16.5" customHeight="1">
      <c r="A15" s="547" t="s">
        <v>30</v>
      </c>
      <c r="B15" s="547"/>
      <c r="C15" s="12" t="s">
        <v>7</v>
      </c>
    </row>
    <row r="16" spans="1:7" ht="16.5" customHeight="1">
      <c r="A16" s="547" t="s">
        <v>31</v>
      </c>
      <c r="B16" s="547"/>
      <c r="C16" s="12" t="s">
        <v>9</v>
      </c>
    </row>
    <row r="17" spans="1:5" ht="16.5" customHeight="1">
      <c r="A17" s="547" t="s">
        <v>32</v>
      </c>
      <c r="B17" s="547"/>
      <c r="C17" s="12" t="s">
        <v>11</v>
      </c>
    </row>
    <row r="18" spans="1:5" ht="16.5" customHeight="1">
      <c r="A18" s="547" t="s">
        <v>33</v>
      </c>
      <c r="B18" s="547"/>
      <c r="C18" s="49" t="s">
        <v>12</v>
      </c>
    </row>
    <row r="19" spans="1:5" ht="16.5" customHeight="1">
      <c r="A19" s="547" t="s">
        <v>34</v>
      </c>
      <c r="B19" s="547"/>
      <c r="C19" s="49" t="str">
        <f>#REF!</f>
        <v>0</v>
      </c>
    </row>
    <row r="20" spans="1:5" ht="16.5" customHeight="1">
      <c r="A20" s="14"/>
      <c r="B20" s="14"/>
      <c r="C20" s="29"/>
    </row>
    <row r="21" spans="1:5" ht="16.5" customHeight="1">
      <c r="A21" s="542" t="s">
        <v>1</v>
      </c>
      <c r="B21" s="542"/>
      <c r="C21" s="11" t="s">
        <v>35</v>
      </c>
      <c r="D21" s="18"/>
    </row>
    <row r="22" spans="1:5" ht="15.75" customHeight="1">
      <c r="A22" s="546"/>
      <c r="B22" s="546"/>
      <c r="C22" s="9"/>
      <c r="D22" s="546"/>
      <c r="E22" s="546"/>
    </row>
    <row r="23" spans="1:5" ht="33.75" customHeight="1">
      <c r="C23" s="38" t="s">
        <v>36</v>
      </c>
      <c r="D23" s="37" t="s">
        <v>37</v>
      </c>
      <c r="E23" s="4"/>
    </row>
    <row r="24" spans="1:5" ht="15.75" customHeight="1">
      <c r="C24" s="47">
        <v>1271.92</v>
      </c>
      <c r="D24" s="39">
        <f t="shared" ref="D24:D43" si="0">(C24-$C$46)/$C$46</f>
        <v>9.8394079682296992E-3</v>
      </c>
      <c r="E24" s="5"/>
    </row>
    <row r="25" spans="1:5" ht="15.75" customHeight="1">
      <c r="C25" s="47">
        <v>1244.73</v>
      </c>
      <c r="D25" s="40">
        <f t="shared" si="0"/>
        <v>-1.1748060978446001E-2</v>
      </c>
      <c r="E25" s="5"/>
    </row>
    <row r="26" spans="1:5" ht="15.75" customHeight="1">
      <c r="C26" s="47">
        <v>1257.0999999999999</v>
      </c>
      <c r="D26" s="40">
        <f t="shared" si="0"/>
        <v>-1.9269138335261001E-3</v>
      </c>
      <c r="E26" s="5"/>
    </row>
    <row r="27" spans="1:5" ht="15.75" customHeight="1">
      <c r="C27" s="47">
        <v>1265.01</v>
      </c>
      <c r="D27" s="40">
        <f t="shared" si="0"/>
        <v>4.3532214871140999E-3</v>
      </c>
      <c r="E27" s="5"/>
    </row>
    <row r="28" spans="1:5" ht="15.75" customHeight="1">
      <c r="C28" s="47">
        <v>1240.1099999999999</v>
      </c>
      <c r="D28" s="40">
        <f t="shared" si="0"/>
        <v>-1.541610461705E-2</v>
      </c>
      <c r="E28" s="5"/>
    </row>
    <row r="29" spans="1:5" ht="15.75" customHeight="1">
      <c r="C29" s="47">
        <v>1255.7</v>
      </c>
      <c r="D29" s="40">
        <f t="shared" si="0"/>
        <v>-3.0384422088606E-3</v>
      </c>
      <c r="E29" s="5"/>
    </row>
    <row r="30" spans="1:5" ht="15.75" customHeight="1">
      <c r="C30" s="47">
        <v>1243.44</v>
      </c>
      <c r="D30" s="40">
        <f t="shared" si="0"/>
        <v>-1.2772254981432999E-2</v>
      </c>
      <c r="E30" s="5"/>
    </row>
    <row r="31" spans="1:5" ht="15.75" customHeight="1">
      <c r="C31" s="47">
        <v>1283.3</v>
      </c>
      <c r="D31" s="40">
        <f t="shared" si="0"/>
        <v>1.8874545762019999E-2</v>
      </c>
      <c r="E31" s="5"/>
    </row>
    <row r="32" spans="1:5" ht="15.75" customHeight="1">
      <c r="C32" s="47">
        <v>1261.3399999999999</v>
      </c>
      <c r="D32" s="40">
        <f t="shared" si="0"/>
        <v>1.4394292460585001E-3</v>
      </c>
      <c r="E32" s="5"/>
    </row>
    <row r="33" spans="1:7" ht="15.75" customHeight="1">
      <c r="C33" s="47">
        <v>1264.01</v>
      </c>
      <c r="D33" s="40">
        <f t="shared" si="0"/>
        <v>3.5592726475894999E-3</v>
      </c>
      <c r="E33" s="5"/>
    </row>
    <row r="34" spans="1:7" ht="15.75" customHeight="1">
      <c r="C34" s="47">
        <v>1248.3</v>
      </c>
      <c r="D34" s="40">
        <f t="shared" si="0"/>
        <v>-8.9136636213433002E-3</v>
      </c>
      <c r="E34" s="5"/>
    </row>
    <row r="35" spans="1:7" ht="15.75" customHeight="1">
      <c r="C35" s="47">
        <v>1246.96</v>
      </c>
      <c r="D35" s="40">
        <f t="shared" si="0"/>
        <v>-9.9775550663062998E-3</v>
      </c>
      <c r="E35" s="5"/>
    </row>
    <row r="36" spans="1:7" ht="15.75" customHeight="1">
      <c r="C36" s="47">
        <v>1267.8900000000001</v>
      </c>
      <c r="D36" s="40">
        <f t="shared" si="0"/>
        <v>6.6397941449452998E-3</v>
      </c>
      <c r="E36" s="5"/>
    </row>
    <row r="37" spans="1:7" ht="15.75" customHeight="1">
      <c r="C37" s="47">
        <v>1264.69</v>
      </c>
      <c r="D37" s="40">
        <f t="shared" si="0"/>
        <v>4.0991578584662998E-3</v>
      </c>
      <c r="E37" s="5"/>
    </row>
    <row r="38" spans="1:7" ht="15.75" customHeight="1">
      <c r="C38" s="47">
        <v>1267.83</v>
      </c>
      <c r="D38" s="40">
        <f t="shared" si="0"/>
        <v>6.5921572145737004E-3</v>
      </c>
      <c r="E38" s="5"/>
    </row>
    <row r="39" spans="1:7" ht="15.75" customHeight="1">
      <c r="C39" s="47">
        <v>1262.46</v>
      </c>
      <c r="D39" s="40">
        <f t="shared" si="0"/>
        <v>2.3286519463261999E-3</v>
      </c>
      <c r="E39" s="5"/>
    </row>
    <row r="40" spans="1:7" ht="15.75" customHeight="1">
      <c r="C40" s="47">
        <v>1267.69</v>
      </c>
      <c r="D40" s="40">
        <f t="shared" si="0"/>
        <v>6.4810043770403003E-3</v>
      </c>
      <c r="E40" s="5"/>
    </row>
    <row r="41" spans="1:7" ht="15.75" customHeight="1">
      <c r="C41" s="47">
        <v>1270.92</v>
      </c>
      <c r="D41" s="40">
        <f t="shared" si="0"/>
        <v>9.0454591287050991E-3</v>
      </c>
      <c r="E41" s="5"/>
    </row>
    <row r="42" spans="1:7" ht="15.75" customHeight="1">
      <c r="C42" s="47">
        <v>1240.03</v>
      </c>
      <c r="D42" s="40">
        <f t="shared" si="0"/>
        <v>-1.5479620524212E-2</v>
      </c>
      <c r="E42" s="5"/>
    </row>
    <row r="43" spans="1:7" ht="16.5" customHeight="1">
      <c r="C43" s="48">
        <v>1267.1099999999999</v>
      </c>
      <c r="D43" s="41">
        <f t="shared" si="0"/>
        <v>6.0205140501159004E-3</v>
      </c>
      <c r="E43" s="5"/>
    </row>
    <row r="44" spans="1:7" ht="16.5" customHeight="1">
      <c r="C44" s="6"/>
      <c r="D44" s="5"/>
      <c r="E44" s="7"/>
    </row>
    <row r="45" spans="1:7" ht="16.5" customHeight="1">
      <c r="B45" s="34" t="s">
        <v>38</v>
      </c>
      <c r="C45" s="35">
        <f>SUM(C24:C44)</f>
        <v>25190.54</v>
      </c>
      <c r="D45" s="30"/>
      <c r="E45" s="6"/>
    </row>
    <row r="46" spans="1:7" ht="17.25" customHeight="1">
      <c r="B46" s="34" t="s">
        <v>39</v>
      </c>
      <c r="C46" s="36">
        <f>AVERAGE(C24:C44)</f>
        <v>1259.527</v>
      </c>
      <c r="E46" s="8"/>
    </row>
    <row r="47" spans="1:7" ht="17.25" customHeight="1">
      <c r="A47" s="12"/>
      <c r="B47" s="31"/>
      <c r="D47" s="10"/>
      <c r="E47" s="8"/>
    </row>
    <row r="48" spans="1:7" ht="33.75" customHeight="1">
      <c r="B48" s="44" t="s">
        <v>39</v>
      </c>
      <c r="C48" s="37" t="s">
        <v>40</v>
      </c>
      <c r="D48" s="32"/>
      <c r="G48" s="10"/>
    </row>
    <row r="49" spans="1:6" ht="17.25" customHeight="1">
      <c r="B49" s="540">
        <f>C46</f>
        <v>1259.527</v>
      </c>
      <c r="C49" s="45">
        <f>-IF(C46&lt;=80,10%,IF(C46&lt;250,7.5%,5%))</f>
        <v>-0.05</v>
      </c>
      <c r="D49" s="33">
        <f>IF(C46&lt;=80,C46*0.9,IF(C46&lt;250,C46*0.925,C46*0.95))</f>
        <v>1196.5506499999999</v>
      </c>
    </row>
    <row r="50" spans="1:6" ht="17.25" customHeight="1">
      <c r="B50" s="541"/>
      <c r="C50" s="46">
        <f>IF(C46&lt;=80, 10%, IF(C46&lt;250, 7.5%, 5%))</f>
        <v>0.05</v>
      </c>
      <c r="D50" s="33">
        <f>IF(C46&lt;=80, C46*1.1, IF(C46&lt;250, C46*1.075, C46*1.05))</f>
        <v>1322.50335</v>
      </c>
    </row>
    <row r="51" spans="1:6" ht="16.5" customHeight="1">
      <c r="A51" s="15"/>
      <c r="B51" s="16"/>
      <c r="C51" s="12"/>
      <c r="D51" s="17"/>
      <c r="E51" s="12"/>
      <c r="F51" s="18"/>
    </row>
    <row r="52" spans="1:6" ht="16.5" customHeight="1">
      <c r="A52" s="12"/>
      <c r="B52" s="19" t="s">
        <v>22</v>
      </c>
      <c r="C52" s="19"/>
      <c r="D52" s="20" t="s">
        <v>23</v>
      </c>
      <c r="E52" s="21"/>
      <c r="F52" s="20" t="s">
        <v>24</v>
      </c>
    </row>
    <row r="53" spans="1:6" ht="34.5" customHeight="1">
      <c r="A53" s="22" t="s">
        <v>25</v>
      </c>
      <c r="B53" s="23"/>
      <c r="C53" s="24"/>
      <c r="D53" s="23"/>
      <c r="E53" s="13"/>
      <c r="F53" s="25"/>
    </row>
    <row r="54" spans="1:6" ht="34.5" customHeight="1">
      <c r="A54" s="22" t="s">
        <v>26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zoomScale="60" zoomScaleNormal="40" zoomScalePageLayoutView="55" workbookViewId="0">
      <selection activeCell="E26" sqref="E26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48" t="s">
        <v>41</v>
      </c>
      <c r="B1" s="548"/>
      <c r="C1" s="548"/>
      <c r="D1" s="548"/>
      <c r="E1" s="548"/>
      <c r="F1" s="548"/>
      <c r="G1" s="548"/>
      <c r="H1" s="548"/>
      <c r="I1" s="548"/>
    </row>
    <row r="2" spans="1:9" ht="18.75" customHeight="1">
      <c r="A2" s="548"/>
      <c r="B2" s="548"/>
      <c r="C2" s="548"/>
      <c r="D2" s="548"/>
      <c r="E2" s="548"/>
      <c r="F2" s="548"/>
      <c r="G2" s="548"/>
      <c r="H2" s="548"/>
      <c r="I2" s="548"/>
    </row>
    <row r="3" spans="1:9" ht="18.75" customHeight="1">
      <c r="A3" s="548"/>
      <c r="B3" s="548"/>
      <c r="C3" s="548"/>
      <c r="D3" s="548"/>
      <c r="E3" s="548"/>
      <c r="F3" s="548"/>
      <c r="G3" s="548"/>
      <c r="H3" s="548"/>
      <c r="I3" s="548"/>
    </row>
    <row r="4" spans="1:9" ht="18.75" customHeight="1">
      <c r="A4" s="548"/>
      <c r="B4" s="548"/>
      <c r="C4" s="548"/>
      <c r="D4" s="548"/>
      <c r="E4" s="548"/>
      <c r="F4" s="548"/>
      <c r="G4" s="548"/>
      <c r="H4" s="548"/>
      <c r="I4" s="548"/>
    </row>
    <row r="5" spans="1:9" ht="18.75" customHeight="1">
      <c r="A5" s="548"/>
      <c r="B5" s="548"/>
      <c r="C5" s="548"/>
      <c r="D5" s="548"/>
      <c r="E5" s="548"/>
      <c r="F5" s="548"/>
      <c r="G5" s="548"/>
      <c r="H5" s="548"/>
      <c r="I5" s="548"/>
    </row>
    <row r="6" spans="1:9" ht="18.75" customHeight="1">
      <c r="A6" s="548"/>
      <c r="B6" s="548"/>
      <c r="C6" s="548"/>
      <c r="D6" s="548"/>
      <c r="E6" s="548"/>
      <c r="F6" s="548"/>
      <c r="G6" s="548"/>
      <c r="H6" s="548"/>
      <c r="I6" s="548"/>
    </row>
    <row r="7" spans="1:9" ht="18.75" customHeight="1">
      <c r="A7" s="548"/>
      <c r="B7" s="548"/>
      <c r="C7" s="548"/>
      <c r="D7" s="548"/>
      <c r="E7" s="548"/>
      <c r="F7" s="548"/>
      <c r="G7" s="548"/>
      <c r="H7" s="548"/>
      <c r="I7" s="548"/>
    </row>
    <row r="8" spans="1:9">
      <c r="A8" s="549" t="s">
        <v>42</v>
      </c>
      <c r="B8" s="549"/>
      <c r="C8" s="549"/>
      <c r="D8" s="549"/>
      <c r="E8" s="549"/>
      <c r="F8" s="549"/>
      <c r="G8" s="549"/>
      <c r="H8" s="549"/>
      <c r="I8" s="549"/>
    </row>
    <row r="9" spans="1:9">
      <c r="A9" s="549"/>
      <c r="B9" s="549"/>
      <c r="C9" s="549"/>
      <c r="D9" s="549"/>
      <c r="E9" s="549"/>
      <c r="F9" s="549"/>
      <c r="G9" s="549"/>
      <c r="H9" s="549"/>
      <c r="I9" s="549"/>
    </row>
    <row r="10" spans="1:9">
      <c r="A10" s="549"/>
      <c r="B10" s="549"/>
      <c r="C10" s="549"/>
      <c r="D10" s="549"/>
      <c r="E10" s="549"/>
      <c r="F10" s="549"/>
      <c r="G10" s="549"/>
      <c r="H10" s="549"/>
      <c r="I10" s="549"/>
    </row>
    <row r="11" spans="1:9">
      <c r="A11" s="549"/>
      <c r="B11" s="549"/>
      <c r="C11" s="549"/>
      <c r="D11" s="549"/>
      <c r="E11" s="549"/>
      <c r="F11" s="549"/>
      <c r="G11" s="549"/>
      <c r="H11" s="549"/>
      <c r="I11" s="549"/>
    </row>
    <row r="12" spans="1:9">
      <c r="A12" s="549"/>
      <c r="B12" s="549"/>
      <c r="C12" s="549"/>
      <c r="D12" s="549"/>
      <c r="E12" s="549"/>
      <c r="F12" s="549"/>
      <c r="G12" s="549"/>
      <c r="H12" s="549"/>
      <c r="I12" s="549"/>
    </row>
    <row r="13" spans="1:9">
      <c r="A13" s="549"/>
      <c r="B13" s="549"/>
      <c r="C13" s="549"/>
      <c r="D13" s="549"/>
      <c r="E13" s="549"/>
      <c r="F13" s="549"/>
      <c r="G13" s="549"/>
      <c r="H13" s="549"/>
      <c r="I13" s="549"/>
    </row>
    <row r="14" spans="1:9">
      <c r="A14" s="549"/>
      <c r="B14" s="549"/>
      <c r="C14" s="549"/>
      <c r="D14" s="549"/>
      <c r="E14" s="549"/>
      <c r="F14" s="549"/>
      <c r="G14" s="549"/>
      <c r="H14" s="549"/>
      <c r="I14" s="549"/>
    </row>
    <row r="15" spans="1:9" ht="19.5" customHeight="1">
      <c r="A15" s="50"/>
    </row>
    <row r="16" spans="1:9" ht="19.5" customHeight="1">
      <c r="A16" s="582" t="s">
        <v>27</v>
      </c>
      <c r="B16" s="583"/>
      <c r="C16" s="583"/>
      <c r="D16" s="583"/>
      <c r="E16" s="583"/>
      <c r="F16" s="583"/>
      <c r="G16" s="583"/>
      <c r="H16" s="584"/>
    </row>
    <row r="17" spans="1:14" ht="20.25" customHeight="1">
      <c r="A17" s="585" t="s">
        <v>43</v>
      </c>
      <c r="B17" s="585"/>
      <c r="C17" s="585"/>
      <c r="D17" s="585"/>
      <c r="E17" s="585"/>
      <c r="F17" s="585"/>
      <c r="G17" s="585"/>
      <c r="H17" s="585"/>
    </row>
    <row r="18" spans="1:14" ht="26.25" customHeight="1">
      <c r="A18" s="52" t="s">
        <v>29</v>
      </c>
      <c r="B18" s="581" t="s">
        <v>5</v>
      </c>
      <c r="C18" s="581"/>
      <c r="D18" s="219"/>
      <c r="E18" s="53"/>
      <c r="F18" s="54"/>
      <c r="G18" s="54"/>
      <c r="H18" s="54"/>
    </row>
    <row r="19" spans="1:14" ht="26.25" customHeight="1">
      <c r="A19" s="52" t="s">
        <v>30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>
      <c r="A20" s="52" t="s">
        <v>31</v>
      </c>
      <c r="B20" s="586" t="s">
        <v>9</v>
      </c>
      <c r="C20" s="586"/>
      <c r="D20" s="54"/>
      <c r="E20" s="54"/>
      <c r="F20" s="54"/>
      <c r="G20" s="54"/>
      <c r="H20" s="54"/>
    </row>
    <row r="21" spans="1:14" ht="26.25" customHeight="1">
      <c r="A21" s="52" t="s">
        <v>32</v>
      </c>
      <c r="B21" s="586" t="s">
        <v>11</v>
      </c>
      <c r="C21" s="586"/>
      <c r="D21" s="586"/>
      <c r="E21" s="586"/>
      <c r="F21" s="586"/>
      <c r="G21" s="586"/>
      <c r="H21" s="586"/>
      <c r="I21" s="56"/>
    </row>
    <row r="22" spans="1:14" ht="26.25" customHeight="1">
      <c r="A22" s="52" t="s">
        <v>33</v>
      </c>
      <c r="B22" s="57">
        <v>42530.559791666667</v>
      </c>
      <c r="C22" s="54"/>
      <c r="D22" s="54"/>
      <c r="E22" s="54"/>
      <c r="F22" s="54"/>
      <c r="G22" s="54"/>
      <c r="H22" s="54"/>
    </row>
    <row r="23" spans="1:14" ht="26.25" customHeight="1">
      <c r="A23" s="52" t="s">
        <v>34</v>
      </c>
      <c r="B23" s="240">
        <v>42539.559791666667</v>
      </c>
      <c r="C23" s="54"/>
      <c r="D23" s="54"/>
      <c r="E23" s="54"/>
      <c r="F23" s="54"/>
      <c r="G23" s="54"/>
      <c r="H23" s="54"/>
    </row>
    <row r="24" spans="1:14" ht="18.75">
      <c r="A24" s="52"/>
      <c r="B24" s="58"/>
    </row>
    <row r="25" spans="1:14" ht="18.75">
      <c r="A25" s="59" t="s">
        <v>1</v>
      </c>
      <c r="B25" s="58"/>
    </row>
    <row r="26" spans="1:14" ht="26.25" customHeight="1">
      <c r="A26" s="60" t="s">
        <v>4</v>
      </c>
      <c r="B26" s="581" t="s">
        <v>121</v>
      </c>
      <c r="C26" s="581"/>
    </row>
    <row r="27" spans="1:14" ht="26.25" customHeight="1">
      <c r="A27" s="61" t="s">
        <v>44</v>
      </c>
      <c r="B27" s="579" t="s">
        <v>122</v>
      </c>
      <c r="C27" s="579"/>
    </row>
    <row r="28" spans="1:14" ht="27" customHeight="1">
      <c r="A28" s="61" t="s">
        <v>6</v>
      </c>
      <c r="B28" s="421">
        <v>99.8</v>
      </c>
    </row>
    <row r="29" spans="1:14" s="3" customFormat="1" ht="27" customHeight="1">
      <c r="A29" s="61" t="s">
        <v>45</v>
      </c>
      <c r="B29" s="422">
        <v>0</v>
      </c>
      <c r="C29" s="556" t="s">
        <v>46</v>
      </c>
      <c r="D29" s="557"/>
      <c r="E29" s="557"/>
      <c r="F29" s="557"/>
      <c r="G29" s="558"/>
      <c r="I29" s="64"/>
      <c r="J29" s="64"/>
      <c r="K29" s="64"/>
      <c r="L29" s="64"/>
    </row>
    <row r="30" spans="1:14" s="3" customFormat="1" ht="19.5" customHeight="1">
      <c r="A30" s="61" t="s">
        <v>47</v>
      </c>
      <c r="B30" s="65">
        <f>B28-B29</f>
        <v>99.8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>
      <c r="A31" s="61" t="s">
        <v>48</v>
      </c>
      <c r="B31" s="68">
        <v>1</v>
      </c>
      <c r="C31" s="559" t="s">
        <v>49</v>
      </c>
      <c r="D31" s="560"/>
      <c r="E31" s="560"/>
      <c r="F31" s="560"/>
      <c r="G31" s="560"/>
      <c r="H31" s="561"/>
      <c r="I31" s="64"/>
      <c r="J31" s="64"/>
      <c r="K31" s="64"/>
      <c r="L31" s="64"/>
    </row>
    <row r="32" spans="1:14" s="3" customFormat="1" ht="27" customHeight="1">
      <c r="A32" s="61" t="s">
        <v>50</v>
      </c>
      <c r="B32" s="68">
        <v>1</v>
      </c>
      <c r="C32" s="559" t="s">
        <v>51</v>
      </c>
      <c r="D32" s="560"/>
      <c r="E32" s="560"/>
      <c r="F32" s="560"/>
      <c r="G32" s="560"/>
      <c r="H32" s="561"/>
      <c r="I32" s="64"/>
      <c r="J32" s="64"/>
      <c r="K32" s="64"/>
      <c r="L32" s="69"/>
      <c r="M32" s="69"/>
      <c r="N32" s="70"/>
    </row>
    <row r="33" spans="1:14" s="3" customFormat="1" ht="17.25" customHeight="1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>
      <c r="A34" s="61" t="s">
        <v>52</v>
      </c>
      <c r="B34" s="73">
        <f>B31/B32</f>
        <v>1</v>
      </c>
      <c r="C34" s="51" t="s">
        <v>53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>
      <c r="A36" s="74" t="s">
        <v>54</v>
      </c>
      <c r="B36" s="75">
        <v>25</v>
      </c>
      <c r="C36" s="51"/>
      <c r="D36" s="562" t="s">
        <v>55</v>
      </c>
      <c r="E36" s="580"/>
      <c r="F36" s="562" t="s">
        <v>56</v>
      </c>
      <c r="G36" s="563"/>
      <c r="J36" s="64"/>
      <c r="K36" s="64"/>
      <c r="L36" s="69"/>
      <c r="M36" s="69"/>
      <c r="N36" s="70"/>
    </row>
    <row r="37" spans="1:14" s="3" customFormat="1" ht="27" customHeight="1">
      <c r="A37" s="76" t="s">
        <v>57</v>
      </c>
      <c r="B37" s="77">
        <v>1</v>
      </c>
      <c r="C37" s="78" t="s">
        <v>58</v>
      </c>
      <c r="D37" s="79" t="s">
        <v>59</v>
      </c>
      <c r="E37" s="80" t="s">
        <v>60</v>
      </c>
      <c r="F37" s="79" t="s">
        <v>59</v>
      </c>
      <c r="G37" s="81" t="s">
        <v>60</v>
      </c>
      <c r="I37" s="82" t="s">
        <v>61</v>
      </c>
      <c r="J37" s="64"/>
      <c r="K37" s="64"/>
      <c r="L37" s="69"/>
      <c r="M37" s="69"/>
      <c r="N37" s="70"/>
    </row>
    <row r="38" spans="1:14" s="3" customFormat="1" ht="26.25" customHeight="1">
      <c r="A38" s="76" t="s">
        <v>62</v>
      </c>
      <c r="B38" s="77">
        <v>1</v>
      </c>
      <c r="C38" s="83">
        <v>1</v>
      </c>
      <c r="D38" s="267">
        <v>54062389</v>
      </c>
      <c r="E38" s="85">
        <f>IF(ISBLANK(D38),"-",$D$48/$D$45*D38)</f>
        <v>61085622.982546054</v>
      </c>
      <c r="F38" s="267">
        <v>60144807</v>
      </c>
      <c r="G38" s="86">
        <f>IF(ISBLANK(F38),"-",$D$48/$F$45*F38)</f>
        <v>59810775.779427059</v>
      </c>
      <c r="I38" s="87"/>
      <c r="J38" s="64"/>
      <c r="K38" s="64"/>
      <c r="L38" s="69"/>
      <c r="M38" s="69"/>
      <c r="N38" s="70"/>
    </row>
    <row r="39" spans="1:14" s="3" customFormat="1" ht="26.25" customHeight="1">
      <c r="A39" s="76" t="s">
        <v>63</v>
      </c>
      <c r="B39" s="77">
        <v>1</v>
      </c>
      <c r="C39" s="88">
        <v>2</v>
      </c>
      <c r="D39" s="272">
        <v>54125510</v>
      </c>
      <c r="E39" s="90">
        <f>IF(ISBLANK(D39),"-",$D$48/$D$45*D39)</f>
        <v>61156944.018845081</v>
      </c>
      <c r="F39" s="272">
        <v>59961993</v>
      </c>
      <c r="G39" s="91">
        <f>IF(ISBLANK(F39),"-",$D$48/$F$45*F39)</f>
        <v>59628977.088754721</v>
      </c>
      <c r="I39" s="564">
        <f>ABS((F43/D43*D42)-F42)/D42</f>
        <v>2.7022277906109057E-2</v>
      </c>
      <c r="J39" s="64"/>
      <c r="K39" s="64"/>
      <c r="L39" s="69"/>
      <c r="M39" s="69"/>
      <c r="N39" s="70"/>
    </row>
    <row r="40" spans="1:14" ht="26.25" customHeight="1">
      <c r="A40" s="76" t="s">
        <v>64</v>
      </c>
      <c r="B40" s="77">
        <v>1</v>
      </c>
      <c r="C40" s="88">
        <v>3</v>
      </c>
      <c r="D40" s="272">
        <v>54203217</v>
      </c>
      <c r="E40" s="90">
        <f>IF(ISBLANK(D40),"-",$D$48/$D$45*D40)</f>
        <v>61244745.919443756</v>
      </c>
      <c r="F40" s="272">
        <v>60017075</v>
      </c>
      <c r="G40" s="91">
        <f>IF(ISBLANK(F40),"-",$D$48/$F$45*F40)</f>
        <v>59683753.175266773</v>
      </c>
      <c r="I40" s="564"/>
      <c r="L40" s="69"/>
      <c r="M40" s="69"/>
      <c r="N40" s="92"/>
    </row>
    <row r="41" spans="1:14" ht="27" customHeight="1">
      <c r="A41" s="76" t="s">
        <v>65</v>
      </c>
      <c r="B41" s="77">
        <v>1</v>
      </c>
      <c r="C41" s="93">
        <v>4</v>
      </c>
      <c r="D41" s="277"/>
      <c r="E41" s="95" t="str">
        <f>IF(ISBLANK(D41),"-",$D$48/$D$45*D41)</f>
        <v>-</v>
      </c>
      <c r="F41" s="277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>
      <c r="A42" s="76" t="s">
        <v>66</v>
      </c>
      <c r="B42" s="77">
        <v>1</v>
      </c>
      <c r="C42" s="98" t="s">
        <v>67</v>
      </c>
      <c r="D42" s="99">
        <f>AVERAGE(D38:D41)</f>
        <v>54130372</v>
      </c>
      <c r="E42" s="100">
        <f>AVERAGE(E38:E41)</f>
        <v>61162437.640278302</v>
      </c>
      <c r="F42" s="99">
        <f>AVERAGE(F38:F41)</f>
        <v>60041291.666666664</v>
      </c>
      <c r="G42" s="101">
        <f>AVERAGE(G38:G41)</f>
        <v>59707835.347816192</v>
      </c>
      <c r="H42" s="102"/>
    </row>
    <row r="43" spans="1:14" ht="26.25" customHeight="1">
      <c r="A43" s="76" t="s">
        <v>68</v>
      </c>
      <c r="B43" s="77">
        <v>1</v>
      </c>
      <c r="C43" s="103" t="s">
        <v>69</v>
      </c>
      <c r="D43" s="104">
        <v>22.17</v>
      </c>
      <c r="E43" s="92"/>
      <c r="F43" s="104">
        <v>25.19</v>
      </c>
      <c r="H43" s="102"/>
    </row>
    <row r="44" spans="1:14" ht="26.25" customHeight="1">
      <c r="A44" s="76" t="s">
        <v>70</v>
      </c>
      <c r="B44" s="77">
        <v>1</v>
      </c>
      <c r="C44" s="105" t="s">
        <v>71</v>
      </c>
      <c r="D44" s="106">
        <f>D43*$B$34</f>
        <v>22.17</v>
      </c>
      <c r="E44" s="107"/>
      <c r="F44" s="106">
        <f>F43*$B$34</f>
        <v>25.19</v>
      </c>
      <c r="H44" s="102"/>
    </row>
    <row r="45" spans="1:14" ht="19.5" customHeight="1">
      <c r="A45" s="76" t="s">
        <v>72</v>
      </c>
      <c r="B45" s="108">
        <f>(B44/B43)*(B42/B41)*(B40/B39)*(B38/B37)*B36</f>
        <v>25</v>
      </c>
      <c r="C45" s="105" t="s">
        <v>73</v>
      </c>
      <c r="D45" s="109">
        <f>D44*$B$30/100</f>
        <v>22.125660000000003</v>
      </c>
      <c r="E45" s="110"/>
      <c r="F45" s="109">
        <f>F44*$B$30/100</f>
        <v>25.139620000000001</v>
      </c>
      <c r="H45" s="102"/>
    </row>
    <row r="46" spans="1:14" ht="19.5" customHeight="1">
      <c r="A46" s="550" t="s">
        <v>74</v>
      </c>
      <c r="B46" s="551"/>
      <c r="C46" s="105" t="s">
        <v>75</v>
      </c>
      <c r="D46" s="111">
        <f>D45/$B$45</f>
        <v>0.8850264000000001</v>
      </c>
      <c r="E46" s="112"/>
      <c r="F46" s="113">
        <f>F45/$B$45</f>
        <v>1.0055848000000001</v>
      </c>
      <c r="H46" s="102"/>
    </row>
    <row r="47" spans="1:14" ht="27" customHeight="1">
      <c r="A47" s="552"/>
      <c r="B47" s="553"/>
      <c r="C47" s="114" t="s">
        <v>76</v>
      </c>
      <c r="D47" s="115">
        <v>1</v>
      </c>
      <c r="E47" s="116"/>
      <c r="F47" s="112"/>
      <c r="H47" s="102"/>
    </row>
    <row r="48" spans="1:14" ht="18.75">
      <c r="C48" s="117" t="s">
        <v>77</v>
      </c>
      <c r="D48" s="109">
        <f>D47*$B$45</f>
        <v>25</v>
      </c>
      <c r="F48" s="118"/>
      <c r="H48" s="102"/>
    </row>
    <row r="49" spans="1:12" ht="19.5" customHeight="1">
      <c r="C49" s="119" t="s">
        <v>78</v>
      </c>
      <c r="D49" s="120">
        <f>D48/B34</f>
        <v>25</v>
      </c>
      <c r="F49" s="118"/>
      <c r="H49" s="102"/>
    </row>
    <row r="50" spans="1:12" ht="18.75">
      <c r="C50" s="74" t="s">
        <v>79</v>
      </c>
      <c r="D50" s="121">
        <f>AVERAGE(E38:E41,G38:G41)</f>
        <v>60435136.494047247</v>
      </c>
      <c r="F50" s="122"/>
      <c r="H50" s="102"/>
    </row>
    <row r="51" spans="1:12" ht="18.75">
      <c r="C51" s="76" t="s">
        <v>80</v>
      </c>
      <c r="D51" s="123">
        <f>STDEV(E38:E41,G38:G41)/D50</f>
        <v>1.3245401514758007E-2</v>
      </c>
      <c r="F51" s="122"/>
      <c r="H51" s="102"/>
    </row>
    <row r="52" spans="1:12" ht="19.5" customHeight="1">
      <c r="C52" s="124" t="s">
        <v>20</v>
      </c>
      <c r="D52" s="125">
        <f>COUNT(E38:E41,G38:G41)</f>
        <v>6</v>
      </c>
      <c r="F52" s="122"/>
    </row>
    <row r="54" spans="1:12" ht="18.75">
      <c r="A54" s="126" t="s">
        <v>1</v>
      </c>
      <c r="B54" s="127" t="s">
        <v>81</v>
      </c>
    </row>
    <row r="55" spans="1:12" ht="18.75">
      <c r="A55" s="51" t="s">
        <v>82</v>
      </c>
      <c r="B55" s="128" t="str">
        <f>B21</f>
        <v/>
      </c>
    </row>
    <row r="56" spans="1:12" ht="26.25" customHeight="1">
      <c r="A56" s="129" t="s">
        <v>83</v>
      </c>
      <c r="B56" s="130">
        <v>200</v>
      </c>
      <c r="C56" s="51" t="str">
        <f>B20</f>
        <v/>
      </c>
      <c r="H56" s="131"/>
    </row>
    <row r="57" spans="1:12" ht="18.75">
      <c r="A57" s="128" t="s">
        <v>84</v>
      </c>
      <c r="B57" s="220">
        <f>Uniformity!C46</f>
        <v>1259.527</v>
      </c>
      <c r="H57" s="131"/>
    </row>
    <row r="58" spans="1:12" ht="19.5" customHeight="1">
      <c r="H58" s="131"/>
    </row>
    <row r="59" spans="1:12" s="3" customFormat="1" ht="27" customHeight="1" thickBot="1">
      <c r="A59" s="74" t="s">
        <v>85</v>
      </c>
      <c r="B59" s="75">
        <v>50</v>
      </c>
      <c r="C59" s="51"/>
      <c r="D59" s="132" t="s">
        <v>86</v>
      </c>
      <c r="E59" s="133" t="s">
        <v>58</v>
      </c>
      <c r="F59" s="133" t="s">
        <v>59</v>
      </c>
      <c r="G59" s="133" t="s">
        <v>87</v>
      </c>
      <c r="H59" s="78" t="s">
        <v>88</v>
      </c>
      <c r="L59" s="64"/>
    </row>
    <row r="60" spans="1:12" s="3" customFormat="1" ht="26.25" customHeight="1">
      <c r="A60" s="76" t="s">
        <v>89</v>
      </c>
      <c r="B60" s="77">
        <v>10</v>
      </c>
      <c r="C60" s="567" t="s">
        <v>90</v>
      </c>
      <c r="D60" s="570">
        <v>1478.81</v>
      </c>
      <c r="E60" s="134">
        <v>1</v>
      </c>
      <c r="F60" s="135">
        <v>60577908</v>
      </c>
      <c r="G60" s="221">
        <f>IF(ISBLANK(F60),"-",(F60/$D$50*$D$47*$B$68)*($B$57/$D$60))</f>
        <v>213.43216792345129</v>
      </c>
      <c r="H60" s="136">
        <f t="shared" ref="H60:H71" si="0">IF(ISBLANK(F60),"-",G60/$B$56)</f>
        <v>1.0671608396172565</v>
      </c>
      <c r="L60" s="64"/>
    </row>
    <row r="61" spans="1:12" s="3" customFormat="1" ht="26.25" customHeight="1">
      <c r="A61" s="76" t="s">
        <v>91</v>
      </c>
      <c r="B61" s="77">
        <v>50</v>
      </c>
      <c r="C61" s="568"/>
      <c r="D61" s="571"/>
      <c r="E61" s="137">
        <v>2</v>
      </c>
      <c r="F61" s="89">
        <v>60399459</v>
      </c>
      <c r="G61" s="222">
        <f>IF(ISBLANK(F61),"-",(F61/$D$50*$D$47*$B$68)*($B$57/$D$60))</f>
        <v>212.80344438064142</v>
      </c>
      <c r="H61" s="138">
        <f t="shared" si="0"/>
        <v>1.0640172219032071</v>
      </c>
      <c r="L61" s="64"/>
    </row>
    <row r="62" spans="1:12" s="3" customFormat="1" ht="26.25" customHeight="1">
      <c r="A62" s="76" t="s">
        <v>92</v>
      </c>
      <c r="B62" s="77">
        <v>1</v>
      </c>
      <c r="C62" s="568"/>
      <c r="D62" s="571"/>
      <c r="E62" s="137">
        <v>3</v>
      </c>
      <c r="F62" s="139">
        <v>60198821</v>
      </c>
      <c r="G62" s="222">
        <f>IF(ISBLANK(F62),"-",(F62/$D$50*$D$47*$B$68)*($B$57/$D$60))</f>
        <v>212.09654305767356</v>
      </c>
      <c r="H62" s="138">
        <f t="shared" si="0"/>
        <v>1.0604827152883678</v>
      </c>
      <c r="L62" s="64"/>
    </row>
    <row r="63" spans="1:12" ht="27" customHeight="1" thickBot="1">
      <c r="A63" s="76" t="s">
        <v>93</v>
      </c>
      <c r="B63" s="77">
        <v>1</v>
      </c>
      <c r="C63" s="578"/>
      <c r="D63" s="572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>
      <c r="A64" s="76" t="s">
        <v>94</v>
      </c>
      <c r="B64" s="77">
        <v>1</v>
      </c>
      <c r="C64" s="567" t="s">
        <v>95</v>
      </c>
      <c r="D64" s="570">
        <v>1377.05</v>
      </c>
      <c r="E64" s="134">
        <v>1</v>
      </c>
      <c r="F64" s="135">
        <v>56297358</v>
      </c>
      <c r="G64" s="223">
        <f>IF(ISBLANK(F64),"-",(F64/$D$50*$D$47*$B$68)*($B$57/$D$64))</f>
        <v>213.00818296480693</v>
      </c>
      <c r="H64" s="142">
        <f t="shared" si="0"/>
        <v>1.0650409148240347</v>
      </c>
    </row>
    <row r="65" spans="1:8" ht="26.25" customHeight="1">
      <c r="A65" s="76" t="s">
        <v>96</v>
      </c>
      <c r="B65" s="77">
        <v>1</v>
      </c>
      <c r="C65" s="568"/>
      <c r="D65" s="571"/>
      <c r="E65" s="137">
        <v>2</v>
      </c>
      <c r="F65" s="89">
        <v>56305959</v>
      </c>
      <c r="G65" s="224">
        <f>IF(ISBLANK(F65),"-",(F65/$D$50*$D$47*$B$68)*($B$57/$D$64))</f>
        <v>213.04072593745724</v>
      </c>
      <c r="H65" s="143">
        <f t="shared" si="0"/>
        <v>1.0652036296872862</v>
      </c>
    </row>
    <row r="66" spans="1:8" ht="26.25" customHeight="1">
      <c r="A66" s="76" t="s">
        <v>97</v>
      </c>
      <c r="B66" s="77">
        <v>1</v>
      </c>
      <c r="C66" s="568"/>
      <c r="D66" s="571"/>
      <c r="E66" s="137">
        <v>3</v>
      </c>
      <c r="F66" s="89">
        <v>56244316</v>
      </c>
      <c r="G66" s="224">
        <f>IF(ISBLANK(F66),"-",(F66/$D$50*$D$47*$B$68)*($B$57/$D$64))</f>
        <v>212.80749184106324</v>
      </c>
      <c r="H66" s="143">
        <f t="shared" si="0"/>
        <v>1.0640374592053161</v>
      </c>
    </row>
    <row r="67" spans="1:8" ht="27" customHeight="1" thickBot="1">
      <c r="A67" s="76" t="s">
        <v>98</v>
      </c>
      <c r="B67" s="77">
        <v>1</v>
      </c>
      <c r="C67" s="578"/>
      <c r="D67" s="572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>
      <c r="A68" s="76" t="s">
        <v>99</v>
      </c>
      <c r="B68" s="145">
        <f>(B67/B66)*(B65/B64)*(B63/B62)*(B61/B60)*B59</f>
        <v>250</v>
      </c>
      <c r="C68" s="567" t="s">
        <v>100</v>
      </c>
      <c r="D68" s="570">
        <v>1469.95</v>
      </c>
      <c r="E68" s="134">
        <v>1</v>
      </c>
      <c r="F68" s="135">
        <v>61492981</v>
      </c>
      <c r="G68" s="223">
        <f>IF(ISBLANK(F68),"-",(F68/$D$50*$D$47*$B$68)*($B$57/$D$68))</f>
        <v>217.96209189902919</v>
      </c>
      <c r="H68" s="138">
        <f t="shared" si="0"/>
        <v>1.0898104594951459</v>
      </c>
    </row>
    <row r="69" spans="1:8" ht="27" customHeight="1" thickBot="1">
      <c r="A69" s="124" t="s">
        <v>101</v>
      </c>
      <c r="B69" s="146">
        <f>(D47*B68)/B56*B57</f>
        <v>1574.4087500000001</v>
      </c>
      <c r="C69" s="568"/>
      <c r="D69" s="571"/>
      <c r="E69" s="137">
        <v>2</v>
      </c>
      <c r="F69" s="89">
        <v>61526649</v>
      </c>
      <c r="G69" s="224">
        <f>IF(ISBLANK(F69),"-",(F69/$D$50*$D$47*$B$68)*($B$57/$D$68))</f>
        <v>218.08142824588899</v>
      </c>
      <c r="H69" s="138">
        <f t="shared" si="0"/>
        <v>1.0904071412294449</v>
      </c>
    </row>
    <row r="70" spans="1:8" ht="26.25" customHeight="1">
      <c r="A70" s="573" t="s">
        <v>74</v>
      </c>
      <c r="B70" s="574"/>
      <c r="C70" s="568"/>
      <c r="D70" s="571"/>
      <c r="E70" s="137">
        <v>3</v>
      </c>
      <c r="F70" s="89">
        <v>61171613</v>
      </c>
      <c r="G70" s="224">
        <f>IF(ISBLANK(F70),"-",(F70/$D$50*$D$47*$B$68)*($B$57/$D$68))</f>
        <v>216.82300186939793</v>
      </c>
      <c r="H70" s="138">
        <f t="shared" si="0"/>
        <v>1.0841150093469896</v>
      </c>
    </row>
    <row r="71" spans="1:8" ht="27" customHeight="1" thickBot="1">
      <c r="A71" s="575"/>
      <c r="B71" s="576"/>
      <c r="C71" s="569"/>
      <c r="D71" s="572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>
      <c r="A72" s="148"/>
      <c r="B72" s="148"/>
      <c r="C72" s="148"/>
      <c r="D72" s="148"/>
      <c r="E72" s="148"/>
      <c r="F72" s="150" t="s">
        <v>67</v>
      </c>
      <c r="G72" s="230">
        <f>AVERAGE(G60:G71)</f>
        <v>214.45056423548996</v>
      </c>
      <c r="H72" s="151">
        <f>AVERAGE(H60:H71)</f>
        <v>1.0722528211774498</v>
      </c>
    </row>
    <row r="73" spans="1:8" ht="29.25" customHeight="1">
      <c r="C73" s="148"/>
      <c r="D73" s="148"/>
      <c r="E73" s="148"/>
      <c r="F73" s="152" t="s">
        <v>80</v>
      </c>
      <c r="G73" s="226">
        <f>STDEV(G60:G71)/G72</f>
        <v>1.1326797048077531E-2</v>
      </c>
      <c r="H73" s="226">
        <f>STDEV(H60:H71)/H72</f>
        <v>1.132679704806927E-2</v>
      </c>
    </row>
    <row r="74" spans="1:8" ht="27" customHeight="1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>
      <c r="A76" s="60" t="s">
        <v>102</v>
      </c>
      <c r="B76" s="156" t="s">
        <v>103</v>
      </c>
      <c r="C76" s="554" t="str">
        <f>B20</f>
        <v/>
      </c>
      <c r="D76" s="554"/>
      <c r="E76" s="157" t="s">
        <v>104</v>
      </c>
      <c r="F76" s="157"/>
      <c r="G76" s="158">
        <f>H72</f>
        <v>1.0722528211774498</v>
      </c>
      <c r="H76" s="159"/>
    </row>
    <row r="77" spans="1:8" ht="18.75">
      <c r="A77" s="59" t="s">
        <v>105</v>
      </c>
      <c r="B77" s="59" t="s">
        <v>106</v>
      </c>
    </row>
    <row r="78" spans="1:8" ht="18.75">
      <c r="A78" s="59"/>
      <c r="B78" s="59"/>
    </row>
    <row r="79" spans="1:8" ht="26.25" customHeight="1">
      <c r="A79" s="60" t="s">
        <v>4</v>
      </c>
      <c r="B79" s="577" t="str">
        <f>B26</f>
        <v>Lopinavir USP</v>
      </c>
      <c r="C79" s="577"/>
    </row>
    <row r="80" spans="1:8" ht="26.25" customHeight="1">
      <c r="A80" s="61" t="s">
        <v>44</v>
      </c>
      <c r="B80" s="577" t="str">
        <f>B27</f>
        <v>F0I127</v>
      </c>
      <c r="C80" s="577"/>
    </row>
    <row r="81" spans="1:12" ht="27" customHeight="1">
      <c r="A81" s="61" t="s">
        <v>6</v>
      </c>
      <c r="B81" s="160">
        <f>B28</f>
        <v>99.8</v>
      </c>
    </row>
    <row r="82" spans="1:12" s="3" customFormat="1" ht="27" customHeight="1">
      <c r="A82" s="61" t="s">
        <v>45</v>
      </c>
      <c r="B82" s="63">
        <v>0</v>
      </c>
      <c r="C82" s="556" t="s">
        <v>46</v>
      </c>
      <c r="D82" s="557"/>
      <c r="E82" s="557"/>
      <c r="F82" s="557"/>
      <c r="G82" s="558"/>
      <c r="I82" s="64"/>
      <c r="J82" s="64"/>
      <c r="K82" s="64"/>
      <c r="L82" s="64"/>
    </row>
    <row r="83" spans="1:12" s="3" customFormat="1" ht="19.5" customHeight="1">
      <c r="A83" s="61" t="s">
        <v>47</v>
      </c>
      <c r="B83" s="65">
        <f>B81-B82</f>
        <v>99.8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>
      <c r="A84" s="61" t="s">
        <v>48</v>
      </c>
      <c r="B84" s="68">
        <v>1</v>
      </c>
      <c r="C84" s="559" t="s">
        <v>107</v>
      </c>
      <c r="D84" s="560"/>
      <c r="E84" s="560"/>
      <c r="F84" s="560"/>
      <c r="G84" s="560"/>
      <c r="H84" s="561"/>
      <c r="I84" s="64"/>
      <c r="J84" s="64"/>
      <c r="K84" s="64"/>
      <c r="L84" s="64"/>
    </row>
    <row r="85" spans="1:12" s="3" customFormat="1" ht="27" customHeight="1">
      <c r="A85" s="61" t="s">
        <v>50</v>
      </c>
      <c r="B85" s="68">
        <v>1</v>
      </c>
      <c r="C85" s="559" t="s">
        <v>108</v>
      </c>
      <c r="D85" s="560"/>
      <c r="E85" s="560"/>
      <c r="F85" s="560"/>
      <c r="G85" s="560"/>
      <c r="H85" s="561"/>
      <c r="I85" s="64"/>
      <c r="J85" s="64"/>
      <c r="K85" s="64"/>
      <c r="L85" s="64"/>
    </row>
    <row r="86" spans="1:12" s="3" customFormat="1" ht="18.7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>
      <c r="A87" s="61" t="s">
        <v>52</v>
      </c>
      <c r="B87" s="73">
        <f>B84/B85</f>
        <v>1</v>
      </c>
      <c r="C87" s="51" t="s">
        <v>53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>
      <c r="A88" s="59"/>
      <c r="B88" s="59"/>
    </row>
    <row r="89" spans="1:12" ht="27" customHeight="1">
      <c r="A89" s="74" t="s">
        <v>54</v>
      </c>
      <c r="B89" s="75">
        <v>25</v>
      </c>
      <c r="D89" s="161" t="s">
        <v>55</v>
      </c>
      <c r="E89" s="162"/>
      <c r="F89" s="562" t="s">
        <v>56</v>
      </c>
      <c r="G89" s="563"/>
    </row>
    <row r="90" spans="1:12" ht="27" customHeight="1">
      <c r="A90" s="76" t="s">
        <v>57</v>
      </c>
      <c r="B90" s="77">
        <v>5</v>
      </c>
      <c r="C90" s="163" t="s">
        <v>58</v>
      </c>
      <c r="D90" s="79" t="s">
        <v>59</v>
      </c>
      <c r="E90" s="80" t="s">
        <v>60</v>
      </c>
      <c r="F90" s="79" t="s">
        <v>59</v>
      </c>
      <c r="G90" s="164" t="s">
        <v>60</v>
      </c>
      <c r="I90" s="82" t="s">
        <v>61</v>
      </c>
    </row>
    <row r="91" spans="1:12" ht="26.25" customHeight="1">
      <c r="A91" s="76" t="s">
        <v>62</v>
      </c>
      <c r="B91" s="77">
        <v>25</v>
      </c>
      <c r="C91" s="165">
        <v>1</v>
      </c>
      <c r="D91" s="84">
        <v>11081273</v>
      </c>
      <c r="E91" s="85">
        <f>IF(ISBLANK(D91),"-",$D$101/$D$98*D91)</f>
        <v>12100039.187393576</v>
      </c>
      <c r="F91" s="84">
        <v>11895564</v>
      </c>
      <c r="G91" s="86">
        <f>IF(ISBLANK(F91),"-",$D$101/$F$98*F91)</f>
        <v>12249149.921497945</v>
      </c>
      <c r="I91" s="87"/>
    </row>
    <row r="92" spans="1:12" ht="26.25" customHeight="1">
      <c r="A92" s="76" t="s">
        <v>63</v>
      </c>
      <c r="B92" s="77">
        <v>1</v>
      </c>
      <c r="C92" s="149">
        <v>2</v>
      </c>
      <c r="D92" s="89">
        <v>11070439</v>
      </c>
      <c r="E92" s="90">
        <f>IF(ISBLANK(D92),"-",$D$101/$D$98*D92)</f>
        <v>12088209.154458171</v>
      </c>
      <c r="F92" s="89">
        <v>11939274</v>
      </c>
      <c r="G92" s="91">
        <f>IF(ISBLANK(F92),"-",$D$101/$F$98*F92)</f>
        <v>12294159.165537881</v>
      </c>
      <c r="I92" s="564">
        <f>ABS((F96/D96*D95)-F95)/D95</f>
        <v>1.6698389375448153E-2</v>
      </c>
    </row>
    <row r="93" spans="1:12" ht="26.25" customHeight="1">
      <c r="A93" s="76" t="s">
        <v>64</v>
      </c>
      <c r="B93" s="77">
        <v>1</v>
      </c>
      <c r="C93" s="149">
        <v>3</v>
      </c>
      <c r="D93" s="89">
        <v>11071452</v>
      </c>
      <c r="E93" s="90">
        <f>IF(ISBLANK(D93),"-",$D$101/$D$98*D93)</f>
        <v>12089315.285468284</v>
      </c>
      <c r="F93" s="89">
        <v>11950305</v>
      </c>
      <c r="G93" s="91">
        <f>IF(ISBLANK(F93),"-",$D$101/$F$98*F93)</f>
        <v>12305518.053000806</v>
      </c>
      <c r="I93" s="564"/>
    </row>
    <row r="94" spans="1:12" ht="27" customHeight="1">
      <c r="A94" s="76" t="s">
        <v>65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>
      <c r="A95" s="76" t="s">
        <v>66</v>
      </c>
      <c r="B95" s="77">
        <v>1</v>
      </c>
      <c r="C95" s="168" t="s">
        <v>67</v>
      </c>
      <c r="D95" s="169">
        <f>AVERAGE(D91:D94)</f>
        <v>11074388</v>
      </c>
      <c r="E95" s="100">
        <f>AVERAGE(E91:E94)</f>
        <v>12092521.209106678</v>
      </c>
      <c r="F95" s="170">
        <f>AVERAGE(F91:F94)</f>
        <v>11928381</v>
      </c>
      <c r="G95" s="171">
        <f>AVERAGE(G91:G94)</f>
        <v>12282942.380012212</v>
      </c>
    </row>
    <row r="96" spans="1:12" ht="26.25" customHeight="1">
      <c r="A96" s="76" t="s">
        <v>68</v>
      </c>
      <c r="B96" s="62">
        <v>1</v>
      </c>
      <c r="C96" s="172" t="s">
        <v>109</v>
      </c>
      <c r="D96" s="173">
        <v>25.49</v>
      </c>
      <c r="E96" s="92"/>
      <c r="F96" s="104">
        <v>27.03</v>
      </c>
    </row>
    <row r="97" spans="1:10" ht="26.25" customHeight="1">
      <c r="A97" s="76" t="s">
        <v>70</v>
      </c>
      <c r="B97" s="62">
        <v>1</v>
      </c>
      <c r="C97" s="174" t="s">
        <v>110</v>
      </c>
      <c r="D97" s="175">
        <f>D96*$B$87</f>
        <v>25.49</v>
      </c>
      <c r="E97" s="107"/>
      <c r="F97" s="106">
        <f>F96*$B$87</f>
        <v>27.03</v>
      </c>
    </row>
    <row r="98" spans="1:10" ht="19.5" customHeight="1">
      <c r="A98" s="76" t="s">
        <v>72</v>
      </c>
      <c r="B98" s="176">
        <f>(B97/B96)*(B95/B94)*(B93/B92)*(B91/B90)*B89</f>
        <v>125</v>
      </c>
      <c r="C98" s="174" t="s">
        <v>111</v>
      </c>
      <c r="D98" s="177">
        <f>D97*$B$83/100</f>
        <v>25.439019999999996</v>
      </c>
      <c r="E98" s="110"/>
      <c r="F98" s="109">
        <f>F97*$B$83/100</f>
        <v>26.975940000000001</v>
      </c>
    </row>
    <row r="99" spans="1:10" ht="19.5" customHeight="1">
      <c r="A99" s="550" t="s">
        <v>74</v>
      </c>
      <c r="B99" s="565"/>
      <c r="C99" s="174" t="s">
        <v>112</v>
      </c>
      <c r="D99" s="178">
        <f>D98/$B$98</f>
        <v>0.20351215999999997</v>
      </c>
      <c r="E99" s="110"/>
      <c r="F99" s="113">
        <f>F98/$B$98</f>
        <v>0.21580752</v>
      </c>
      <c r="G99" s="179"/>
      <c r="H99" s="102"/>
    </row>
    <row r="100" spans="1:10" ht="19.5" customHeight="1">
      <c r="A100" s="552"/>
      <c r="B100" s="566"/>
      <c r="C100" s="174" t="s">
        <v>76</v>
      </c>
      <c r="D100" s="180">
        <f>$B$56/$B$116</f>
        <v>0.22222222222222221</v>
      </c>
      <c r="F100" s="118"/>
      <c r="G100" s="181"/>
      <c r="H100" s="102"/>
    </row>
    <row r="101" spans="1:10" ht="18.75">
      <c r="C101" s="174" t="s">
        <v>77</v>
      </c>
      <c r="D101" s="175">
        <f>D100*$B$98</f>
        <v>27.777777777777775</v>
      </c>
      <c r="F101" s="118"/>
      <c r="G101" s="179"/>
      <c r="H101" s="102"/>
    </row>
    <row r="102" spans="1:10" ht="19.5" customHeight="1">
      <c r="C102" s="182" t="s">
        <v>78</v>
      </c>
      <c r="D102" s="183">
        <f>D101/B34</f>
        <v>27.777777777777775</v>
      </c>
      <c r="F102" s="122"/>
      <c r="G102" s="179"/>
      <c r="H102" s="102"/>
      <c r="J102" s="184"/>
    </row>
    <row r="103" spans="1:10" ht="18.75">
      <c r="C103" s="185" t="s">
        <v>113</v>
      </c>
      <c r="D103" s="186">
        <f>AVERAGE(E91:E94,G91:G94)</f>
        <v>12187731.794559443</v>
      </c>
      <c r="F103" s="122"/>
      <c r="G103" s="187"/>
      <c r="H103" s="102"/>
      <c r="J103" s="188"/>
    </row>
    <row r="104" spans="1:10" ht="18.75">
      <c r="C104" s="152" t="s">
        <v>80</v>
      </c>
      <c r="D104" s="189">
        <f>STDEV(E91:E94,G91:G94)/D103</f>
        <v>8.7029295155938869E-3</v>
      </c>
      <c r="F104" s="122"/>
      <c r="G104" s="179"/>
      <c r="H104" s="102"/>
      <c r="J104" s="188"/>
    </row>
    <row r="105" spans="1:10" ht="19.5" customHeight="1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>
      <c r="A106" s="126"/>
      <c r="B106" s="126"/>
      <c r="C106" s="126"/>
      <c r="D106" s="126"/>
      <c r="E106" s="126"/>
    </row>
    <row r="107" spans="1:10" ht="26.25" customHeight="1">
      <c r="A107" s="74" t="s">
        <v>114</v>
      </c>
      <c r="B107" s="75">
        <v>900</v>
      </c>
      <c r="C107" s="191" t="s">
        <v>115</v>
      </c>
      <c r="D107" s="192" t="s">
        <v>59</v>
      </c>
      <c r="E107" s="193" t="s">
        <v>116</v>
      </c>
      <c r="F107" s="194" t="s">
        <v>117</v>
      </c>
    </row>
    <row r="108" spans="1:10" ht="26.25" customHeight="1">
      <c r="A108" s="76" t="s">
        <v>118</v>
      </c>
      <c r="B108" s="77">
        <v>1</v>
      </c>
      <c r="C108" s="195">
        <v>1</v>
      </c>
      <c r="D108" s="196">
        <v>12600522</v>
      </c>
      <c r="E108" s="227">
        <f t="shared" ref="E108:E113" si="1">IF(ISBLANK(D108),"-",D108/$D$103*$D$100*$B$116)</f>
        <v>206.77386428252098</v>
      </c>
      <c r="F108" s="197">
        <f t="shared" ref="F108:F113" si="2">IF(ISBLANK(D108), "-", E108/$B$56)</f>
        <v>1.0338693214126049</v>
      </c>
    </row>
    <row r="109" spans="1:10" ht="26.25" customHeight="1">
      <c r="A109" s="76" t="s">
        <v>91</v>
      </c>
      <c r="B109" s="77">
        <v>1</v>
      </c>
      <c r="C109" s="195">
        <v>2</v>
      </c>
      <c r="D109" s="196">
        <v>12171602</v>
      </c>
      <c r="E109" s="228">
        <f t="shared" si="1"/>
        <v>199.73531096956626</v>
      </c>
      <c r="F109" s="198">
        <f t="shared" si="2"/>
        <v>0.99867655484783124</v>
      </c>
    </row>
    <row r="110" spans="1:10" ht="26.25" customHeight="1">
      <c r="A110" s="76" t="s">
        <v>92</v>
      </c>
      <c r="B110" s="77">
        <v>1</v>
      </c>
      <c r="C110" s="195">
        <v>3</v>
      </c>
      <c r="D110" s="196">
        <v>12557672</v>
      </c>
      <c r="E110" s="228">
        <f t="shared" si="1"/>
        <v>206.07069816888645</v>
      </c>
      <c r="F110" s="198">
        <f t="shared" si="2"/>
        <v>1.0303534908444323</v>
      </c>
    </row>
    <row r="111" spans="1:10" ht="26.25" customHeight="1">
      <c r="A111" s="76" t="s">
        <v>93</v>
      </c>
      <c r="B111" s="77">
        <v>1</v>
      </c>
      <c r="C111" s="195">
        <v>4</v>
      </c>
      <c r="D111" s="196">
        <v>11873425</v>
      </c>
      <c r="E111" s="228">
        <f t="shared" si="1"/>
        <v>194.84224300538432</v>
      </c>
      <c r="F111" s="198">
        <f t="shared" si="2"/>
        <v>0.97421121502692154</v>
      </c>
    </row>
    <row r="112" spans="1:10" ht="26.25" customHeight="1">
      <c r="A112" s="76" t="s">
        <v>94</v>
      </c>
      <c r="B112" s="77">
        <v>1</v>
      </c>
      <c r="C112" s="195">
        <v>5</v>
      </c>
      <c r="D112" s="196">
        <v>12655730</v>
      </c>
      <c r="E112" s="228">
        <f t="shared" si="1"/>
        <v>207.67982448792432</v>
      </c>
      <c r="F112" s="198">
        <f t="shared" si="2"/>
        <v>1.0383991224396216</v>
      </c>
    </row>
    <row r="113" spans="1:10" ht="26.25" customHeight="1">
      <c r="A113" s="76" t="s">
        <v>96</v>
      </c>
      <c r="B113" s="77">
        <v>1</v>
      </c>
      <c r="C113" s="199">
        <v>6</v>
      </c>
      <c r="D113" s="200">
        <v>12500355</v>
      </c>
      <c r="E113" s="229">
        <f t="shared" si="1"/>
        <v>205.13012939093571</v>
      </c>
      <c r="F113" s="201">
        <f t="shared" si="2"/>
        <v>1.0256506469546784</v>
      </c>
    </row>
    <row r="114" spans="1:10" ht="26.25" customHeight="1">
      <c r="A114" s="76" t="s">
        <v>97</v>
      </c>
      <c r="B114" s="77">
        <v>1</v>
      </c>
      <c r="C114" s="195"/>
      <c r="D114" s="149"/>
      <c r="E114" s="50"/>
      <c r="F114" s="202"/>
    </row>
    <row r="115" spans="1:10" ht="26.25" customHeight="1">
      <c r="A115" s="76" t="s">
        <v>98</v>
      </c>
      <c r="B115" s="77">
        <v>1</v>
      </c>
      <c r="C115" s="195"/>
      <c r="D115" s="203" t="s">
        <v>67</v>
      </c>
      <c r="E115" s="231">
        <f>AVERAGE(E108:E113)</f>
        <v>203.37201171753631</v>
      </c>
      <c r="F115" s="204">
        <f>AVERAGE(F108:F113)</f>
        <v>1.0168600585876817</v>
      </c>
    </row>
    <row r="116" spans="1:10" ht="27" customHeight="1">
      <c r="A116" s="76" t="s">
        <v>99</v>
      </c>
      <c r="B116" s="108">
        <f>(B115/B114)*(B113/B112)*(B111/B110)*(B109/B108)*B107</f>
        <v>900</v>
      </c>
      <c r="C116" s="205"/>
      <c r="D116" s="168" t="s">
        <v>80</v>
      </c>
      <c r="E116" s="206">
        <f>STDEV(E108:E113)/E115</f>
        <v>2.4731219456647583E-2</v>
      </c>
      <c r="F116" s="206">
        <f>STDEV(F108:F113)/F115</f>
        <v>2.4731219456639735E-2</v>
      </c>
      <c r="I116" s="50"/>
    </row>
    <row r="117" spans="1:10" ht="27" customHeight="1">
      <c r="A117" s="550" t="s">
        <v>74</v>
      </c>
      <c r="B117" s="551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>
      <c r="A118" s="552"/>
      <c r="B118" s="553"/>
      <c r="C118" s="50"/>
      <c r="D118" s="50"/>
      <c r="E118" s="50"/>
      <c r="F118" s="149"/>
      <c r="G118" s="50"/>
      <c r="H118" s="50"/>
      <c r="I118" s="50"/>
    </row>
    <row r="119" spans="1:10" ht="18.75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>
      <c r="A120" s="60" t="s">
        <v>102</v>
      </c>
      <c r="B120" s="156" t="s">
        <v>119</v>
      </c>
      <c r="C120" s="554" t="str">
        <f>B20</f>
        <v/>
      </c>
      <c r="D120" s="554"/>
      <c r="E120" s="157" t="s">
        <v>120</v>
      </c>
      <c r="F120" s="157"/>
      <c r="G120" s="158">
        <f>F115</f>
        <v>1.0168600585876817</v>
      </c>
      <c r="H120" s="50"/>
      <c r="I120" s="50"/>
    </row>
    <row r="121" spans="1:10" ht="19.5" customHeight="1">
      <c r="A121" s="210"/>
      <c r="B121" s="210"/>
      <c r="C121" s="211"/>
      <c r="D121" s="211"/>
      <c r="E121" s="211"/>
      <c r="F121" s="211"/>
      <c r="G121" s="211"/>
      <c r="H121" s="211"/>
    </row>
    <row r="122" spans="1:10" ht="18.75">
      <c r="B122" s="555" t="s">
        <v>22</v>
      </c>
      <c r="C122" s="555"/>
      <c r="E122" s="163" t="s">
        <v>23</v>
      </c>
      <c r="F122" s="212"/>
      <c r="G122" s="555" t="s">
        <v>24</v>
      </c>
      <c r="H122" s="555"/>
    </row>
    <row r="123" spans="1:10" ht="69.95" customHeight="1">
      <c r="A123" s="213" t="s">
        <v>25</v>
      </c>
      <c r="B123" s="214"/>
      <c r="C123" s="214"/>
      <c r="E123" s="214"/>
      <c r="F123" s="50"/>
      <c r="G123" s="215"/>
      <c r="H123" s="215"/>
    </row>
    <row r="124" spans="1:10" ht="69.95" customHeight="1">
      <c r="A124" s="213" t="s">
        <v>26</v>
      </c>
      <c r="B124" s="216"/>
      <c r="C124" s="216"/>
      <c r="E124" s="216"/>
      <c r="F124" s="50"/>
      <c r="G124" s="217"/>
      <c r="H124" s="217"/>
    </row>
    <row r="125" spans="1:10" ht="18.75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  <rowBreaks count="1" manualBreakCount="1">
    <brk id="23" max="16383" man="1"/>
  </rowBreaks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topLeftCell="A20" zoomScale="55" zoomScaleNormal="40" zoomScalePageLayoutView="55" workbookViewId="0">
      <selection activeCell="D123" sqref="D12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48" t="s">
        <v>41</v>
      </c>
      <c r="B1" s="548"/>
      <c r="C1" s="548"/>
      <c r="D1" s="548"/>
      <c r="E1" s="548"/>
      <c r="F1" s="548"/>
      <c r="G1" s="548"/>
      <c r="H1" s="548"/>
      <c r="I1" s="548"/>
    </row>
    <row r="2" spans="1:9" ht="18.75" customHeight="1">
      <c r="A2" s="548"/>
      <c r="B2" s="548"/>
      <c r="C2" s="548"/>
      <c r="D2" s="548"/>
      <c r="E2" s="548"/>
      <c r="F2" s="548"/>
      <c r="G2" s="548"/>
      <c r="H2" s="548"/>
      <c r="I2" s="548"/>
    </row>
    <row r="3" spans="1:9" ht="18.75" customHeight="1">
      <c r="A3" s="548"/>
      <c r="B3" s="548"/>
      <c r="C3" s="548"/>
      <c r="D3" s="548"/>
      <c r="E3" s="548"/>
      <c r="F3" s="548"/>
      <c r="G3" s="548"/>
      <c r="H3" s="548"/>
      <c r="I3" s="548"/>
    </row>
    <row r="4" spans="1:9" ht="18.75" customHeight="1">
      <c r="A4" s="548"/>
      <c r="B4" s="548"/>
      <c r="C4" s="548"/>
      <c r="D4" s="548"/>
      <c r="E4" s="548"/>
      <c r="F4" s="548"/>
      <c r="G4" s="548"/>
      <c r="H4" s="548"/>
      <c r="I4" s="548"/>
    </row>
    <row r="5" spans="1:9" ht="18.75" customHeight="1">
      <c r="A5" s="548"/>
      <c r="B5" s="548"/>
      <c r="C5" s="548"/>
      <c r="D5" s="548"/>
      <c r="E5" s="548"/>
      <c r="F5" s="548"/>
      <c r="G5" s="548"/>
      <c r="H5" s="548"/>
      <c r="I5" s="548"/>
    </row>
    <row r="6" spans="1:9" ht="18.75" customHeight="1">
      <c r="A6" s="548"/>
      <c r="B6" s="548"/>
      <c r="C6" s="548"/>
      <c r="D6" s="548"/>
      <c r="E6" s="548"/>
      <c r="F6" s="548"/>
      <c r="G6" s="548"/>
      <c r="H6" s="548"/>
      <c r="I6" s="548"/>
    </row>
    <row r="7" spans="1:9" ht="18.75" customHeight="1">
      <c r="A7" s="548"/>
      <c r="B7" s="548"/>
      <c r="C7" s="548"/>
      <c r="D7" s="548"/>
      <c r="E7" s="548"/>
      <c r="F7" s="548"/>
      <c r="G7" s="548"/>
      <c r="H7" s="548"/>
      <c r="I7" s="548"/>
    </row>
    <row r="8" spans="1:9">
      <c r="A8" s="549" t="s">
        <v>42</v>
      </c>
      <c r="B8" s="549"/>
      <c r="C8" s="549"/>
      <c r="D8" s="549"/>
      <c r="E8" s="549"/>
      <c r="F8" s="549"/>
      <c r="G8" s="549"/>
      <c r="H8" s="549"/>
      <c r="I8" s="549"/>
    </row>
    <row r="9" spans="1:9">
      <c r="A9" s="549"/>
      <c r="B9" s="549"/>
      <c r="C9" s="549"/>
      <c r="D9" s="549"/>
      <c r="E9" s="549"/>
      <c r="F9" s="549"/>
      <c r="G9" s="549"/>
      <c r="H9" s="549"/>
      <c r="I9" s="549"/>
    </row>
    <row r="10" spans="1:9">
      <c r="A10" s="549"/>
      <c r="B10" s="549"/>
      <c r="C10" s="549"/>
      <c r="D10" s="549"/>
      <c r="E10" s="549"/>
      <c r="F10" s="549"/>
      <c r="G10" s="549"/>
      <c r="H10" s="549"/>
      <c r="I10" s="549"/>
    </row>
    <row r="11" spans="1:9">
      <c r="A11" s="549"/>
      <c r="B11" s="549"/>
      <c r="C11" s="549"/>
      <c r="D11" s="549"/>
      <c r="E11" s="549"/>
      <c r="F11" s="549"/>
      <c r="G11" s="549"/>
      <c r="H11" s="549"/>
      <c r="I11" s="549"/>
    </row>
    <row r="12" spans="1:9">
      <c r="A12" s="549"/>
      <c r="B12" s="549"/>
      <c r="C12" s="549"/>
      <c r="D12" s="549"/>
      <c r="E12" s="549"/>
      <c r="F12" s="549"/>
      <c r="G12" s="549"/>
      <c r="H12" s="549"/>
      <c r="I12" s="549"/>
    </row>
    <row r="13" spans="1:9">
      <c r="A13" s="549"/>
      <c r="B13" s="549"/>
      <c r="C13" s="549"/>
      <c r="D13" s="549"/>
      <c r="E13" s="549"/>
      <c r="F13" s="549"/>
      <c r="G13" s="549"/>
      <c r="H13" s="549"/>
      <c r="I13" s="549"/>
    </row>
    <row r="14" spans="1:9">
      <c r="A14" s="549"/>
      <c r="B14" s="549"/>
      <c r="C14" s="549"/>
      <c r="D14" s="549"/>
      <c r="E14" s="549"/>
      <c r="F14" s="549"/>
      <c r="G14" s="549"/>
      <c r="H14" s="549"/>
      <c r="I14" s="549"/>
    </row>
    <row r="15" spans="1:9" ht="19.5" customHeight="1">
      <c r="A15" s="233"/>
    </row>
    <row r="16" spans="1:9" ht="19.5" customHeight="1">
      <c r="A16" s="582" t="s">
        <v>27</v>
      </c>
      <c r="B16" s="583"/>
      <c r="C16" s="583"/>
      <c r="D16" s="583"/>
      <c r="E16" s="583"/>
      <c r="F16" s="583"/>
      <c r="G16" s="583"/>
      <c r="H16" s="584"/>
    </row>
    <row r="17" spans="1:14" ht="20.25" customHeight="1">
      <c r="A17" s="585" t="s">
        <v>43</v>
      </c>
      <c r="B17" s="585"/>
      <c r="C17" s="585"/>
      <c r="D17" s="585"/>
      <c r="E17" s="585"/>
      <c r="F17" s="585"/>
      <c r="G17" s="585"/>
      <c r="H17" s="585"/>
    </row>
    <row r="18" spans="1:14" ht="26.25" customHeight="1">
      <c r="A18" s="235" t="s">
        <v>29</v>
      </c>
      <c r="B18" s="581" t="s">
        <v>5</v>
      </c>
      <c r="C18" s="581"/>
      <c r="D18" s="402"/>
      <c r="E18" s="236"/>
      <c r="F18" s="237"/>
      <c r="G18" s="237"/>
      <c r="H18" s="237"/>
    </row>
    <row r="19" spans="1:14" ht="26.25" customHeight="1">
      <c r="A19" s="235" t="s">
        <v>30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>
      <c r="A20" s="235" t="s">
        <v>31</v>
      </c>
      <c r="B20" s="586" t="s">
        <v>9</v>
      </c>
      <c r="C20" s="586"/>
      <c r="D20" s="237"/>
      <c r="E20" s="237"/>
      <c r="F20" s="237"/>
      <c r="G20" s="237"/>
      <c r="H20" s="237"/>
    </row>
    <row r="21" spans="1:14" ht="26.25" customHeight="1">
      <c r="A21" s="235" t="s">
        <v>32</v>
      </c>
      <c r="B21" s="586" t="s">
        <v>11</v>
      </c>
      <c r="C21" s="586"/>
      <c r="D21" s="586"/>
      <c r="E21" s="586"/>
      <c r="F21" s="586"/>
      <c r="G21" s="586"/>
      <c r="H21" s="586"/>
      <c r="I21" s="239"/>
    </row>
    <row r="22" spans="1:14" ht="26.25" customHeight="1">
      <c r="A22" s="235" t="s">
        <v>33</v>
      </c>
      <c r="B22" s="240">
        <v>42530.559791666667</v>
      </c>
      <c r="C22" s="237"/>
      <c r="D22" s="237"/>
      <c r="E22" s="237"/>
      <c r="F22" s="237"/>
      <c r="G22" s="237"/>
      <c r="H22" s="237"/>
    </row>
    <row r="23" spans="1:14" ht="26.25" customHeight="1">
      <c r="A23" s="235" t="s">
        <v>34</v>
      </c>
      <c r="B23" s="240">
        <v>42539.559791666667</v>
      </c>
      <c r="C23" s="237"/>
      <c r="D23" s="237"/>
      <c r="E23" s="237"/>
      <c r="F23" s="237"/>
      <c r="G23" s="237"/>
      <c r="H23" s="237"/>
    </row>
    <row r="24" spans="1:14" ht="18.75">
      <c r="A24" s="235"/>
      <c r="B24" s="241"/>
    </row>
    <row r="25" spans="1:14" ht="18.75">
      <c r="A25" s="242" t="s">
        <v>1</v>
      </c>
      <c r="B25" s="241"/>
    </row>
    <row r="26" spans="1:14" ht="26.25" customHeight="1">
      <c r="A26" s="243" t="s">
        <v>4</v>
      </c>
      <c r="B26" s="581" t="s">
        <v>125</v>
      </c>
      <c r="C26" s="581"/>
    </row>
    <row r="27" spans="1:14" ht="26.25" customHeight="1">
      <c r="A27" s="244" t="s">
        <v>44</v>
      </c>
      <c r="B27" s="579" t="s">
        <v>124</v>
      </c>
      <c r="C27" s="579"/>
    </row>
    <row r="28" spans="1:14" ht="27" customHeight="1">
      <c r="A28" s="244" t="s">
        <v>6</v>
      </c>
      <c r="B28" s="245">
        <v>99.4</v>
      </c>
    </row>
    <row r="29" spans="1:14" s="3" customFormat="1" ht="27" customHeight="1">
      <c r="A29" s="244" t="s">
        <v>45</v>
      </c>
      <c r="B29" s="246"/>
      <c r="C29" s="556" t="s">
        <v>46</v>
      </c>
      <c r="D29" s="557"/>
      <c r="E29" s="557"/>
      <c r="F29" s="557"/>
      <c r="G29" s="558"/>
      <c r="I29" s="247"/>
      <c r="J29" s="247"/>
      <c r="K29" s="247"/>
      <c r="L29" s="247"/>
    </row>
    <row r="30" spans="1:14" s="3" customFormat="1" ht="19.5" customHeight="1">
      <c r="A30" s="244" t="s">
        <v>47</v>
      </c>
      <c r="B30" s="248">
        <f>B28-B29</f>
        <v>99.4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>
      <c r="A31" s="244" t="s">
        <v>48</v>
      </c>
      <c r="B31" s="251">
        <v>1</v>
      </c>
      <c r="C31" s="559" t="s">
        <v>49</v>
      </c>
      <c r="D31" s="560"/>
      <c r="E31" s="560"/>
      <c r="F31" s="560"/>
      <c r="G31" s="560"/>
      <c r="H31" s="561"/>
      <c r="I31" s="247"/>
      <c r="J31" s="247"/>
      <c r="K31" s="247"/>
      <c r="L31" s="247"/>
    </row>
    <row r="32" spans="1:14" s="3" customFormat="1" ht="27" customHeight="1">
      <c r="A32" s="244" t="s">
        <v>50</v>
      </c>
      <c r="B32" s="251">
        <v>1</v>
      </c>
      <c r="C32" s="559" t="s">
        <v>51</v>
      </c>
      <c r="D32" s="560"/>
      <c r="E32" s="560"/>
      <c r="F32" s="560"/>
      <c r="G32" s="560"/>
      <c r="H32" s="561"/>
      <c r="I32" s="247"/>
      <c r="J32" s="247"/>
      <c r="K32" s="247"/>
      <c r="L32" s="252"/>
      <c r="M32" s="252"/>
      <c r="N32" s="253"/>
    </row>
    <row r="33" spans="1:14" s="3" customFormat="1" ht="17.25" customHeight="1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>
      <c r="A34" s="244" t="s">
        <v>52</v>
      </c>
      <c r="B34" s="256">
        <f>B31/B32</f>
        <v>1</v>
      </c>
      <c r="C34" s="234" t="s">
        <v>53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>
      <c r="A36" s="257" t="s">
        <v>54</v>
      </c>
      <c r="B36" s="258">
        <v>25</v>
      </c>
      <c r="C36" s="234"/>
      <c r="D36" s="562" t="s">
        <v>55</v>
      </c>
      <c r="E36" s="580"/>
      <c r="F36" s="562" t="s">
        <v>56</v>
      </c>
      <c r="G36" s="563"/>
      <c r="J36" s="247"/>
      <c r="K36" s="247"/>
      <c r="L36" s="252"/>
      <c r="M36" s="252"/>
      <c r="N36" s="253"/>
    </row>
    <row r="37" spans="1:14" s="3" customFormat="1" ht="27" customHeight="1">
      <c r="A37" s="259" t="s">
        <v>57</v>
      </c>
      <c r="B37" s="260">
        <v>10</v>
      </c>
      <c r="C37" s="261" t="s">
        <v>58</v>
      </c>
      <c r="D37" s="262" t="s">
        <v>59</v>
      </c>
      <c r="E37" s="263" t="s">
        <v>60</v>
      </c>
      <c r="F37" s="262" t="s">
        <v>59</v>
      </c>
      <c r="G37" s="264" t="s">
        <v>60</v>
      </c>
      <c r="I37" s="265" t="s">
        <v>61</v>
      </c>
      <c r="J37" s="247"/>
      <c r="K37" s="247"/>
      <c r="L37" s="252"/>
      <c r="M37" s="252"/>
      <c r="N37" s="253"/>
    </row>
    <row r="38" spans="1:14" s="3" customFormat="1" ht="26.25" customHeight="1">
      <c r="A38" s="259" t="s">
        <v>62</v>
      </c>
      <c r="B38" s="260">
        <v>25</v>
      </c>
      <c r="C38" s="266">
        <v>1</v>
      </c>
      <c r="D38" s="267">
        <v>12276832</v>
      </c>
      <c r="E38" s="268">
        <f>IF(ISBLANK(D38),"-",$D$48/$D$45*D38)</f>
        <v>14316275.994244399</v>
      </c>
      <c r="F38" s="267">
        <v>12891356</v>
      </c>
      <c r="G38" s="269">
        <f>IF(ISBLANK(F38),"-",$D$48/$F$45*F38)</f>
        <v>14568173.780280534</v>
      </c>
      <c r="I38" s="270"/>
      <c r="J38" s="247"/>
      <c r="K38" s="247"/>
      <c r="L38" s="252"/>
      <c r="M38" s="252"/>
      <c r="N38" s="253"/>
    </row>
    <row r="39" spans="1:14" s="3" customFormat="1" ht="26.25" customHeight="1">
      <c r="A39" s="259" t="s">
        <v>63</v>
      </c>
      <c r="B39" s="260">
        <v>1</v>
      </c>
      <c r="C39" s="271">
        <v>2</v>
      </c>
      <c r="D39" s="272">
        <v>12307505</v>
      </c>
      <c r="E39" s="273">
        <f>IF(ISBLANK(D39),"-",$D$48/$D$45*D39)</f>
        <v>14352044.434634512</v>
      </c>
      <c r="F39" s="272">
        <v>12846494</v>
      </c>
      <c r="G39" s="274">
        <f>IF(ISBLANK(F39),"-",$D$48/$F$45*F39)</f>
        <v>14517476.443853633</v>
      </c>
      <c r="I39" s="564">
        <f>ABS((F43/D43*D42)-F42)/D42</f>
        <v>1.3504142873411834E-2</v>
      </c>
      <c r="J39" s="247"/>
      <c r="K39" s="247"/>
      <c r="L39" s="252"/>
      <c r="M39" s="252"/>
      <c r="N39" s="253"/>
    </row>
    <row r="40" spans="1:14" ht="26.25" customHeight="1">
      <c r="A40" s="259" t="s">
        <v>64</v>
      </c>
      <c r="B40" s="260">
        <v>1</v>
      </c>
      <c r="C40" s="271">
        <v>3</v>
      </c>
      <c r="D40" s="272">
        <v>12328525</v>
      </c>
      <c r="E40" s="273">
        <f>IF(ISBLANK(D40),"-",$D$48/$D$45*D40)</f>
        <v>14376556.305563351</v>
      </c>
      <c r="F40" s="272">
        <v>12850976</v>
      </c>
      <c r="G40" s="274">
        <f>IF(ISBLANK(F40),"-",$D$48/$F$45*F40)</f>
        <v>14522541.431189584</v>
      </c>
      <c r="I40" s="564"/>
      <c r="L40" s="252"/>
      <c r="M40" s="252"/>
      <c r="N40" s="275"/>
    </row>
    <row r="41" spans="1:14" ht="27" customHeight="1">
      <c r="A41" s="259" t="s">
        <v>65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>
      <c r="A42" s="259" t="s">
        <v>66</v>
      </c>
      <c r="B42" s="260">
        <v>1</v>
      </c>
      <c r="C42" s="281" t="s">
        <v>67</v>
      </c>
      <c r="D42" s="282">
        <f>AVERAGE(D38:D41)</f>
        <v>12304287.333333334</v>
      </c>
      <c r="E42" s="283">
        <f>AVERAGE(E38:E41)</f>
        <v>14348292.244814089</v>
      </c>
      <c r="F42" s="282">
        <f>AVERAGE(F38:F41)</f>
        <v>12862942</v>
      </c>
      <c r="G42" s="284">
        <f>AVERAGE(G38:G41)</f>
        <v>14536063.885107918</v>
      </c>
      <c r="H42" s="285"/>
    </row>
    <row r="43" spans="1:14" ht="26.25" customHeight="1">
      <c r="A43" s="259" t="s">
        <v>68</v>
      </c>
      <c r="B43" s="260">
        <v>1</v>
      </c>
      <c r="C43" s="286" t="s">
        <v>69</v>
      </c>
      <c r="D43" s="287">
        <v>13.48</v>
      </c>
      <c r="E43" s="275"/>
      <c r="F43" s="287">
        <v>13.91</v>
      </c>
      <c r="H43" s="285"/>
    </row>
    <row r="44" spans="1:14" ht="26.25" customHeight="1">
      <c r="A44" s="259" t="s">
        <v>70</v>
      </c>
      <c r="B44" s="260">
        <v>1</v>
      </c>
      <c r="C44" s="288" t="s">
        <v>71</v>
      </c>
      <c r="D44" s="289">
        <f>D43*$B$34</f>
        <v>13.48</v>
      </c>
      <c r="E44" s="290"/>
      <c r="F44" s="289">
        <f>F43*$B$34</f>
        <v>13.91</v>
      </c>
      <c r="H44" s="285"/>
    </row>
    <row r="45" spans="1:14" ht="19.5" customHeight="1">
      <c r="A45" s="259" t="s">
        <v>72</v>
      </c>
      <c r="B45" s="291">
        <f>(B44/B43)*(B42/B41)*(B40/B39)*(B38/B37)*B36</f>
        <v>62.5</v>
      </c>
      <c r="C45" s="288" t="s">
        <v>73</v>
      </c>
      <c r="D45" s="292">
        <f>D44*$B$30/100</f>
        <v>13.39912</v>
      </c>
      <c r="E45" s="293"/>
      <c r="F45" s="292">
        <f>F44*$B$30/100</f>
        <v>13.82654</v>
      </c>
      <c r="H45" s="285"/>
    </row>
    <row r="46" spans="1:14" ht="19.5" customHeight="1">
      <c r="A46" s="550" t="s">
        <v>74</v>
      </c>
      <c r="B46" s="551"/>
      <c r="C46" s="288" t="s">
        <v>75</v>
      </c>
      <c r="D46" s="294">
        <f>D45/$B$45</f>
        <v>0.21438592000000001</v>
      </c>
      <c r="E46" s="295"/>
      <c r="F46" s="296">
        <f>F45/$B$45</f>
        <v>0.22122464</v>
      </c>
      <c r="H46" s="285"/>
    </row>
    <row r="47" spans="1:14" ht="27" customHeight="1">
      <c r="A47" s="552"/>
      <c r="B47" s="553"/>
      <c r="C47" s="297" t="s">
        <v>76</v>
      </c>
      <c r="D47" s="298">
        <v>0.25</v>
      </c>
      <c r="E47" s="299"/>
      <c r="F47" s="295"/>
      <c r="H47" s="285"/>
    </row>
    <row r="48" spans="1:14" ht="18.75">
      <c r="C48" s="300" t="s">
        <v>77</v>
      </c>
      <c r="D48" s="292">
        <f>D47*$B$45</f>
        <v>15.625</v>
      </c>
      <c r="F48" s="301"/>
      <c r="H48" s="285"/>
    </row>
    <row r="49" spans="1:12" ht="19.5" customHeight="1">
      <c r="C49" s="302" t="s">
        <v>78</v>
      </c>
      <c r="D49" s="303">
        <f>D48/B34</f>
        <v>15.625</v>
      </c>
      <c r="F49" s="301"/>
      <c r="H49" s="285"/>
    </row>
    <row r="50" spans="1:12" ht="18.75">
      <c r="C50" s="257" t="s">
        <v>79</v>
      </c>
      <c r="D50" s="304">
        <f>AVERAGE(E38:E41,G38:G41)</f>
        <v>14442178.064961001</v>
      </c>
      <c r="F50" s="305"/>
      <c r="H50" s="285"/>
    </row>
    <row r="51" spans="1:12" ht="18.75">
      <c r="C51" s="259" t="s">
        <v>80</v>
      </c>
      <c r="D51" s="306">
        <f>STDEV(E38:E41,G38:G41)/D50</f>
        <v>7.3464462587006889E-3</v>
      </c>
      <c r="F51" s="305"/>
      <c r="H51" s="285"/>
    </row>
    <row r="52" spans="1:12" ht="19.5" customHeight="1">
      <c r="C52" s="307" t="s">
        <v>20</v>
      </c>
      <c r="D52" s="308">
        <f>COUNT(E38:E41,G38:G41)</f>
        <v>6</v>
      </c>
      <c r="F52" s="305"/>
    </row>
    <row r="54" spans="1:12" ht="18.75">
      <c r="A54" s="309" t="s">
        <v>1</v>
      </c>
      <c r="B54" s="310" t="s">
        <v>81</v>
      </c>
    </row>
    <row r="55" spans="1:12" ht="18.75">
      <c r="A55" s="234" t="s">
        <v>82</v>
      </c>
      <c r="B55" s="311" t="str">
        <f>B21</f>
        <v/>
      </c>
    </row>
    <row r="56" spans="1:12" ht="26.25" customHeight="1">
      <c r="A56" s="312" t="s">
        <v>83</v>
      </c>
      <c r="B56" s="313">
        <v>50</v>
      </c>
      <c r="C56" s="234" t="str">
        <f>B20</f>
        <v/>
      </c>
      <c r="H56" s="314"/>
    </row>
    <row r="57" spans="1:12" ht="18.75">
      <c r="A57" s="311" t="s">
        <v>84</v>
      </c>
      <c r="B57" s="403">
        <f>Uniformity!C46</f>
        <v>1259.527</v>
      </c>
      <c r="H57" s="314"/>
    </row>
    <row r="58" spans="1:12" ht="19.5" customHeight="1">
      <c r="H58" s="314"/>
    </row>
    <row r="59" spans="1:12" s="3" customFormat="1" ht="27" customHeight="1" thickBot="1">
      <c r="A59" s="257" t="s">
        <v>85</v>
      </c>
      <c r="B59" s="258">
        <v>50</v>
      </c>
      <c r="C59" s="234"/>
      <c r="D59" s="315" t="s">
        <v>86</v>
      </c>
      <c r="E59" s="316" t="s">
        <v>58</v>
      </c>
      <c r="F59" s="316" t="s">
        <v>59</v>
      </c>
      <c r="G59" s="316" t="s">
        <v>87</v>
      </c>
      <c r="H59" s="261" t="s">
        <v>88</v>
      </c>
      <c r="L59" s="247"/>
    </row>
    <row r="60" spans="1:12" s="3" customFormat="1" ht="26.25" customHeight="1">
      <c r="A60" s="259" t="s">
        <v>89</v>
      </c>
      <c r="B60" s="260">
        <v>10</v>
      </c>
      <c r="C60" s="567" t="s">
        <v>90</v>
      </c>
      <c r="D60" s="570">
        <v>1478.81</v>
      </c>
      <c r="E60" s="317">
        <v>1</v>
      </c>
      <c r="F60" s="318">
        <v>14709782</v>
      </c>
      <c r="G60" s="404">
        <f>IF(ISBLANK(F60),"-",(F60/$D$50*$D$47*$B$68)*($B$57/$D$60))</f>
        <v>54.218645225743792</v>
      </c>
      <c r="H60" s="319">
        <f t="shared" ref="H60:H71" si="0">IF(ISBLANK(F60),"-",G60/$B$56)</f>
        <v>1.0843729045148758</v>
      </c>
      <c r="L60" s="247"/>
    </row>
    <row r="61" spans="1:12" s="3" customFormat="1" ht="26.25" customHeight="1">
      <c r="A61" s="259" t="s">
        <v>91</v>
      </c>
      <c r="B61" s="260">
        <v>50</v>
      </c>
      <c r="C61" s="568"/>
      <c r="D61" s="571"/>
      <c r="E61" s="320">
        <v>2</v>
      </c>
      <c r="F61" s="272">
        <v>14664857</v>
      </c>
      <c r="G61" s="405">
        <f>IF(ISBLANK(F61),"-",(F61/$D$50*$D$47*$B$68)*($B$57/$D$60))</f>
        <v>54.053056596574002</v>
      </c>
      <c r="H61" s="321">
        <f t="shared" si="0"/>
        <v>1.08106113193148</v>
      </c>
      <c r="L61" s="247"/>
    </row>
    <row r="62" spans="1:12" s="3" customFormat="1" ht="26.25" customHeight="1">
      <c r="A62" s="259" t="s">
        <v>92</v>
      </c>
      <c r="B62" s="260">
        <v>1</v>
      </c>
      <c r="C62" s="568"/>
      <c r="D62" s="571"/>
      <c r="E62" s="320">
        <v>3</v>
      </c>
      <c r="F62" s="322">
        <v>14627729</v>
      </c>
      <c r="G62" s="405">
        <f>IF(ISBLANK(F62),"-",(F62/$D$50*$D$47*$B$68)*($B$57/$D$60))</f>
        <v>53.916206855364955</v>
      </c>
      <c r="H62" s="321">
        <f t="shared" si="0"/>
        <v>1.0783241371072991</v>
      </c>
      <c r="L62" s="247"/>
    </row>
    <row r="63" spans="1:12" ht="27" customHeight="1" thickBot="1">
      <c r="A63" s="259" t="s">
        <v>93</v>
      </c>
      <c r="B63" s="260">
        <v>1</v>
      </c>
      <c r="C63" s="578"/>
      <c r="D63" s="572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>
      <c r="A64" s="259" t="s">
        <v>94</v>
      </c>
      <c r="B64" s="260">
        <v>1</v>
      </c>
      <c r="C64" s="567" t="s">
        <v>95</v>
      </c>
      <c r="D64" s="570">
        <v>1377.05</v>
      </c>
      <c r="E64" s="317">
        <v>1</v>
      </c>
      <c r="F64" s="318">
        <v>13712224</v>
      </c>
      <c r="G64" s="406">
        <f>IF(ISBLANK(F64),"-",(F64/$D$50*$D$47*$B$68)*($B$57/$D$64))</f>
        <v>54.276644823005874</v>
      </c>
      <c r="H64" s="325">
        <f t="shared" si="0"/>
        <v>1.0855328964601174</v>
      </c>
    </row>
    <row r="65" spans="1:8" ht="26.25" customHeight="1">
      <c r="A65" s="259" t="s">
        <v>96</v>
      </c>
      <c r="B65" s="260">
        <v>1</v>
      </c>
      <c r="C65" s="568"/>
      <c r="D65" s="571"/>
      <c r="E65" s="320">
        <v>2</v>
      </c>
      <c r="F65" s="272">
        <v>13706439</v>
      </c>
      <c r="G65" s="407">
        <f>IF(ISBLANK(F65),"-",(F65/$D$50*$D$47*$B$68)*($B$57/$D$64))</f>
        <v>54.253746247960635</v>
      </c>
      <c r="H65" s="326">
        <f t="shared" si="0"/>
        <v>1.0850749249592126</v>
      </c>
    </row>
    <row r="66" spans="1:8" ht="26.25" customHeight="1">
      <c r="A66" s="259" t="s">
        <v>97</v>
      </c>
      <c r="B66" s="260">
        <v>1</v>
      </c>
      <c r="C66" s="568"/>
      <c r="D66" s="571"/>
      <c r="E66" s="320">
        <v>3</v>
      </c>
      <c r="F66" s="272">
        <v>13687139</v>
      </c>
      <c r="G66" s="407">
        <f>IF(ISBLANK(F66),"-",(F66/$D$50*$D$47*$B$68)*($B$57/$D$64))</f>
        <v>54.177351693358553</v>
      </c>
      <c r="H66" s="326">
        <f t="shared" si="0"/>
        <v>1.0835470338671711</v>
      </c>
    </row>
    <row r="67" spans="1:8" ht="27" customHeight="1" thickBot="1">
      <c r="A67" s="259" t="s">
        <v>98</v>
      </c>
      <c r="B67" s="260">
        <v>1</v>
      </c>
      <c r="C67" s="578"/>
      <c r="D67" s="572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>
      <c r="A68" s="259" t="s">
        <v>99</v>
      </c>
      <c r="B68" s="328">
        <f>(B67/B66)*(B65/B64)*(B63/B62)*(B61/B60)*B59</f>
        <v>250</v>
      </c>
      <c r="C68" s="567" t="s">
        <v>100</v>
      </c>
      <c r="D68" s="570">
        <v>1469.95</v>
      </c>
      <c r="E68" s="317">
        <v>1</v>
      </c>
      <c r="F68" s="318">
        <v>14869678</v>
      </c>
      <c r="G68" s="406">
        <f>IF(ISBLANK(F68),"-",(F68/$D$50*$D$47*$B$68)*($B$57/$D$68))</f>
        <v>55.138355004531611</v>
      </c>
      <c r="H68" s="321">
        <f t="shared" si="0"/>
        <v>1.1027671000906323</v>
      </c>
    </row>
    <row r="69" spans="1:8" ht="27" customHeight="1" thickBot="1">
      <c r="A69" s="307" t="s">
        <v>101</v>
      </c>
      <c r="B69" s="329">
        <f>(D47*B68)/B56*B57</f>
        <v>1574.4087500000001</v>
      </c>
      <c r="C69" s="568"/>
      <c r="D69" s="571"/>
      <c r="E69" s="320">
        <v>2</v>
      </c>
      <c r="F69" s="272">
        <v>14860431</v>
      </c>
      <c r="G69" s="407">
        <f>IF(ISBLANK(F69),"-",(F69/$D$50*$D$47*$B$68)*($B$57/$D$68))</f>
        <v>55.104066140392995</v>
      </c>
      <c r="H69" s="321">
        <f t="shared" si="0"/>
        <v>1.1020813228078599</v>
      </c>
    </row>
    <row r="70" spans="1:8" ht="26.25" customHeight="1">
      <c r="A70" s="573" t="s">
        <v>74</v>
      </c>
      <c r="B70" s="574"/>
      <c r="C70" s="568"/>
      <c r="D70" s="571"/>
      <c r="E70" s="320">
        <v>3</v>
      </c>
      <c r="F70" s="272">
        <v>14788920</v>
      </c>
      <c r="G70" s="407">
        <f>IF(ISBLANK(F70),"-",(F70/$D$50*$D$47*$B$68)*($B$57/$D$68))</f>
        <v>54.838895710695112</v>
      </c>
      <c r="H70" s="321">
        <f t="shared" si="0"/>
        <v>1.0967779142139022</v>
      </c>
    </row>
    <row r="71" spans="1:8" ht="27" customHeight="1" thickBot="1">
      <c r="A71" s="575"/>
      <c r="B71" s="576"/>
      <c r="C71" s="569"/>
      <c r="D71" s="572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>
      <c r="A72" s="331"/>
      <c r="B72" s="331"/>
      <c r="C72" s="331"/>
      <c r="D72" s="331"/>
      <c r="E72" s="331"/>
      <c r="F72" s="333" t="s">
        <v>67</v>
      </c>
      <c r="G72" s="413">
        <f>AVERAGE(G60:G71)</f>
        <v>54.441885366403056</v>
      </c>
      <c r="H72" s="334">
        <f>AVERAGE(H60:H71)</f>
        <v>1.0888377073280613</v>
      </c>
    </row>
    <row r="73" spans="1:8" ht="26.25" customHeight="1">
      <c r="C73" s="331"/>
      <c r="D73" s="331"/>
      <c r="E73" s="331"/>
      <c r="F73" s="335" t="s">
        <v>80</v>
      </c>
      <c r="G73" s="409">
        <f>STDEV(G60:G71)/G72</f>
        <v>8.4454107898810117E-3</v>
      </c>
      <c r="H73" s="409">
        <f>STDEV(H60:H71)/H72</f>
        <v>8.4454107898893627E-3</v>
      </c>
    </row>
    <row r="74" spans="1:8" ht="27" customHeight="1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>
      <c r="A76" s="243" t="s">
        <v>102</v>
      </c>
      <c r="B76" s="339" t="s">
        <v>103</v>
      </c>
      <c r="C76" s="554" t="str">
        <f>B20</f>
        <v/>
      </c>
      <c r="D76" s="554"/>
      <c r="E76" s="340" t="s">
        <v>104</v>
      </c>
      <c r="F76" s="340"/>
      <c r="G76" s="341">
        <f>H72</f>
        <v>1.0888377073280613</v>
      </c>
      <c r="H76" s="342"/>
    </row>
    <row r="77" spans="1:8" ht="18.75">
      <c r="A77" s="242" t="s">
        <v>105</v>
      </c>
      <c r="B77" s="242" t="s">
        <v>106</v>
      </c>
    </row>
    <row r="78" spans="1:8" ht="18.75">
      <c r="A78" s="242"/>
      <c r="B78" s="242"/>
    </row>
    <row r="79" spans="1:8" ht="26.25" customHeight="1">
      <c r="A79" s="243" t="s">
        <v>4</v>
      </c>
      <c r="B79" s="587" t="s">
        <v>123</v>
      </c>
      <c r="C79" s="577"/>
    </row>
    <row r="80" spans="1:8" ht="26.25" customHeight="1">
      <c r="A80" s="244" t="s">
        <v>44</v>
      </c>
      <c r="B80" s="587" t="s">
        <v>124</v>
      </c>
      <c r="C80" s="577"/>
    </row>
    <row r="81" spans="1:12" ht="27" customHeight="1">
      <c r="A81" s="244" t="s">
        <v>6</v>
      </c>
      <c r="B81" s="343">
        <f>B28</f>
        <v>99.4</v>
      </c>
    </row>
    <row r="82" spans="1:12" s="3" customFormat="1" ht="27" customHeight="1">
      <c r="A82" s="244" t="s">
        <v>45</v>
      </c>
      <c r="B82" s="246">
        <v>0</v>
      </c>
      <c r="C82" s="556" t="s">
        <v>46</v>
      </c>
      <c r="D82" s="557"/>
      <c r="E82" s="557"/>
      <c r="F82" s="557"/>
      <c r="G82" s="558"/>
      <c r="I82" s="247"/>
      <c r="J82" s="247"/>
      <c r="K82" s="247"/>
      <c r="L82" s="247"/>
    </row>
    <row r="83" spans="1:12" s="3" customFormat="1" ht="19.5" customHeight="1">
      <c r="A83" s="244" t="s">
        <v>47</v>
      </c>
      <c r="B83" s="248">
        <f>B81-B82</f>
        <v>99.4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>
      <c r="A84" s="244" t="s">
        <v>48</v>
      </c>
      <c r="B84" s="251">
        <v>1</v>
      </c>
      <c r="C84" s="559" t="s">
        <v>107</v>
      </c>
      <c r="D84" s="560"/>
      <c r="E84" s="560"/>
      <c r="F84" s="560"/>
      <c r="G84" s="560"/>
      <c r="H84" s="561"/>
      <c r="I84" s="247"/>
      <c r="J84" s="247"/>
      <c r="K84" s="247"/>
      <c r="L84" s="247"/>
    </row>
    <row r="85" spans="1:12" s="3" customFormat="1" ht="27" customHeight="1">
      <c r="A85" s="244" t="s">
        <v>50</v>
      </c>
      <c r="B85" s="251">
        <v>1</v>
      </c>
      <c r="C85" s="559" t="s">
        <v>108</v>
      </c>
      <c r="D85" s="560"/>
      <c r="E85" s="560"/>
      <c r="F85" s="560"/>
      <c r="G85" s="560"/>
      <c r="H85" s="561"/>
      <c r="I85" s="247"/>
      <c r="J85" s="247"/>
      <c r="K85" s="247"/>
      <c r="L85" s="247"/>
    </row>
    <row r="86" spans="1:12" s="3" customFormat="1" ht="18.75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>
      <c r="A87" s="244" t="s">
        <v>52</v>
      </c>
      <c r="B87" s="256">
        <f>B84/B85</f>
        <v>1</v>
      </c>
      <c r="C87" s="234" t="s">
        <v>53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>
      <c r="A88" s="242"/>
      <c r="B88" s="242"/>
    </row>
    <row r="89" spans="1:12" ht="27" customHeight="1">
      <c r="A89" s="257" t="s">
        <v>54</v>
      </c>
      <c r="B89" s="258">
        <v>25</v>
      </c>
      <c r="D89" s="344" t="s">
        <v>55</v>
      </c>
      <c r="E89" s="345"/>
      <c r="F89" s="562" t="s">
        <v>56</v>
      </c>
      <c r="G89" s="563"/>
    </row>
    <row r="90" spans="1:12" ht="27" customHeight="1">
      <c r="A90" s="259" t="s">
        <v>57</v>
      </c>
      <c r="B90" s="260">
        <v>10</v>
      </c>
      <c r="C90" s="346" t="s">
        <v>58</v>
      </c>
      <c r="D90" s="262" t="s">
        <v>59</v>
      </c>
      <c r="E90" s="263" t="s">
        <v>60</v>
      </c>
      <c r="F90" s="262" t="s">
        <v>59</v>
      </c>
      <c r="G90" s="347" t="s">
        <v>60</v>
      </c>
      <c r="I90" s="265" t="s">
        <v>61</v>
      </c>
    </row>
    <row r="91" spans="1:12" ht="26.25" customHeight="1">
      <c r="A91" s="259" t="s">
        <v>62</v>
      </c>
      <c r="B91" s="260">
        <v>25</v>
      </c>
      <c r="C91" s="348">
        <v>1</v>
      </c>
      <c r="D91" s="267">
        <v>2563451</v>
      </c>
      <c r="E91" s="268">
        <f>IF(ISBLANK(D91),"-",$D$101/$D$98*D91)</f>
        <v>2846344.2856048485</v>
      </c>
      <c r="F91" s="267">
        <v>2508358</v>
      </c>
      <c r="G91" s="269">
        <f>IF(ISBLANK(F91),"-",$D$101/$F$98*F91)</f>
        <v>2880390.9548311858</v>
      </c>
      <c r="I91" s="270"/>
    </row>
    <row r="92" spans="1:12" ht="26.25" customHeight="1">
      <c r="A92" s="259" t="s">
        <v>63</v>
      </c>
      <c r="B92" s="260">
        <v>5</v>
      </c>
      <c r="C92" s="332">
        <v>2</v>
      </c>
      <c r="D92" s="272">
        <v>2557179</v>
      </c>
      <c r="E92" s="273">
        <f>IF(ISBLANK(D92),"-",$D$101/$D$98*D92)</f>
        <v>2839380.1301131644</v>
      </c>
      <c r="F92" s="272">
        <v>2518148</v>
      </c>
      <c r="G92" s="274">
        <f>IF(ISBLANK(F92),"-",$D$101/$F$98*F92)</f>
        <v>2891632.9814668563</v>
      </c>
      <c r="I92" s="564">
        <f>ABS((F96/D96*D95)-F95)/D95</f>
        <v>1.5522913053133389E-2</v>
      </c>
    </row>
    <row r="93" spans="1:12" ht="26.25" customHeight="1">
      <c r="A93" s="259" t="s">
        <v>64</v>
      </c>
      <c r="B93" s="260">
        <v>25</v>
      </c>
      <c r="C93" s="332">
        <v>3</v>
      </c>
      <c r="D93" s="272">
        <v>2556500</v>
      </c>
      <c r="E93" s="273">
        <f>IF(ISBLANK(D93),"-",$D$101/$D$98*D93)</f>
        <v>2838626.1981012295</v>
      </c>
      <c r="F93" s="272">
        <v>2516006</v>
      </c>
      <c r="G93" s="274">
        <f>IF(ISBLANK(F93),"-",$D$101/$F$98*F93)</f>
        <v>2889173.2857514722</v>
      </c>
      <c r="I93" s="564"/>
    </row>
    <row r="94" spans="1:12" ht="27" customHeight="1">
      <c r="A94" s="259" t="s">
        <v>65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>
      <c r="A95" s="259" t="s">
        <v>66</v>
      </c>
      <c r="B95" s="260">
        <v>1</v>
      </c>
      <c r="C95" s="351" t="s">
        <v>67</v>
      </c>
      <c r="D95" s="352">
        <f>AVERAGE(D91:D94)</f>
        <v>2559043.3333333335</v>
      </c>
      <c r="E95" s="283">
        <f>AVERAGE(E91:E94)</f>
        <v>2841450.2046064143</v>
      </c>
      <c r="F95" s="353">
        <f>AVERAGE(F91:F94)</f>
        <v>2514170.6666666665</v>
      </c>
      <c r="G95" s="354">
        <f>AVERAGE(G91:G94)</f>
        <v>2887065.7406831719</v>
      </c>
    </row>
    <row r="96" spans="1:12" ht="26.25" customHeight="1">
      <c r="A96" s="259" t="s">
        <v>68</v>
      </c>
      <c r="B96" s="245">
        <v>1</v>
      </c>
      <c r="C96" s="355" t="s">
        <v>109</v>
      </c>
      <c r="D96" s="356">
        <v>15.73</v>
      </c>
      <c r="E96" s="275"/>
      <c r="F96" s="287">
        <v>15.21</v>
      </c>
    </row>
    <row r="97" spans="1:10" ht="26.25" customHeight="1">
      <c r="A97" s="259" t="s">
        <v>70</v>
      </c>
      <c r="B97" s="245">
        <v>1</v>
      </c>
      <c r="C97" s="357" t="s">
        <v>110</v>
      </c>
      <c r="D97" s="358">
        <f>D96*$B$87</f>
        <v>15.73</v>
      </c>
      <c r="E97" s="290"/>
      <c r="F97" s="289">
        <f>F96*$B$87</f>
        <v>15.21</v>
      </c>
    </row>
    <row r="98" spans="1:10" ht="19.5" customHeight="1">
      <c r="A98" s="259" t="s">
        <v>72</v>
      </c>
      <c r="B98" s="359">
        <f>(B97/B96)*(B95/B94)*(B93/B92)*(B91/B90)*B89</f>
        <v>312.5</v>
      </c>
      <c r="C98" s="357" t="s">
        <v>111</v>
      </c>
      <c r="D98" s="360">
        <f>D97*$B$83/100</f>
        <v>15.635620000000001</v>
      </c>
      <c r="E98" s="293"/>
      <c r="F98" s="292">
        <f>F97*$B$83/100</f>
        <v>15.118740000000003</v>
      </c>
    </row>
    <row r="99" spans="1:10" ht="19.5" customHeight="1">
      <c r="A99" s="550" t="s">
        <v>74</v>
      </c>
      <c r="B99" s="565"/>
      <c r="C99" s="357" t="s">
        <v>112</v>
      </c>
      <c r="D99" s="361">
        <f>D98/$B$98</f>
        <v>5.0033984000000004E-2</v>
      </c>
      <c r="E99" s="293"/>
      <c r="F99" s="296">
        <f>F98/$B$98</f>
        <v>4.8379968000000009E-2</v>
      </c>
      <c r="G99" s="362"/>
      <c r="H99" s="285"/>
    </row>
    <row r="100" spans="1:10" ht="19.5" customHeight="1">
      <c r="A100" s="552"/>
      <c r="B100" s="566"/>
      <c r="C100" s="357" t="s">
        <v>76</v>
      </c>
      <c r="D100" s="363">
        <f>$B$56/$B$116</f>
        <v>5.5555555555555552E-2</v>
      </c>
      <c r="F100" s="301"/>
      <c r="G100" s="364"/>
      <c r="H100" s="285"/>
    </row>
    <row r="101" spans="1:10" ht="18.75">
      <c r="C101" s="357" t="s">
        <v>77</v>
      </c>
      <c r="D101" s="358">
        <f>D100*$B$98</f>
        <v>17.361111111111111</v>
      </c>
      <c r="F101" s="301"/>
      <c r="G101" s="362"/>
      <c r="H101" s="285"/>
    </row>
    <row r="102" spans="1:10" ht="19.5" customHeight="1">
      <c r="C102" s="365" t="s">
        <v>78</v>
      </c>
      <c r="D102" s="366">
        <f>D101/B34</f>
        <v>17.361111111111111</v>
      </c>
      <c r="F102" s="305"/>
      <c r="G102" s="362"/>
      <c r="H102" s="285"/>
      <c r="J102" s="367"/>
    </row>
    <row r="103" spans="1:10" ht="18.75">
      <c r="C103" s="368" t="s">
        <v>113</v>
      </c>
      <c r="D103" s="369">
        <f>AVERAGE(E91:E94,G91:G94)</f>
        <v>2864257.9726447929</v>
      </c>
      <c r="F103" s="305"/>
      <c r="G103" s="370"/>
      <c r="H103" s="285"/>
      <c r="J103" s="371"/>
    </row>
    <row r="104" spans="1:10" ht="18.75">
      <c r="C104" s="335" t="s">
        <v>80</v>
      </c>
      <c r="D104" s="372">
        <f>STDEV(E91:E94,G91:G94)/D103</f>
        <v>8.8698846246582259E-3</v>
      </c>
      <c r="F104" s="305"/>
      <c r="G104" s="362"/>
      <c r="H104" s="285"/>
      <c r="J104" s="371"/>
    </row>
    <row r="105" spans="1:10" ht="19.5" customHeight="1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>
      <c r="A106" s="309"/>
      <c r="B106" s="309"/>
      <c r="C106" s="309"/>
      <c r="D106" s="309"/>
      <c r="E106" s="309"/>
    </row>
    <row r="107" spans="1:10" ht="26.25" customHeight="1">
      <c r="A107" s="257" t="s">
        <v>114</v>
      </c>
      <c r="B107" s="258">
        <v>900</v>
      </c>
      <c r="C107" s="374" t="s">
        <v>115</v>
      </c>
      <c r="D107" s="375" t="s">
        <v>59</v>
      </c>
      <c r="E107" s="376" t="s">
        <v>116</v>
      </c>
      <c r="F107" s="377" t="s">
        <v>117</v>
      </c>
    </row>
    <row r="108" spans="1:10" ht="26.25" customHeight="1">
      <c r="A108" s="259" t="s">
        <v>118</v>
      </c>
      <c r="B108" s="260">
        <v>1</v>
      </c>
      <c r="C108" s="378">
        <v>1</v>
      </c>
      <c r="D108" s="379">
        <v>3025533</v>
      </c>
      <c r="E108" s="410">
        <f t="shared" ref="E108:E113" si="1">IF(ISBLANK(D108),"-",D108/$D$103*$D$100*$B$116)</f>
        <v>52.815302058953328</v>
      </c>
      <c r="F108" s="380">
        <f t="shared" ref="F108:F113" si="2">IF(ISBLANK(D108), "-", E108/$B$56)</f>
        <v>1.0563060411790666</v>
      </c>
    </row>
    <row r="109" spans="1:10" ht="26.25" customHeight="1">
      <c r="A109" s="259" t="s">
        <v>91</v>
      </c>
      <c r="B109" s="260">
        <v>1</v>
      </c>
      <c r="C109" s="378">
        <v>2</v>
      </c>
      <c r="D109" s="379">
        <v>2921615</v>
      </c>
      <c r="E109" s="411">
        <f t="shared" si="1"/>
        <v>51.001254564061568</v>
      </c>
      <c r="F109" s="381">
        <f t="shared" si="2"/>
        <v>1.0200250912812314</v>
      </c>
    </row>
    <row r="110" spans="1:10" ht="26.25" customHeight="1">
      <c r="A110" s="259" t="s">
        <v>92</v>
      </c>
      <c r="B110" s="260">
        <v>1</v>
      </c>
      <c r="C110" s="378">
        <v>3</v>
      </c>
      <c r="D110" s="379">
        <v>3002919</v>
      </c>
      <c r="E110" s="411">
        <f t="shared" si="1"/>
        <v>52.420540130803417</v>
      </c>
      <c r="F110" s="381">
        <f t="shared" si="2"/>
        <v>1.0484108026160683</v>
      </c>
    </row>
    <row r="111" spans="1:10" ht="26.25" customHeight="1">
      <c r="A111" s="259" t="s">
        <v>93</v>
      </c>
      <c r="B111" s="260">
        <v>1</v>
      </c>
      <c r="C111" s="378">
        <v>4</v>
      </c>
      <c r="D111" s="379">
        <v>2865329</v>
      </c>
      <c r="E111" s="411">
        <f t="shared" si="1"/>
        <v>50.018696419202392</v>
      </c>
      <c r="F111" s="381">
        <f t="shared" si="2"/>
        <v>1.0003739283840478</v>
      </c>
    </row>
    <row r="112" spans="1:10" ht="26.25" customHeight="1">
      <c r="A112" s="259" t="s">
        <v>94</v>
      </c>
      <c r="B112" s="260">
        <v>1</v>
      </c>
      <c r="C112" s="378">
        <v>5</v>
      </c>
      <c r="D112" s="379">
        <v>3026187</v>
      </c>
      <c r="E112" s="411">
        <f t="shared" si="1"/>
        <v>52.826718628379787</v>
      </c>
      <c r="F112" s="381">
        <f t="shared" si="2"/>
        <v>1.0565343725675957</v>
      </c>
    </row>
    <row r="113" spans="1:10" ht="26.25" customHeight="1">
      <c r="A113" s="259" t="s">
        <v>96</v>
      </c>
      <c r="B113" s="260">
        <v>1</v>
      </c>
      <c r="C113" s="382">
        <v>6</v>
      </c>
      <c r="D113" s="383">
        <v>2982900</v>
      </c>
      <c r="E113" s="412">
        <f t="shared" si="1"/>
        <v>52.071077893267685</v>
      </c>
      <c r="F113" s="384">
        <f t="shared" si="2"/>
        <v>1.0414215578653536</v>
      </c>
    </row>
    <row r="114" spans="1:10" ht="26.25" customHeight="1">
      <c r="A114" s="259" t="s">
        <v>97</v>
      </c>
      <c r="B114" s="260">
        <v>1</v>
      </c>
      <c r="C114" s="378"/>
      <c r="D114" s="332"/>
      <c r="E114" s="233"/>
      <c r="F114" s="385"/>
    </row>
    <row r="115" spans="1:10" ht="26.25" customHeight="1">
      <c r="A115" s="259" t="s">
        <v>98</v>
      </c>
      <c r="B115" s="260">
        <v>1</v>
      </c>
      <c r="C115" s="378"/>
      <c r="D115" s="386" t="s">
        <v>67</v>
      </c>
      <c r="E115" s="414">
        <f>AVERAGE(E108:E113)</f>
        <v>51.858931615778033</v>
      </c>
      <c r="F115" s="387">
        <f>AVERAGE(F108:F113)</f>
        <v>1.0371786323155605</v>
      </c>
    </row>
    <row r="116" spans="1:10" ht="27" customHeight="1">
      <c r="A116" s="259" t="s">
        <v>99</v>
      </c>
      <c r="B116" s="291">
        <f>(B115/B114)*(B113/B112)*(B111/B110)*(B109/B108)*B107</f>
        <v>900</v>
      </c>
      <c r="C116" s="388"/>
      <c r="D116" s="351" t="s">
        <v>80</v>
      </c>
      <c r="E116" s="389">
        <f>STDEV(E108:E113)/E115</f>
        <v>2.1703091927759429E-2</v>
      </c>
      <c r="F116" s="389">
        <f>STDEV(F108:F113)/F115</f>
        <v>2.1703091927763433E-2</v>
      </c>
      <c r="I116" s="233"/>
    </row>
    <row r="117" spans="1:10" ht="27" customHeight="1">
      <c r="A117" s="550" t="s">
        <v>74</v>
      </c>
      <c r="B117" s="551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>
      <c r="A118" s="552"/>
      <c r="B118" s="553"/>
      <c r="C118" s="233"/>
      <c r="D118" s="233"/>
      <c r="E118" s="233"/>
      <c r="F118" s="332"/>
      <c r="G118" s="233"/>
      <c r="H118" s="233"/>
      <c r="I118" s="233"/>
    </row>
    <row r="119" spans="1:10" ht="18.75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>
      <c r="A120" s="243" t="s">
        <v>102</v>
      </c>
      <c r="B120" s="339" t="s">
        <v>119</v>
      </c>
      <c r="C120" s="554" t="str">
        <f>B20</f>
        <v/>
      </c>
      <c r="D120" s="554"/>
      <c r="E120" s="340" t="s">
        <v>120</v>
      </c>
      <c r="F120" s="340"/>
      <c r="G120" s="341">
        <f>F115</f>
        <v>1.0371786323155605</v>
      </c>
      <c r="H120" s="233"/>
      <c r="I120" s="233"/>
    </row>
    <row r="121" spans="1:10" ht="19.5" customHeight="1">
      <c r="A121" s="393"/>
      <c r="B121" s="393"/>
      <c r="C121" s="394"/>
      <c r="D121" s="394"/>
      <c r="E121" s="394"/>
      <c r="F121" s="394"/>
      <c r="G121" s="394"/>
      <c r="H121" s="394"/>
    </row>
    <row r="122" spans="1:10" ht="18.75">
      <c r="B122" s="555" t="s">
        <v>22</v>
      </c>
      <c r="C122" s="555"/>
      <c r="E122" s="346" t="s">
        <v>23</v>
      </c>
      <c r="F122" s="395"/>
      <c r="G122" s="555" t="s">
        <v>24</v>
      </c>
      <c r="H122" s="555"/>
    </row>
    <row r="123" spans="1:10" ht="69.95" customHeight="1">
      <c r="A123" s="396" t="s">
        <v>25</v>
      </c>
      <c r="B123" s="397"/>
      <c r="C123" s="397"/>
      <c r="E123" s="397"/>
      <c r="F123" s="233"/>
      <c r="G123" s="398"/>
      <c r="H123" s="398"/>
    </row>
    <row r="124" spans="1:10" ht="69.95" customHeight="1">
      <c r="A124" s="396" t="s">
        <v>26</v>
      </c>
      <c r="B124" s="399"/>
      <c r="C124" s="399"/>
      <c r="E124" s="399"/>
      <c r="F124" s="233"/>
      <c r="G124" s="400"/>
      <c r="H124" s="400"/>
    </row>
    <row r="125" spans="1:10" ht="18.75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SST(Assay)</vt:lpstr>
      <vt:lpstr>SST(Diss.)</vt:lpstr>
      <vt:lpstr>Uniformity</vt:lpstr>
      <vt:lpstr>Lopinavir</vt:lpstr>
      <vt:lpstr>Ritonavir</vt:lpstr>
      <vt:lpstr>'SST(Assay)'!Print_Area</vt:lpstr>
      <vt:lpstr>'SST(Diss.)'!Print_Area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Martin Ongas</cp:lastModifiedBy>
  <cp:lastPrinted>2016-06-30T08:18:12Z</cp:lastPrinted>
  <dcterms:created xsi:type="dcterms:W3CDTF">2005-07-05T10:19:27Z</dcterms:created>
  <dcterms:modified xsi:type="dcterms:W3CDTF">2016-06-30T09:16:19Z</dcterms:modified>
</cp:coreProperties>
</file>