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1"/>
  </bookViews>
  <sheets>
    <sheet name="SST(Assay)" sheetId="9" r:id="rId1"/>
    <sheet name="SST(Diss.)" sheetId="11" r:id="rId2"/>
    <sheet name="Uniformity" sheetId="4" r:id="rId3"/>
    <sheet name="Lopinavir" sheetId="2" r:id="rId4"/>
    <sheet name="Ritonavir" sheetId="3" r:id="rId5"/>
  </sheets>
  <externalReferences>
    <externalReference r:id="rId6"/>
    <externalReference r:id="rId7"/>
  </externalReferences>
  <definedNames>
    <definedName name="_xlnm.Print_Area" localSheetId="0">'SST(Assay)'!$A$1:$G$62</definedName>
    <definedName name="_xlnm.Print_Area" localSheetId="1">'SST(Diss.)'!$A$1:$G$62</definedName>
    <definedName name="_xlnm.Print_Area" localSheetId="2">Uniformity!$A$1:$G$54</definedName>
  </definedNames>
  <calcPr calcId="124519"/>
</workbook>
</file>

<file path=xl/calcChain.xml><?xml version="1.0" encoding="utf-8"?>
<calcChain xmlns="http://schemas.openxmlformats.org/spreadsheetml/2006/main">
  <c r="B53" i="11"/>
  <c r="F51"/>
  <c r="E51"/>
  <c r="D51"/>
  <c r="C51"/>
  <c r="B51"/>
  <c r="B52" s="1"/>
  <c r="B42"/>
  <c r="B41"/>
  <c r="B40"/>
  <c r="B39"/>
  <c r="B32"/>
  <c r="E30"/>
  <c r="D30"/>
  <c r="C30"/>
  <c r="B30"/>
  <c r="B31" s="1"/>
  <c r="B21"/>
  <c r="B20"/>
  <c r="B19"/>
  <c r="B18"/>
  <c r="B17"/>
  <c r="B53" i="9" l="1"/>
  <c r="B52"/>
  <c r="F51"/>
  <c r="E51"/>
  <c r="D51"/>
  <c r="C51"/>
  <c r="B51"/>
  <c r="B42"/>
  <c r="B41"/>
  <c r="B40"/>
  <c r="B39"/>
  <c r="B38"/>
  <c r="B32"/>
  <c r="E30"/>
  <c r="D30"/>
  <c r="C30"/>
  <c r="B30"/>
  <c r="B31" s="1"/>
  <c r="B21"/>
  <c r="D68" i="3" l="1"/>
  <c r="D64"/>
  <c r="D60"/>
  <c r="B23"/>
  <c r="B57"/>
  <c r="B57" i="2"/>
  <c r="D50" i="4" l="1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C120" i="3"/>
  <c r="B116"/>
  <c r="D100" s="1"/>
  <c r="B98"/>
  <c r="F95"/>
  <c r="D95"/>
  <c r="B87"/>
  <c r="F97" s="1"/>
  <c r="F98" s="1"/>
  <c r="B83"/>
  <c r="B80"/>
  <c r="B79"/>
  <c r="C76"/>
  <c r="B68"/>
  <c r="B69" s="1"/>
  <c r="C56"/>
  <c r="B55"/>
  <c r="B45"/>
  <c r="F42"/>
  <c r="D42"/>
  <c r="B34"/>
  <c r="F44" s="1"/>
  <c r="B30"/>
  <c r="C120" i="2"/>
  <c r="B116"/>
  <c r="D100" s="1"/>
  <c r="B98"/>
  <c r="F95"/>
  <c r="D95"/>
  <c r="B87"/>
  <c r="D97" s="1"/>
  <c r="B83"/>
  <c r="B81"/>
  <c r="B80"/>
  <c r="B79"/>
  <c r="C76"/>
  <c r="B68"/>
  <c r="B69" s="1"/>
  <c r="C56"/>
  <c r="B55"/>
  <c r="B45"/>
  <c r="F44"/>
  <c r="F42"/>
  <c r="D42"/>
  <c r="G41"/>
  <c r="E41"/>
  <c r="B34"/>
  <c r="D44" s="1"/>
  <c r="B30"/>
  <c r="I92" i="3" l="1"/>
  <c r="I39"/>
  <c r="D44"/>
  <c r="D45" s="1"/>
  <c r="F45"/>
  <c r="G40" s="1"/>
  <c r="D48"/>
  <c r="D101"/>
  <c r="D97"/>
  <c r="D98" s="1"/>
  <c r="E93" s="1"/>
  <c r="G92"/>
  <c r="G91"/>
  <c r="F99"/>
  <c r="G94"/>
  <c r="G93"/>
  <c r="D102"/>
  <c r="I92" i="2"/>
  <c r="F97"/>
  <c r="F98" s="1"/>
  <c r="D98"/>
  <c r="D99" s="1"/>
  <c r="D101"/>
  <c r="D102" s="1"/>
  <c r="I39"/>
  <c r="F45"/>
  <c r="D45"/>
  <c r="D46" s="1"/>
  <c r="D48"/>
  <c r="E38" s="1"/>
  <c r="G38" i="3" l="1"/>
  <c r="D46"/>
  <c r="E38"/>
  <c r="F46"/>
  <c r="G41"/>
  <c r="D49"/>
  <c r="E41"/>
  <c r="E39"/>
  <c r="G39"/>
  <c r="G42" s="1"/>
  <c r="E40"/>
  <c r="G95"/>
  <c r="E94"/>
  <c r="E92"/>
  <c r="D99"/>
  <c r="E91"/>
  <c r="E94" i="2"/>
  <c r="E92"/>
  <c r="E91"/>
  <c r="E93"/>
  <c r="G40"/>
  <c r="G38"/>
  <c r="F46"/>
  <c r="G93"/>
  <c r="F99"/>
  <c r="G92"/>
  <c r="G94"/>
  <c r="G91"/>
  <c r="E40"/>
  <c r="G39"/>
  <c r="D49"/>
  <c r="E39"/>
  <c r="D105" i="3" l="1"/>
  <c r="D50"/>
  <c r="G69" s="1"/>
  <c r="H69" s="1"/>
  <c r="E42"/>
  <c r="D52"/>
  <c r="D51"/>
  <c r="G65"/>
  <c r="H65" s="1"/>
  <c r="G63"/>
  <c r="H63" s="1"/>
  <c r="G64"/>
  <c r="H64" s="1"/>
  <c r="G60"/>
  <c r="G62"/>
  <c r="H62" s="1"/>
  <c r="G70"/>
  <c r="H70" s="1"/>
  <c r="G67"/>
  <c r="H67" s="1"/>
  <c r="G66"/>
  <c r="H66" s="1"/>
  <c r="G68"/>
  <c r="H68" s="1"/>
  <c r="E95"/>
  <c r="D103"/>
  <c r="E112" s="1"/>
  <c r="F112" s="1"/>
  <c r="E95" i="2"/>
  <c r="D103"/>
  <c r="E113" s="1"/>
  <c r="F113" s="1"/>
  <c r="E42"/>
  <c r="D50"/>
  <c r="D51" s="1"/>
  <c r="G95"/>
  <c r="D52"/>
  <c r="G42"/>
  <c r="D105"/>
  <c r="D104" i="3" l="1"/>
  <c r="G71"/>
  <c r="H71" s="1"/>
  <c r="G61"/>
  <c r="H61" s="1"/>
  <c r="H60"/>
  <c r="E110"/>
  <c r="F110" s="1"/>
  <c r="E109"/>
  <c r="F109" s="1"/>
  <c r="E113"/>
  <c r="F113" s="1"/>
  <c r="E108"/>
  <c r="E111"/>
  <c r="F111" s="1"/>
  <c r="E109" i="2"/>
  <c r="F109" s="1"/>
  <c r="D104"/>
  <c r="E111"/>
  <c r="F111" s="1"/>
  <c r="E108"/>
  <c r="F108" s="1"/>
  <c r="E110"/>
  <c r="F110" s="1"/>
  <c r="E112"/>
  <c r="F112" s="1"/>
  <c r="G71"/>
  <c r="H71" s="1"/>
  <c r="G70"/>
  <c r="H70" s="1"/>
  <c r="G67"/>
  <c r="H67" s="1"/>
  <c r="G63"/>
  <c r="H63" s="1"/>
  <c r="G60"/>
  <c r="H60" s="1"/>
  <c r="G64"/>
  <c r="H64" s="1"/>
  <c r="G69"/>
  <c r="H69" s="1"/>
  <c r="G61"/>
  <c r="H61" s="1"/>
  <c r="G66"/>
  <c r="H66" s="1"/>
  <c r="G62"/>
  <c r="H62" s="1"/>
  <c r="G68"/>
  <c r="H68" s="1"/>
  <c r="G65"/>
  <c r="H65" s="1"/>
  <c r="G72" i="3" l="1"/>
  <c r="G73" s="1"/>
  <c r="G74"/>
  <c r="H72"/>
  <c r="G76" s="1"/>
  <c r="H74"/>
  <c r="E117"/>
  <c r="F108"/>
  <c r="F115" s="1"/>
  <c r="E115"/>
  <c r="E116" s="1"/>
  <c r="E115" i="2"/>
  <c r="E116" s="1"/>
  <c r="E117"/>
  <c r="G72"/>
  <c r="G73" s="1"/>
  <c r="G74"/>
  <c r="F115"/>
  <c r="F117"/>
  <c r="H72"/>
  <c r="H74"/>
  <c r="F117" i="3" l="1"/>
  <c r="H73"/>
  <c r="G120"/>
  <c r="F116"/>
  <c r="F116" i="2"/>
  <c r="G120"/>
  <c r="G76"/>
  <c r="H73"/>
</calcChain>
</file>

<file path=xl/sharedStrings.xml><?xml version="1.0" encoding="utf-8"?>
<sst xmlns="http://schemas.openxmlformats.org/spreadsheetml/2006/main" count="436" uniqueCount="131">
  <si>
    <t>HPLC System Suitability Report</t>
  </si>
  <si>
    <t>Analysis Data</t>
  </si>
  <si>
    <t>Assay</t>
  </si>
  <si>
    <t>Sample(s)</t>
  </si>
  <si>
    <t>Reference Substance:</t>
  </si>
  <si>
    <t>ALUVIA TABLETS</t>
  </si>
  <si>
    <t>% age Purity:</t>
  </si>
  <si>
    <t>NDQD2016061024</t>
  </si>
  <si>
    <t>Weight (mg):</t>
  </si>
  <si>
    <t>Lopinavir 200mg &amp; Ritonavir 50mg</t>
  </si>
  <si>
    <t>Standard Conc (mg/mL):</t>
  </si>
  <si>
    <t>Each film-coated tablet contains Lopinavir 200 mg, Ritonavir 50 mg</t>
  </si>
  <si>
    <t>2016-06-09 13:31:39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</si>
  <si>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</si>
  <si>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</si>
  <si>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</si>
  <si>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</si>
  <si>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</si>
  <si>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</si>
  <si>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</si>
  <si>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</si>
  <si>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</si>
  <si>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</si>
  <si>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</si>
  <si>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</si>
  <si>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</si>
  <si>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</si>
  <si>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</si>
  <si>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</si>
  <si>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</si>
  <si>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</si>
  <si>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</si>
  <si>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</si>
  <si>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</si>
  <si>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</si>
  <si>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</si>
  <si>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</si>
  <si>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</si>
  <si>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</si>
  <si>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</si>
  <si>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</si>
  <si>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</si>
  <si>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</si>
  <si>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</si>
  <si>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</si>
  <si>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</si>
  <si>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</si>
  <si>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</si>
  <si>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</si>
  <si>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</si>
  <si>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</si>
  <si>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</si>
  <si>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</si>
  <si>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</si>
  <si>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</si>
  <si>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</si>
  <si>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</si>
  <si>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</si>
  <si>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</si>
  <si>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</si>
  <si>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</si>
  <si>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</si>
  <si>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</si>
  <si>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</si>
  <si>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</si>
  <si>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</si>
  <si>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</si>
  <si>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</si>
  <si>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</si>
  <si>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</si>
  <si>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</si>
  <si>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</si>
  <si>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</si>
  <si>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</si>
  <si>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</si>
  <si>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</si>
  <si>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</si>
  <si>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</si>
  <si>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</si>
  <si>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</si>
  <si>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</si>
  <si>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</si>
  <si>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</si>
  <si>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</si>
  <si>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</si>
  <si>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</si>
  <si>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</si>
  <si>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</si>
  <si>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</si>
  <si>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</si>
  <si>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</si>
  <si>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</si>
  <si>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</si>
  <si>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</si>
  <si>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</si>
  <si>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</si>
  <si>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</si>
  <si>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</si>
  <si>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</si>
  <si>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</si>
  <si>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</si>
  <si>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</si>
  <si>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</si>
  <si>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</si>
  <si>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</si>
  <si>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</si>
  <si>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</si>
  <si>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</si>
  <si>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</si>
  <si>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</si>
  <si>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</si>
  <si>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</si>
  <si>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</si>
  <si>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</si>
  <si>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</si>
  <si>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</si>
  <si>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</si>
  <si>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</si>
  <si>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</si>
  <si>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</si>
  <si>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</si>
  <si>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</si>
  <si>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</si>
  <si>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</si>
  <si>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</si>
  <si>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Lopinavir USP</t>
  </si>
  <si>
    <t>2016-06-09 13:35:29</t>
  </si>
  <si>
    <t>F0I127</t>
  </si>
  <si>
    <t>Ritonavir USP</t>
  </si>
  <si>
    <t>G0L143</t>
  </si>
  <si>
    <t>Peak resolution</t>
  </si>
</sst>
</file>

<file path=xl/styles.xml><?xml version="1.0" encoding="utf-8"?>
<styleSheet xmlns="http://schemas.openxmlformats.org/spreadsheetml/2006/main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3" formatCode="0.0"/>
  </numFmts>
  <fonts count="29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4"/>
      <name val="Book Antiqua"/>
      <family val="1"/>
    </font>
    <font>
      <sz val="10"/>
      <color rgb="FF000000"/>
      <name val="Arial"/>
      <family val="2"/>
    </font>
    <font>
      <sz val="12"/>
      <name val="Book Antiqua"/>
      <family val="1"/>
    </font>
    <font>
      <sz val="10"/>
      <color rgb="FF000000"/>
      <name val="Arial"/>
    </font>
    <font>
      <b/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3" fillId="2" borderId="0"/>
    <xf numFmtId="0" fontId="25" fillId="2" borderId="0"/>
    <xf numFmtId="0" fontId="23" fillId="2" borderId="0"/>
    <xf numFmtId="0" fontId="27" fillId="2" borderId="0"/>
    <xf numFmtId="9" fontId="23" fillId="2" borderId="0" applyFont="0" applyFill="0" applyBorder="0" applyAlignment="0" applyProtection="0"/>
  </cellStyleXfs>
  <cellXfs count="5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3" borderId="21" xfId="0" applyFont="1" applyFill="1" applyBorder="1" applyAlignment="1" applyProtection="1">
      <alignment horizontal="center"/>
      <protection locked="0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9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0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1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24" fillId="8" borderId="59" xfId="1" applyFont="1" applyFill="1" applyBorder="1" applyAlignment="1" applyProtection="1">
      <alignment horizontal="center"/>
      <protection locked="0"/>
    </xf>
    <xf numFmtId="2" fontId="24" fillId="8" borderId="59" xfId="1" applyNumberFormat="1" applyFont="1" applyFill="1" applyBorder="1" applyAlignment="1" applyProtection="1">
      <alignment horizontal="center"/>
      <protection locked="0"/>
    </xf>
    <xf numFmtId="2" fontId="24" fillId="8" borderId="60" xfId="1" applyNumberFormat="1" applyFont="1" applyFill="1" applyBorder="1" applyAlignment="1" applyProtection="1">
      <alignment horizontal="center"/>
      <protection locked="0"/>
    </xf>
    <xf numFmtId="0" fontId="24" fillId="8" borderId="61" xfId="1" applyFont="1" applyFill="1" applyBorder="1" applyAlignment="1" applyProtection="1">
      <alignment horizontal="center"/>
      <protection locked="0"/>
    </xf>
    <xf numFmtId="2" fontId="24" fillId="8" borderId="61" xfId="1" applyNumberFormat="1" applyFont="1" applyFill="1" applyBorder="1" applyAlignment="1" applyProtection="1">
      <alignment horizontal="center"/>
      <protection locked="0"/>
    </xf>
    <xf numFmtId="0" fontId="25" fillId="2" borderId="0" xfId="2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left"/>
    </xf>
    <xf numFmtId="164" fontId="5" fillId="2" borderId="0" xfId="2" applyNumberFormat="1" applyFont="1" applyFill="1" applyAlignment="1">
      <alignment horizontal="left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6" fillId="8" borderId="59" xfId="1" applyFont="1" applyFill="1" applyBorder="1" applyAlignment="1" applyProtection="1">
      <alignment horizontal="left"/>
      <protection locked="0"/>
    </xf>
    <xf numFmtId="173" fontId="26" fillId="8" borderId="59" xfId="1" applyNumberFormat="1" applyFont="1" applyFill="1" applyBorder="1" applyAlignment="1" applyProtection="1">
      <alignment horizontal="center"/>
      <protection locked="0"/>
    </xf>
    <xf numFmtId="2" fontId="26" fillId="8" borderId="59" xfId="1" applyNumberFormat="1" applyFont="1" applyFill="1" applyBorder="1" applyAlignment="1" applyProtection="1">
      <alignment horizontal="center"/>
      <protection locked="0"/>
    </xf>
    <xf numFmtId="2" fontId="26" fillId="8" borderId="60" xfId="1" applyNumberFormat="1" applyFont="1" applyFill="1" applyBorder="1" applyAlignment="1" applyProtection="1">
      <alignment horizontal="center"/>
      <protection locked="0"/>
    </xf>
    <xf numFmtId="0" fontId="26" fillId="8" borderId="61" xfId="1" applyFont="1" applyFill="1" applyBorder="1" applyAlignment="1" applyProtection="1">
      <alignment horizontal="left"/>
      <protection locked="0"/>
    </xf>
    <xf numFmtId="173" fontId="26" fillId="8" borderId="61" xfId="1" applyNumberFormat="1" applyFont="1" applyFill="1" applyBorder="1" applyAlignment="1" applyProtection="1">
      <alignment horizontal="center"/>
      <protection locked="0"/>
    </xf>
    <xf numFmtId="2" fontId="26" fillId="8" borderId="61" xfId="1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4" fillId="8" borderId="59" xfId="1" applyFont="1" applyFill="1" applyBorder="1" applyAlignment="1" applyProtection="1">
      <alignment horizontal="left"/>
      <protection locked="0"/>
    </xf>
    <xf numFmtId="0" fontId="24" fillId="8" borderId="61" xfId="1" applyFont="1" applyFill="1" applyBorder="1" applyAlignment="1" applyProtection="1">
      <alignment horizontal="left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4" fillId="2" borderId="0" xfId="4" applyFont="1" applyFill="1"/>
    <xf numFmtId="0" fontId="4" fillId="2" borderId="0" xfId="4" applyFont="1" applyFill="1" applyAlignment="1">
      <alignment horizontal="center"/>
    </xf>
    <xf numFmtId="0" fontId="5" fillId="2" borderId="0" xfId="4" applyFont="1" applyFill="1" applyAlignment="1">
      <alignment horizontal="left"/>
    </xf>
    <xf numFmtId="0" fontId="28" fillId="2" borderId="0" xfId="3" applyFont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9" fontId="5" fillId="2" borderId="0" xfId="4" applyNumberFormat="1" applyFont="1" applyFill="1" applyAlignment="1">
      <alignment horizontal="center"/>
    </xf>
    <xf numFmtId="22" fontId="6" fillId="2" borderId="0" xfId="4" applyNumberFormat="1" applyFont="1" applyFill="1"/>
    <xf numFmtId="0" fontId="5" fillId="2" borderId="1" xfId="4" applyFont="1" applyFill="1" applyBorder="1" applyAlignment="1">
      <alignment horizontal="left"/>
    </xf>
    <xf numFmtId="0" fontId="5" fillId="2" borderId="2" xfId="4" applyFont="1" applyFill="1" applyBorder="1" applyAlignment="1">
      <alignment horizontal="left"/>
    </xf>
    <xf numFmtId="0" fontId="2" fillId="2" borderId="0" xfId="4" applyFont="1" applyFill="1" applyAlignment="1">
      <alignment horizontal="left"/>
    </xf>
    <xf numFmtId="0" fontId="6" fillId="2" borderId="3" xfId="4" applyFont="1" applyFill="1" applyBorder="1" applyAlignment="1">
      <alignment horizontal="center"/>
    </xf>
    <xf numFmtId="0" fontId="24" fillId="8" borderId="59" xfId="3" applyFont="1" applyFill="1" applyBorder="1" applyAlignment="1" applyProtection="1">
      <alignment horizontal="center"/>
      <protection locked="0"/>
    </xf>
    <xf numFmtId="2" fontId="24" fillId="8" borderId="59" xfId="3" applyNumberFormat="1" applyFont="1" applyFill="1" applyBorder="1" applyAlignment="1" applyProtection="1">
      <alignment horizontal="center"/>
      <protection locked="0"/>
    </xf>
    <xf numFmtId="2" fontId="24" fillId="8" borderId="60" xfId="3" applyNumberFormat="1" applyFont="1" applyFill="1" applyBorder="1" applyAlignment="1" applyProtection="1">
      <alignment horizontal="center"/>
      <protection locked="0"/>
    </xf>
    <xf numFmtId="0" fontId="24" fillId="8" borderId="61" xfId="3" applyFont="1" applyFill="1" applyBorder="1" applyAlignment="1" applyProtection="1">
      <alignment horizontal="center"/>
      <protection locked="0"/>
    </xf>
    <xf numFmtId="2" fontId="24" fillId="8" borderId="61" xfId="3" applyNumberFormat="1" applyFont="1" applyFill="1" applyBorder="1" applyAlignment="1" applyProtection="1">
      <alignment horizontal="center"/>
      <protection locked="0"/>
    </xf>
    <xf numFmtId="0" fontId="6" fillId="2" borderId="4" xfId="4" applyFont="1" applyFill="1" applyBorder="1"/>
    <xf numFmtId="1" fontId="5" fillId="4" borderId="2" xfId="4" applyNumberFormat="1" applyFont="1" applyFill="1" applyBorder="1" applyAlignment="1">
      <alignment horizontal="center"/>
    </xf>
    <xf numFmtId="1" fontId="5" fillId="4" borderId="1" xfId="4" applyNumberFormat="1" applyFont="1" applyFill="1" applyBorder="1" applyAlignment="1">
      <alignment horizontal="center"/>
    </xf>
    <xf numFmtId="2" fontId="5" fillId="4" borderId="1" xfId="4" applyNumberFormat="1" applyFont="1" applyFill="1" applyBorder="1" applyAlignment="1">
      <alignment horizontal="center"/>
    </xf>
    <xf numFmtId="0" fontId="6" fillId="2" borderId="3" xfId="4" applyFont="1" applyFill="1" applyBorder="1"/>
    <xf numFmtId="10" fontId="5" fillId="5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6" xfId="4" applyFont="1" applyFill="1" applyBorder="1" applyAlignment="1">
      <alignment horizontal="center"/>
    </xf>
    <xf numFmtId="0" fontId="6" fillId="2" borderId="5" xfId="4" applyFont="1" applyFill="1" applyBorder="1"/>
    <xf numFmtId="0" fontId="5" fillId="4" borderId="1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8" xfId="4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0" fontId="6" fillId="2" borderId="0" xfId="4" applyFont="1" applyFill="1" applyAlignment="1" applyProtection="1">
      <alignment horizontal="center"/>
      <protection locked="0"/>
    </xf>
    <xf numFmtId="0" fontId="2" fillId="2" borderId="0" xfId="4" applyFont="1" applyFill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7" fillId="3" borderId="3" xfId="4" applyFont="1" applyFill="1" applyBorder="1" applyAlignment="1" applyProtection="1">
      <alignment horizontal="center"/>
      <protection locked="0"/>
    </xf>
    <xf numFmtId="2" fontId="7" fillId="3" borderId="3" xfId="4" applyNumberFormat="1" applyFont="1" applyFill="1" applyBorder="1" applyAlignment="1" applyProtection="1">
      <alignment horizontal="center"/>
      <protection locked="0"/>
    </xf>
    <xf numFmtId="2" fontId="7" fillId="3" borderId="4" xfId="4" applyNumberFormat="1" applyFont="1" applyFill="1" applyBorder="1" applyAlignment="1" applyProtection="1">
      <alignment horizontal="center"/>
      <protection locked="0"/>
    </xf>
    <xf numFmtId="0" fontId="7" fillId="3" borderId="5" xfId="4" applyFont="1" applyFill="1" applyBorder="1" applyAlignment="1" applyProtection="1">
      <alignment horizontal="center"/>
      <protection locked="0"/>
    </xf>
    <xf numFmtId="2" fontId="7" fillId="3" borderId="5" xfId="4" applyNumberFormat="1" applyFont="1" applyFill="1" applyBorder="1" applyAlignment="1" applyProtection="1">
      <alignment horizontal="center"/>
      <protection locked="0"/>
    </xf>
    <xf numFmtId="1" fontId="8" fillId="4" borderId="2" xfId="4" applyNumberFormat="1" applyFont="1" applyFill="1" applyBorder="1" applyAlignment="1">
      <alignment horizontal="center"/>
    </xf>
    <xf numFmtId="1" fontId="8" fillId="4" borderId="1" xfId="4" applyNumberFormat="1" applyFont="1" applyFill="1" applyBorder="1" applyAlignment="1">
      <alignment horizontal="center"/>
    </xf>
    <xf numFmtId="2" fontId="8" fillId="4" borderId="1" xfId="4" applyNumberFormat="1" applyFont="1" applyFill="1" applyBorder="1" applyAlignment="1">
      <alignment horizontal="center"/>
    </xf>
    <xf numFmtId="0" fontId="6" fillId="2" borderId="6" xfId="4" applyFont="1" applyFill="1" applyBorder="1"/>
    <xf numFmtId="0" fontId="6" fillId="2" borderId="7" xfId="4" applyFont="1" applyFill="1" applyBorder="1"/>
    <xf numFmtId="0" fontId="6" fillId="2" borderId="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9" xfId="4" applyFont="1" applyFill="1" applyBorder="1"/>
    <xf numFmtId="10" fontId="2" fillId="2" borderId="9" xfId="4" applyNumberFormat="1" applyFont="1" applyFill="1" applyBorder="1"/>
    <xf numFmtId="0" fontId="0" fillId="2" borderId="0" xfId="4" applyFont="1" applyFill="1"/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1" fillId="2" borderId="10" xfId="4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1" fillId="2" borderId="55" xfId="0" applyFont="1" applyFill="1" applyBorder="1" applyAlignment="1">
      <alignment horizontal="center" wrapText="1"/>
    </xf>
    <xf numFmtId="0" fontId="21" fillId="2" borderId="56" xfId="0" applyFont="1" applyFill="1" applyBorder="1" applyAlignment="1">
      <alignment horizontal="center" wrapText="1"/>
    </xf>
    <xf numFmtId="0" fontId="21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left" wrapText="1"/>
      <protection locked="0"/>
    </xf>
    <xf numFmtId="0" fontId="15" fillId="2" borderId="5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15" fillId="2" borderId="5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5" fillId="2" borderId="55" xfId="0" applyFont="1" applyFill="1" applyBorder="1" applyAlignment="1">
      <alignment horizontal="justify" vertical="center" wrapText="1"/>
    </xf>
    <xf numFmtId="0" fontId="15" fillId="2" borderId="56" xfId="0" applyFont="1" applyFill="1" applyBorder="1" applyAlignment="1">
      <alignment horizontal="justify" vertical="center" wrapText="1"/>
    </xf>
    <xf numFmtId="0" fontId="15" fillId="2" borderId="57" xfId="0" applyFont="1" applyFill="1" applyBorder="1" applyAlignment="1">
      <alignment horizontal="justify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5" fillId="2" borderId="56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10" fontId="11" fillId="2" borderId="40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 applyProtection="1">
      <alignment horizontal="center" vertical="center"/>
      <protection locked="0"/>
    </xf>
    <xf numFmtId="2" fontId="9" fillId="3" borderId="40" xfId="0" applyNumberFormat="1" applyFont="1" applyFill="1" applyBorder="1" applyAlignment="1" applyProtection="1">
      <alignment horizontal="center" vertical="center"/>
      <protection locked="0"/>
    </xf>
    <xf numFmtId="2" fontId="9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Percent 2" xf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14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ST(Assay)"/>
      <sheetName val="SST(Diss.)"/>
      <sheetName val="Uniformity"/>
      <sheetName val="Lopinavir"/>
      <sheetName val="Ritonavir"/>
    </sheetNames>
    <sheetDataSet>
      <sheetData sheetId="0">
        <row r="17">
          <cell r="B17" t="str">
            <v>ALUVIA TABLETS</v>
          </cell>
        </row>
      </sheetData>
      <sheetData sheetId="1"/>
      <sheetData sheetId="2"/>
      <sheetData sheetId="3"/>
      <sheetData sheetId="4">
        <row r="26">
          <cell r="B26" t="str">
            <v>Ritonavir USP</v>
          </cell>
        </row>
        <row r="28">
          <cell r="B28">
            <v>99.4</v>
          </cell>
        </row>
        <row r="43">
          <cell r="D43">
            <v>13.48</v>
          </cell>
        </row>
        <row r="46">
          <cell r="D46">
            <v>0.21438592000000001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ST"/>
      <sheetName val="Relative density"/>
      <sheetName val="Lopinavir"/>
      <sheetName val="Ritonavir"/>
    </sheetNames>
    <sheetDataSet>
      <sheetData sheetId="0"/>
      <sheetData sheetId="1"/>
      <sheetData sheetId="2">
        <row r="18">
          <cell r="B18" t="str">
            <v>KALETRA ORAL SOLUTION</v>
          </cell>
        </row>
        <row r="26">
          <cell r="B26" t="str">
            <v>Lopinavir USP</v>
          </cell>
        </row>
        <row r="28">
          <cell r="B28">
            <v>99.8</v>
          </cell>
        </row>
        <row r="43">
          <cell r="D43">
            <v>25.49</v>
          </cell>
        </row>
        <row r="46">
          <cell r="D46">
            <v>1.0175607999999998</v>
          </cell>
        </row>
      </sheetData>
      <sheetData sheetId="3">
        <row r="26">
          <cell r="B26" t="str">
            <v>Ritonavir USP</v>
          </cell>
        </row>
        <row r="28">
          <cell r="B28">
            <v>99.4</v>
          </cell>
        </row>
        <row r="43">
          <cell r="D43">
            <v>15.73</v>
          </cell>
        </row>
        <row r="46">
          <cell r="D46">
            <v>0.25016992000000005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view="pageBreakPreview" topLeftCell="A31" zoomScale="80" zoomScaleSheetLayoutView="80" workbookViewId="0">
      <selection activeCell="F52" sqref="F52"/>
    </sheetView>
  </sheetViews>
  <sheetFormatPr defaultRowHeight="13.5"/>
  <cols>
    <col min="1" max="1" width="34.28515625" style="422" customWidth="1"/>
    <col min="2" max="2" width="27.5703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20"/>
  </cols>
  <sheetData>
    <row r="14" spans="1:6" ht="15" customHeight="1">
      <c r="A14" s="421"/>
      <c r="C14" s="423"/>
      <c r="F14" s="423"/>
    </row>
    <row r="15" spans="1:6" ht="18.75" customHeight="1">
      <c r="A15" s="533" t="s">
        <v>0</v>
      </c>
      <c r="B15" s="533"/>
      <c r="C15" s="533"/>
      <c r="D15" s="533"/>
      <c r="E15" s="533"/>
    </row>
    <row r="16" spans="1:6" ht="16.5" customHeight="1">
      <c r="A16" s="424" t="s">
        <v>1</v>
      </c>
      <c r="B16" s="425" t="s">
        <v>2</v>
      </c>
    </row>
    <row r="17" spans="1:5" ht="16.5" customHeight="1">
      <c r="A17" s="426" t="s">
        <v>3</v>
      </c>
      <c r="B17" s="426" t="s">
        <v>5</v>
      </c>
      <c r="D17" s="427"/>
      <c r="E17" s="428"/>
    </row>
    <row r="18" spans="1:5" ht="16.5" customHeight="1">
      <c r="A18" s="429" t="s">
        <v>4</v>
      </c>
      <c r="B18" s="426" t="s">
        <v>125</v>
      </c>
      <c r="C18" s="428"/>
      <c r="D18" s="428"/>
      <c r="E18" s="428"/>
    </row>
    <row r="19" spans="1:5" ht="16.5" customHeight="1">
      <c r="A19" s="429" t="s">
        <v>6</v>
      </c>
      <c r="B19" s="430">
        <v>99.8</v>
      </c>
      <c r="C19" s="428"/>
      <c r="D19" s="428"/>
      <c r="E19" s="428"/>
    </row>
    <row r="20" spans="1:5" ht="16.5" customHeight="1">
      <c r="A20" s="426" t="s">
        <v>8</v>
      </c>
      <c r="B20" s="430">
        <v>22.17</v>
      </c>
      <c r="C20" s="428"/>
      <c r="D20" s="428"/>
      <c r="E20" s="428"/>
    </row>
    <row r="21" spans="1:5" ht="16.5" customHeight="1">
      <c r="A21" s="426" t="s">
        <v>10</v>
      </c>
      <c r="B21" s="431">
        <f>B20/25</f>
        <v>0.88680000000000003</v>
      </c>
      <c r="C21" s="428"/>
      <c r="D21" s="428"/>
      <c r="E21" s="428"/>
    </row>
    <row r="22" spans="1:5" ht="15.75" customHeight="1">
      <c r="A22" s="428"/>
      <c r="B22" s="428" t="s">
        <v>126</v>
      </c>
      <c r="C22" s="428"/>
      <c r="D22" s="428"/>
      <c r="E22" s="428"/>
    </row>
    <row r="23" spans="1:5" ht="16.5" customHeight="1">
      <c r="A23" s="432" t="s">
        <v>13</v>
      </c>
      <c r="B23" s="433" t="s">
        <v>14</v>
      </c>
      <c r="C23" s="432" t="s">
        <v>15</v>
      </c>
      <c r="D23" s="432" t="s">
        <v>16</v>
      </c>
      <c r="E23" s="432" t="s">
        <v>17</v>
      </c>
    </row>
    <row r="24" spans="1:5" ht="16.5" customHeight="1">
      <c r="A24" s="434">
        <v>1</v>
      </c>
      <c r="B24" s="435">
        <v>54433867</v>
      </c>
      <c r="C24" s="436">
        <v>3666.2</v>
      </c>
      <c r="D24" s="437">
        <v>1</v>
      </c>
      <c r="E24" s="438">
        <v>5.2</v>
      </c>
    </row>
    <row r="25" spans="1:5" ht="16.5" customHeight="1">
      <c r="A25" s="434">
        <v>2</v>
      </c>
      <c r="B25" s="435">
        <v>54138077</v>
      </c>
      <c r="C25" s="436">
        <v>3629.4</v>
      </c>
      <c r="D25" s="437">
        <v>1</v>
      </c>
      <c r="E25" s="437">
        <v>5.2</v>
      </c>
    </row>
    <row r="26" spans="1:5" ht="16.5" customHeight="1">
      <c r="A26" s="434">
        <v>3</v>
      </c>
      <c r="B26" s="435">
        <v>54205915</v>
      </c>
      <c r="C26" s="436">
        <v>3646</v>
      </c>
      <c r="D26" s="437">
        <v>1</v>
      </c>
      <c r="E26" s="437">
        <v>5.2</v>
      </c>
    </row>
    <row r="27" spans="1:5" ht="16.5" customHeight="1">
      <c r="A27" s="434">
        <v>4</v>
      </c>
      <c r="B27" s="435">
        <v>54162986</v>
      </c>
      <c r="C27" s="436">
        <v>3615.3</v>
      </c>
      <c r="D27" s="437">
        <v>1</v>
      </c>
      <c r="E27" s="437">
        <v>5.2</v>
      </c>
    </row>
    <row r="28" spans="1:5" ht="16.5" customHeight="1">
      <c r="A28" s="434">
        <v>5</v>
      </c>
      <c r="B28" s="435">
        <v>54130334</v>
      </c>
      <c r="C28" s="436">
        <v>3632.9</v>
      </c>
      <c r="D28" s="437">
        <v>1</v>
      </c>
      <c r="E28" s="437">
        <v>5.2</v>
      </c>
    </row>
    <row r="29" spans="1:5" ht="16.5" customHeight="1">
      <c r="A29" s="434">
        <v>6</v>
      </c>
      <c r="B29" s="439">
        <v>54100167</v>
      </c>
      <c r="C29" s="440">
        <v>3661.1</v>
      </c>
      <c r="D29" s="441">
        <v>1</v>
      </c>
      <c r="E29" s="441">
        <v>5.2</v>
      </c>
    </row>
    <row r="30" spans="1:5" ht="16.5" customHeight="1">
      <c r="A30" s="442" t="s">
        <v>18</v>
      </c>
      <c r="B30" s="443">
        <f>AVERAGE(B24:B29)</f>
        <v>54195224.333333336</v>
      </c>
      <c r="C30" s="444">
        <f>AVERAGE(C24:C29)</f>
        <v>3641.8166666666671</v>
      </c>
      <c r="D30" s="445">
        <f>AVERAGE(D24:D29)</f>
        <v>1</v>
      </c>
      <c r="E30" s="445">
        <f>AVERAGE(E24:E29)</f>
        <v>5.2</v>
      </c>
    </row>
    <row r="31" spans="1:5" ht="16.5" customHeight="1">
      <c r="A31" s="446" t="s">
        <v>19</v>
      </c>
      <c r="B31" s="447">
        <f>(STDEV(B24:B29)/B30)</f>
        <v>2.2540892287831542E-3</v>
      </c>
      <c r="C31" s="448"/>
      <c r="D31" s="448"/>
      <c r="E31" s="449"/>
    </row>
    <row r="32" spans="1:5" s="422" customFormat="1" ht="16.5" customHeight="1">
      <c r="A32" s="450" t="s">
        <v>20</v>
      </c>
      <c r="B32" s="451">
        <f>COUNT(B24:B29)</f>
        <v>6</v>
      </c>
      <c r="C32" s="452"/>
      <c r="D32" s="453"/>
      <c r="E32" s="454"/>
    </row>
    <row r="33" spans="1:6" s="422" customFormat="1" ht="15.75" customHeight="1">
      <c r="A33" s="428"/>
      <c r="B33" s="428"/>
      <c r="C33" s="428"/>
      <c r="D33" s="428"/>
      <c r="E33" s="428"/>
    </row>
    <row r="34" spans="1:6" s="422" customFormat="1" ht="16.5" customHeight="1">
      <c r="A34" s="429" t="s">
        <v>21</v>
      </c>
      <c r="B34" s="455" t="s">
        <v>122</v>
      </c>
      <c r="C34" s="456"/>
      <c r="D34" s="456"/>
      <c r="E34" s="456"/>
    </row>
    <row r="35" spans="1:6" ht="16.5" customHeight="1">
      <c r="A35" s="429"/>
      <c r="B35" s="455" t="s">
        <v>123</v>
      </c>
      <c r="C35" s="456"/>
      <c r="D35" s="456"/>
      <c r="E35" s="456"/>
    </row>
    <row r="36" spans="1:6" ht="16.5" customHeight="1">
      <c r="A36" s="429"/>
      <c r="B36" s="455" t="s">
        <v>124</v>
      </c>
      <c r="C36" s="456"/>
      <c r="D36" s="456"/>
      <c r="E36" s="456"/>
    </row>
    <row r="37" spans="1:6" ht="15.75" customHeight="1">
      <c r="A37" s="428"/>
      <c r="B37" s="428"/>
      <c r="C37" s="428"/>
      <c r="D37" s="428"/>
      <c r="E37" s="428"/>
    </row>
    <row r="38" spans="1:6" ht="16.5" customHeight="1">
      <c r="A38" s="424" t="s">
        <v>1</v>
      </c>
      <c r="B38" s="425" t="str">
        <f>B16</f>
        <v>Assay</v>
      </c>
    </row>
    <row r="39" spans="1:6" ht="16.5" customHeight="1">
      <c r="A39" s="429" t="s">
        <v>4</v>
      </c>
      <c r="B39" s="426" t="str">
        <f>[1]Ritonavir!B26</f>
        <v>Ritonavir USP</v>
      </c>
      <c r="C39" s="428"/>
      <c r="D39" s="428"/>
      <c r="E39" s="428"/>
    </row>
    <row r="40" spans="1:6" ht="16.5" customHeight="1">
      <c r="A40" s="429" t="s">
        <v>6</v>
      </c>
      <c r="B40" s="430">
        <f>[1]Ritonavir!B28</f>
        <v>99.4</v>
      </c>
      <c r="C40" s="428"/>
      <c r="D40" s="428"/>
      <c r="E40" s="428"/>
    </row>
    <row r="41" spans="1:6" ht="16.5" customHeight="1">
      <c r="A41" s="426" t="s">
        <v>8</v>
      </c>
      <c r="B41" s="457">
        <f>[1]Ritonavir!D43</f>
        <v>13.48</v>
      </c>
      <c r="C41" s="428"/>
      <c r="D41" s="428"/>
      <c r="E41" s="428"/>
    </row>
    <row r="42" spans="1:6" ht="16.5" customHeight="1">
      <c r="A42" s="426" t="s">
        <v>10</v>
      </c>
      <c r="B42" s="458">
        <f>[1]Ritonavir!D46</f>
        <v>0.21438592000000001</v>
      </c>
      <c r="C42" s="428"/>
      <c r="D42" s="428"/>
      <c r="E42" s="428"/>
    </row>
    <row r="43" spans="1:6" ht="15.75" customHeight="1">
      <c r="A43" s="428"/>
      <c r="B43" s="428"/>
      <c r="C43" s="428"/>
      <c r="D43" s="428"/>
      <c r="E43" s="428"/>
    </row>
    <row r="44" spans="1:6" ht="16.5" customHeight="1">
      <c r="A44" s="432" t="s">
        <v>13</v>
      </c>
      <c r="B44" s="433" t="s">
        <v>14</v>
      </c>
      <c r="C44" s="432" t="s">
        <v>15</v>
      </c>
      <c r="D44" s="432" t="s">
        <v>16</v>
      </c>
      <c r="E44" s="432" t="s">
        <v>17</v>
      </c>
      <c r="F44" s="432" t="s">
        <v>130</v>
      </c>
    </row>
    <row r="45" spans="1:6" ht="16.5" customHeight="1">
      <c r="A45" s="434">
        <v>1</v>
      </c>
      <c r="B45" s="459">
        <v>12312730</v>
      </c>
      <c r="C45" s="415">
        <v>4796.7</v>
      </c>
      <c r="D45" s="416">
        <v>1.1000000000000001</v>
      </c>
      <c r="E45" s="417">
        <v>7.5</v>
      </c>
      <c r="F45" s="417">
        <v>6</v>
      </c>
    </row>
    <row r="46" spans="1:6" ht="16.5" customHeight="1">
      <c r="A46" s="434">
        <v>2</v>
      </c>
      <c r="B46" s="459">
        <v>12263627</v>
      </c>
      <c r="C46" s="415">
        <v>4775.2</v>
      </c>
      <c r="D46" s="416">
        <v>1</v>
      </c>
      <c r="E46" s="416">
        <v>7.5</v>
      </c>
      <c r="F46" s="416">
        <v>6</v>
      </c>
    </row>
    <row r="47" spans="1:6" ht="16.5" customHeight="1">
      <c r="A47" s="434">
        <v>3</v>
      </c>
      <c r="B47" s="459">
        <v>12292153</v>
      </c>
      <c r="C47" s="415">
        <v>4803.5</v>
      </c>
      <c r="D47" s="416">
        <v>1</v>
      </c>
      <c r="E47" s="416">
        <v>7.5</v>
      </c>
      <c r="F47" s="416">
        <v>6</v>
      </c>
    </row>
    <row r="48" spans="1:6" ht="16.5" customHeight="1">
      <c r="A48" s="434">
        <v>4</v>
      </c>
      <c r="B48" s="459">
        <v>12229547</v>
      </c>
      <c r="C48" s="415">
        <v>4763.3999999999996</v>
      </c>
      <c r="D48" s="416">
        <v>1</v>
      </c>
      <c r="E48" s="416">
        <v>7.5</v>
      </c>
      <c r="F48" s="416">
        <v>5.9</v>
      </c>
    </row>
    <row r="49" spans="1:7" ht="16.5" customHeight="1">
      <c r="A49" s="434">
        <v>5</v>
      </c>
      <c r="B49" s="459">
        <v>12292202</v>
      </c>
      <c r="C49" s="415">
        <v>4789.5</v>
      </c>
      <c r="D49" s="416">
        <v>1.1000000000000001</v>
      </c>
      <c r="E49" s="416">
        <v>7.5</v>
      </c>
      <c r="F49" s="416">
        <v>6</v>
      </c>
    </row>
    <row r="50" spans="1:7" ht="16.5" customHeight="1">
      <c r="A50" s="434">
        <v>6</v>
      </c>
      <c r="B50" s="460">
        <v>12300136</v>
      </c>
      <c r="C50" s="418">
        <v>4815.5</v>
      </c>
      <c r="D50" s="419">
        <v>1.1000000000000001</v>
      </c>
      <c r="E50" s="419">
        <v>7.5</v>
      </c>
      <c r="F50" s="419">
        <v>6</v>
      </c>
    </row>
    <row r="51" spans="1:7" ht="16.5" customHeight="1">
      <c r="A51" s="442" t="s">
        <v>18</v>
      </c>
      <c r="B51" s="443">
        <f>AVERAGE(B45:B50)</f>
        <v>12281732.5</v>
      </c>
      <c r="C51" s="444">
        <f>AVERAGE(C45:C50)</f>
        <v>4790.6333333333332</v>
      </c>
      <c r="D51" s="445">
        <f>AVERAGE(D45:D50)</f>
        <v>1.0499999999999998</v>
      </c>
      <c r="E51" s="445">
        <f>AVERAGE(E45:E50)</f>
        <v>7.5</v>
      </c>
      <c r="F51" s="445">
        <f>AVERAGE(F45:F50)</f>
        <v>5.9833333333333334</v>
      </c>
    </row>
    <row r="52" spans="1:7" ht="16.5" customHeight="1">
      <c r="A52" s="446" t="s">
        <v>19</v>
      </c>
      <c r="B52" s="447">
        <f>(STDEV(B45:B50)/B51)</f>
        <v>2.4612719549645858E-3</v>
      </c>
      <c r="C52" s="448"/>
      <c r="D52" s="448"/>
      <c r="E52" s="449"/>
      <c r="F52" s="449"/>
    </row>
    <row r="53" spans="1:7" s="422" customFormat="1" ht="16.5" customHeight="1">
      <c r="A53" s="450" t="s">
        <v>20</v>
      </c>
      <c r="B53" s="451">
        <f>COUNT(B45:B50)</f>
        <v>6</v>
      </c>
      <c r="C53" s="452"/>
      <c r="D53" s="453"/>
      <c r="E53" s="454"/>
      <c r="F53" s="454"/>
    </row>
    <row r="54" spans="1:7" s="422" customFormat="1" ht="15.75" customHeight="1">
      <c r="A54" s="428"/>
      <c r="B54" s="428"/>
      <c r="C54" s="428"/>
      <c r="D54" s="428"/>
      <c r="E54" s="428"/>
    </row>
    <row r="55" spans="1:7" s="422" customFormat="1" ht="16.5" customHeight="1">
      <c r="A55" s="429" t="s">
        <v>21</v>
      </c>
      <c r="B55" s="455" t="s">
        <v>122</v>
      </c>
      <c r="C55" s="456"/>
      <c r="D55" s="456"/>
      <c r="E55" s="456"/>
    </row>
    <row r="56" spans="1:7" ht="16.5" customHeight="1">
      <c r="A56" s="429"/>
      <c r="B56" s="455" t="s">
        <v>123</v>
      </c>
      <c r="C56" s="456"/>
      <c r="D56" s="456"/>
      <c r="E56" s="456"/>
    </row>
    <row r="57" spans="1:7" ht="16.5" customHeight="1">
      <c r="A57" s="429"/>
      <c r="B57" s="455" t="s">
        <v>124</v>
      </c>
      <c r="C57" s="456"/>
      <c r="D57" s="456"/>
      <c r="E57" s="456"/>
    </row>
    <row r="58" spans="1:7" ht="14.25" customHeight="1" thickBot="1">
      <c r="A58" s="461"/>
      <c r="B58" s="462"/>
      <c r="D58" s="463"/>
      <c r="F58" s="420"/>
      <c r="G58" s="420"/>
    </row>
    <row r="59" spans="1:7" ht="15" customHeight="1">
      <c r="B59" s="534" t="s">
        <v>23</v>
      </c>
      <c r="C59" s="534"/>
      <c r="E59" s="469" t="s">
        <v>24</v>
      </c>
      <c r="F59" s="464"/>
      <c r="G59" s="469" t="s">
        <v>25</v>
      </c>
    </row>
    <row r="60" spans="1:7" ht="43.5" customHeight="1">
      <c r="A60" s="465" t="s">
        <v>26</v>
      </c>
      <c r="B60" s="466"/>
      <c r="C60" s="466"/>
      <c r="E60" s="466"/>
      <c r="G60" s="466"/>
    </row>
    <row r="61" spans="1:7" ht="49.5" customHeight="1">
      <c r="A61" s="465" t="s">
        <v>27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tabSelected="1" view="pageBreakPreview" topLeftCell="A10" zoomScale="60" workbookViewId="0">
      <selection activeCell="G38" sqref="G38"/>
    </sheetView>
  </sheetViews>
  <sheetFormatPr defaultRowHeight="13.5"/>
  <cols>
    <col min="1" max="1" width="27.5703125" style="471" customWidth="1"/>
    <col min="2" max="2" width="20.42578125" style="471" customWidth="1"/>
    <col min="3" max="3" width="35.140625" style="471" customWidth="1"/>
    <col min="4" max="4" width="31.7109375" style="471" customWidth="1"/>
    <col min="5" max="5" width="29.7109375" style="471" customWidth="1"/>
    <col min="6" max="6" width="31.7109375" style="471" customWidth="1"/>
    <col min="7" max="7" width="28.42578125" style="471" customWidth="1"/>
    <col min="8" max="8" width="21.5703125" style="471" customWidth="1"/>
    <col min="9" max="9" width="9.140625" style="471" customWidth="1"/>
    <col min="10" max="16384" width="9.140625" style="526"/>
  </cols>
  <sheetData>
    <row r="14" spans="1:6" ht="15" customHeight="1">
      <c r="A14" s="470"/>
      <c r="C14" s="472"/>
      <c r="F14" s="472"/>
    </row>
    <row r="15" spans="1:6" ht="18.75" customHeight="1">
      <c r="A15" s="535" t="s">
        <v>0</v>
      </c>
      <c r="B15" s="535"/>
      <c r="C15" s="535"/>
      <c r="D15" s="535"/>
      <c r="E15" s="535"/>
    </row>
    <row r="16" spans="1:6" ht="16.5" customHeight="1">
      <c r="A16" s="473" t="s">
        <v>1</v>
      </c>
      <c r="B16" s="474" t="s">
        <v>22</v>
      </c>
    </row>
    <row r="17" spans="1:5" ht="16.5" customHeight="1">
      <c r="A17" s="475" t="s">
        <v>3</v>
      </c>
      <c r="B17" s="476" t="str">
        <f>'[1]SST(Assay)'!B17</f>
        <v>ALUVIA TABLETS</v>
      </c>
      <c r="D17" s="477"/>
      <c r="E17" s="478"/>
    </row>
    <row r="18" spans="1:5" ht="16.5" customHeight="1">
      <c r="A18" s="479" t="s">
        <v>4</v>
      </c>
      <c r="B18" s="480" t="str">
        <f>[2]Lopinavir!B26</f>
        <v>Lopinavir USP</v>
      </c>
      <c r="C18" s="478"/>
      <c r="D18" s="478"/>
      <c r="E18" s="478"/>
    </row>
    <row r="19" spans="1:5" ht="16.5" customHeight="1">
      <c r="A19" s="479" t="s">
        <v>6</v>
      </c>
      <c r="B19" s="481">
        <f>[2]Lopinavir!B28</f>
        <v>99.8</v>
      </c>
      <c r="C19" s="478"/>
      <c r="D19" s="478"/>
      <c r="E19" s="478"/>
    </row>
    <row r="20" spans="1:5" ht="16.5" customHeight="1">
      <c r="A20" s="475" t="s">
        <v>8</v>
      </c>
      <c r="B20" s="481">
        <f>[2]Lopinavir!D43</f>
        <v>25.49</v>
      </c>
      <c r="C20" s="478"/>
      <c r="D20" s="478"/>
      <c r="E20" s="478"/>
    </row>
    <row r="21" spans="1:5" ht="16.5" customHeight="1">
      <c r="A21" s="475" t="s">
        <v>10</v>
      </c>
      <c r="B21" s="482">
        <f>[2]Lopinavir!D46</f>
        <v>1.0175607999999998</v>
      </c>
      <c r="C21" s="478"/>
      <c r="D21" s="478"/>
      <c r="E21" s="478"/>
    </row>
    <row r="22" spans="1:5" ht="15.75" customHeight="1">
      <c r="A22" s="478"/>
      <c r="B22" s="483"/>
      <c r="C22" s="478"/>
      <c r="D22" s="478"/>
      <c r="E22" s="478"/>
    </row>
    <row r="23" spans="1:5" s="486" customFormat="1" ht="16.5" customHeight="1">
      <c r="A23" s="484" t="s">
        <v>13</v>
      </c>
      <c r="B23" s="485" t="s">
        <v>14</v>
      </c>
      <c r="C23" s="484" t="s">
        <v>15</v>
      </c>
      <c r="D23" s="484" t="s">
        <v>16</v>
      </c>
      <c r="E23" s="484" t="s">
        <v>17</v>
      </c>
    </row>
    <row r="24" spans="1:5" ht="16.5" customHeight="1">
      <c r="A24" s="487">
        <v>1</v>
      </c>
      <c r="B24" s="488">
        <v>55187964</v>
      </c>
      <c r="C24" s="488">
        <v>3453.7</v>
      </c>
      <c r="D24" s="489">
        <v>1</v>
      </c>
      <c r="E24" s="490">
        <v>9</v>
      </c>
    </row>
    <row r="25" spans="1:5" ht="16.5" customHeight="1">
      <c r="A25" s="487">
        <v>2</v>
      </c>
      <c r="B25" s="488">
        <v>54983091</v>
      </c>
      <c r="C25" s="488">
        <v>3424.7</v>
      </c>
      <c r="D25" s="489">
        <v>1</v>
      </c>
      <c r="E25" s="489">
        <v>5.2</v>
      </c>
    </row>
    <row r="26" spans="1:5" ht="16.5" customHeight="1">
      <c r="A26" s="487">
        <v>3</v>
      </c>
      <c r="B26" s="488">
        <v>55106021</v>
      </c>
      <c r="C26" s="488">
        <v>3461.7</v>
      </c>
      <c r="D26" s="489">
        <v>1</v>
      </c>
      <c r="E26" s="489">
        <v>5.2</v>
      </c>
    </row>
    <row r="27" spans="1:5" ht="16.5" customHeight="1">
      <c r="A27" s="487">
        <v>4</v>
      </c>
      <c r="B27" s="488">
        <v>55023377</v>
      </c>
      <c r="C27" s="488">
        <v>3462.8</v>
      </c>
      <c r="D27" s="489">
        <v>1</v>
      </c>
      <c r="E27" s="489">
        <v>5.2</v>
      </c>
    </row>
    <row r="28" spans="1:5" ht="16.5" customHeight="1">
      <c r="A28" s="487">
        <v>5</v>
      </c>
      <c r="B28" s="488">
        <v>55017814</v>
      </c>
      <c r="C28" s="488">
        <v>3432.4</v>
      </c>
      <c r="D28" s="489">
        <v>1</v>
      </c>
      <c r="E28" s="489">
        <v>5.2</v>
      </c>
    </row>
    <row r="29" spans="1:5" ht="16.5" customHeight="1">
      <c r="A29" s="487">
        <v>6</v>
      </c>
      <c r="B29" s="491">
        <v>54896691</v>
      </c>
      <c r="C29" s="491">
        <v>3443.7</v>
      </c>
      <c r="D29" s="492">
        <v>1</v>
      </c>
      <c r="E29" s="492">
        <v>5.2</v>
      </c>
    </row>
    <row r="30" spans="1:5" ht="16.5" customHeight="1">
      <c r="A30" s="493" t="s">
        <v>18</v>
      </c>
      <c r="B30" s="494">
        <f>AVERAGE(B24:B29)</f>
        <v>55035826.333333336</v>
      </c>
      <c r="C30" s="495">
        <f>AVERAGE(C24:C29)</f>
        <v>3446.5</v>
      </c>
      <c r="D30" s="496">
        <f>AVERAGE(D24:D29)</f>
        <v>1</v>
      </c>
      <c r="E30" s="496">
        <f>AVERAGE(E24:E29)</f>
        <v>5.833333333333333</v>
      </c>
    </row>
    <row r="31" spans="1:5" ht="16.5" customHeight="1">
      <c r="A31" s="497" t="s">
        <v>19</v>
      </c>
      <c r="B31" s="498">
        <f>(STDEV(B24:B29)/B30)</f>
        <v>1.8295331311480119E-3</v>
      </c>
      <c r="C31" s="499"/>
      <c r="D31" s="499"/>
      <c r="E31" s="500"/>
    </row>
    <row r="32" spans="1:5" s="471" customFormat="1" ht="16.5" customHeight="1">
      <c r="A32" s="501" t="s">
        <v>20</v>
      </c>
      <c r="B32" s="502">
        <f>COUNT(B24:B29)</f>
        <v>6</v>
      </c>
      <c r="C32" s="503"/>
      <c r="D32" s="504"/>
      <c r="E32" s="505"/>
    </row>
    <row r="33" spans="1:6" s="471" customFormat="1" ht="15.75" customHeight="1">
      <c r="A33" s="478"/>
      <c r="B33" s="506"/>
      <c r="C33" s="506"/>
      <c r="D33" s="506"/>
      <c r="E33" s="506"/>
    </row>
    <row r="34" spans="1:6" s="471" customFormat="1" ht="16.5" customHeight="1">
      <c r="A34" s="479" t="s">
        <v>21</v>
      </c>
      <c r="B34" s="507" t="s">
        <v>122</v>
      </c>
      <c r="C34" s="507"/>
      <c r="D34" s="507"/>
      <c r="E34" s="507"/>
    </row>
    <row r="35" spans="1:6" ht="16.5" customHeight="1">
      <c r="A35" s="479"/>
      <c r="B35" s="507" t="s">
        <v>123</v>
      </c>
      <c r="C35" s="507"/>
      <c r="D35" s="507"/>
      <c r="E35" s="507"/>
    </row>
    <row r="36" spans="1:6" ht="16.5" customHeight="1">
      <c r="A36" s="479"/>
      <c r="B36" s="507" t="s">
        <v>124</v>
      </c>
      <c r="C36" s="507"/>
      <c r="D36" s="507"/>
      <c r="E36" s="507"/>
    </row>
    <row r="37" spans="1:6" ht="15.75" customHeight="1">
      <c r="A37" s="478"/>
      <c r="B37" s="506"/>
      <c r="C37" s="506"/>
      <c r="D37" s="506"/>
      <c r="E37" s="506"/>
    </row>
    <row r="38" spans="1:6" ht="16.5" customHeight="1">
      <c r="A38" s="473" t="s">
        <v>1</v>
      </c>
      <c r="B38" s="474" t="s">
        <v>22</v>
      </c>
      <c r="C38" s="508"/>
      <c r="D38" s="508"/>
      <c r="E38" s="508"/>
    </row>
    <row r="39" spans="1:6" ht="16.5" customHeight="1">
      <c r="A39" s="479" t="s">
        <v>4</v>
      </c>
      <c r="B39" s="481" t="str">
        <f>[2]Ritonavir!B26</f>
        <v>Ritonavir USP</v>
      </c>
      <c r="C39" s="506"/>
      <c r="D39" s="506"/>
      <c r="E39" s="506"/>
    </row>
    <row r="40" spans="1:6" ht="16.5" customHeight="1">
      <c r="A40" s="479" t="s">
        <v>6</v>
      </c>
      <c r="B40" s="481">
        <f>[2]Ritonavir!B28</f>
        <v>99.4</v>
      </c>
      <c r="C40" s="506"/>
      <c r="D40" s="506"/>
      <c r="E40" s="506"/>
    </row>
    <row r="41" spans="1:6" ht="16.5" customHeight="1">
      <c r="A41" s="475" t="s">
        <v>8</v>
      </c>
      <c r="B41" s="481">
        <f>[2]Ritonavir!D43</f>
        <v>15.73</v>
      </c>
      <c r="C41" s="506"/>
      <c r="D41" s="506"/>
      <c r="E41" s="506"/>
    </row>
    <row r="42" spans="1:6" ht="16.5" customHeight="1">
      <c r="A42" s="475" t="s">
        <v>10</v>
      </c>
      <c r="B42" s="482">
        <f>[2]Ritonavir!D46</f>
        <v>0.25016992000000005</v>
      </c>
      <c r="C42" s="506"/>
      <c r="D42" s="506"/>
      <c r="E42" s="506"/>
    </row>
    <row r="43" spans="1:6" ht="15.75" customHeight="1">
      <c r="A43" s="478"/>
      <c r="B43" s="506"/>
      <c r="C43" s="506"/>
      <c r="D43" s="506"/>
      <c r="E43" s="506"/>
    </row>
    <row r="44" spans="1:6" s="486" customFormat="1" ht="16.5" customHeight="1">
      <c r="A44" s="484" t="s">
        <v>13</v>
      </c>
      <c r="B44" s="509" t="s">
        <v>14</v>
      </c>
      <c r="C44" s="510" t="s">
        <v>15</v>
      </c>
      <c r="D44" s="510" t="s">
        <v>16</v>
      </c>
      <c r="E44" s="510" t="s">
        <v>17</v>
      </c>
      <c r="F44" s="432" t="s">
        <v>130</v>
      </c>
    </row>
    <row r="45" spans="1:6" ht="16.5" customHeight="1">
      <c r="A45" s="487">
        <v>1</v>
      </c>
      <c r="B45" s="511">
        <v>12576726</v>
      </c>
      <c r="C45" s="511">
        <v>4599.5</v>
      </c>
      <c r="D45" s="512">
        <v>1</v>
      </c>
      <c r="E45" s="513">
        <v>7.6</v>
      </c>
      <c r="F45" s="513">
        <v>5.9</v>
      </c>
    </row>
    <row r="46" spans="1:6" ht="16.5" customHeight="1">
      <c r="A46" s="487">
        <v>2</v>
      </c>
      <c r="B46" s="511">
        <v>12553480</v>
      </c>
      <c r="C46" s="511">
        <v>4576.7</v>
      </c>
      <c r="D46" s="512">
        <v>1</v>
      </c>
      <c r="E46" s="512">
        <v>7.6</v>
      </c>
      <c r="F46" s="512">
        <v>5.8</v>
      </c>
    </row>
    <row r="47" spans="1:6" ht="16.5" customHeight="1">
      <c r="A47" s="487">
        <v>3</v>
      </c>
      <c r="B47" s="511">
        <v>12602173</v>
      </c>
      <c r="C47" s="511">
        <v>4587.2</v>
      </c>
      <c r="D47" s="512">
        <v>1</v>
      </c>
      <c r="E47" s="512">
        <v>7.6</v>
      </c>
      <c r="F47" s="512">
        <v>5.8</v>
      </c>
    </row>
    <row r="48" spans="1:6" ht="16.5" customHeight="1">
      <c r="A48" s="487">
        <v>4</v>
      </c>
      <c r="B48" s="511">
        <v>12595684</v>
      </c>
      <c r="C48" s="511">
        <v>4578.6000000000004</v>
      </c>
      <c r="D48" s="512">
        <v>1</v>
      </c>
      <c r="E48" s="512">
        <v>7.6</v>
      </c>
      <c r="F48" s="512">
        <v>5.8</v>
      </c>
    </row>
    <row r="49" spans="1:7" ht="16.5" customHeight="1">
      <c r="A49" s="487">
        <v>5</v>
      </c>
      <c r="B49" s="511">
        <v>12591454</v>
      </c>
      <c r="C49" s="511">
        <v>4549.3999999999996</v>
      </c>
      <c r="D49" s="512">
        <v>1</v>
      </c>
      <c r="E49" s="512">
        <v>7.6</v>
      </c>
      <c r="F49" s="512">
        <v>5.8</v>
      </c>
    </row>
    <row r="50" spans="1:7" ht="16.5" customHeight="1">
      <c r="A50" s="487">
        <v>6</v>
      </c>
      <c r="B50" s="514">
        <v>12568539</v>
      </c>
      <c r="C50" s="514">
        <v>4563.8999999999996</v>
      </c>
      <c r="D50" s="515">
        <v>1</v>
      </c>
      <c r="E50" s="515">
        <v>7.6</v>
      </c>
      <c r="F50" s="515">
        <v>5.8</v>
      </c>
    </row>
    <row r="51" spans="1:7" ht="16.5" customHeight="1">
      <c r="A51" s="493" t="s">
        <v>18</v>
      </c>
      <c r="B51" s="516">
        <f>AVERAGE(B45:B50)</f>
        <v>12581342.666666666</v>
      </c>
      <c r="C51" s="517">
        <f>AVERAGE(C45:C50)</f>
        <v>4575.8833333333341</v>
      </c>
      <c r="D51" s="518">
        <f>AVERAGE(D45:D50)</f>
        <v>1</v>
      </c>
      <c r="E51" s="518">
        <f>AVERAGE(E45:E50)</f>
        <v>7.6000000000000005</v>
      </c>
      <c r="F51" s="518">
        <f>AVERAGE(F45:F50)</f>
        <v>5.8166666666666664</v>
      </c>
    </row>
    <row r="52" spans="1:7" ht="16.5" customHeight="1">
      <c r="A52" s="497" t="s">
        <v>19</v>
      </c>
      <c r="B52" s="498">
        <f>(STDEV(B45:B50)/B51)</f>
        <v>1.4670510576835175E-3</v>
      </c>
      <c r="C52" s="499"/>
      <c r="D52" s="499"/>
      <c r="E52" s="519"/>
      <c r="F52" s="519"/>
    </row>
    <row r="53" spans="1:7" s="471" customFormat="1" ht="16.5" customHeight="1">
      <c r="A53" s="501" t="s">
        <v>20</v>
      </c>
      <c r="B53" s="502">
        <f>COUNT(B45:B50)</f>
        <v>6</v>
      </c>
      <c r="C53" s="503"/>
      <c r="D53" s="520"/>
      <c r="E53" s="521"/>
      <c r="F53" s="521"/>
    </row>
    <row r="54" spans="1:7" s="471" customFormat="1" ht="15.75" customHeight="1">
      <c r="A54" s="478"/>
      <c r="B54" s="478"/>
      <c r="C54" s="478"/>
      <c r="D54" s="478"/>
      <c r="E54" s="478"/>
    </row>
    <row r="55" spans="1:7" s="471" customFormat="1" ht="16.5" customHeight="1">
      <c r="A55" s="479" t="s">
        <v>21</v>
      </c>
      <c r="B55" s="522" t="s">
        <v>122</v>
      </c>
      <c r="C55" s="523"/>
      <c r="D55" s="523"/>
      <c r="E55" s="523"/>
    </row>
    <row r="56" spans="1:7" ht="16.5" customHeight="1">
      <c r="A56" s="479"/>
      <c r="B56" s="522" t="s">
        <v>123</v>
      </c>
      <c r="C56" s="523"/>
      <c r="D56" s="523"/>
      <c r="E56" s="523"/>
    </row>
    <row r="57" spans="1:7" ht="16.5" customHeight="1">
      <c r="A57" s="479"/>
      <c r="B57" s="522" t="s">
        <v>124</v>
      </c>
      <c r="C57" s="523"/>
      <c r="D57" s="523"/>
      <c r="E57" s="523"/>
    </row>
    <row r="58" spans="1:7" ht="14.25" customHeight="1" thickBot="1">
      <c r="A58" s="524"/>
      <c r="B58" s="508"/>
      <c r="D58" s="525"/>
      <c r="F58" s="526"/>
      <c r="G58" s="526"/>
    </row>
    <row r="59" spans="1:7" ht="15" customHeight="1">
      <c r="B59" s="536" t="s">
        <v>23</v>
      </c>
      <c r="C59" s="536"/>
      <c r="E59" s="532" t="s">
        <v>24</v>
      </c>
      <c r="F59" s="527"/>
      <c r="G59" s="532" t="s">
        <v>25</v>
      </c>
    </row>
    <row r="60" spans="1:7" ht="42.75" customHeight="1">
      <c r="A60" s="528" t="s">
        <v>26</v>
      </c>
      <c r="B60" s="529"/>
      <c r="C60" s="529"/>
      <c r="E60" s="529"/>
      <c r="G60" s="529"/>
    </row>
    <row r="61" spans="1:7" ht="72.75" customHeight="1">
      <c r="A61" s="528" t="s">
        <v>27</v>
      </c>
      <c r="B61" s="530"/>
      <c r="C61" s="530"/>
      <c r="E61" s="530"/>
      <c r="G61" s="53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8" workbookViewId="0">
      <selection activeCell="C17" sqref="C17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40" t="s">
        <v>30</v>
      </c>
      <c r="B11" s="541"/>
      <c r="C11" s="541"/>
      <c r="D11" s="541"/>
      <c r="E11" s="541"/>
      <c r="F11" s="542"/>
      <c r="G11" s="408"/>
    </row>
    <row r="12" spans="1:7" ht="16.5" customHeight="1">
      <c r="A12" s="539" t="s">
        <v>115</v>
      </c>
      <c r="B12" s="539"/>
      <c r="C12" s="539"/>
      <c r="D12" s="539"/>
      <c r="E12" s="539"/>
      <c r="F12" s="539"/>
      <c r="G12" s="407"/>
    </row>
    <row r="14" spans="1:7" ht="16.5" customHeight="1">
      <c r="A14" s="544" t="s">
        <v>32</v>
      </c>
      <c r="B14" s="544"/>
      <c r="C14" s="377" t="s">
        <v>5</v>
      </c>
    </row>
    <row r="15" spans="1:7" ht="16.5" customHeight="1">
      <c r="A15" s="544" t="s">
        <v>33</v>
      </c>
      <c r="B15" s="544"/>
      <c r="C15" s="377" t="s">
        <v>7</v>
      </c>
    </row>
    <row r="16" spans="1:7" ht="16.5" customHeight="1">
      <c r="A16" s="544" t="s">
        <v>34</v>
      </c>
      <c r="B16" s="544"/>
      <c r="C16" s="377" t="s">
        <v>9</v>
      </c>
    </row>
    <row r="17" spans="1:5" ht="16.5" customHeight="1">
      <c r="A17" s="544" t="s">
        <v>35</v>
      </c>
      <c r="B17" s="544"/>
      <c r="C17" s="377" t="s">
        <v>11</v>
      </c>
    </row>
    <row r="18" spans="1:5" ht="16.5" customHeight="1">
      <c r="A18" s="544" t="s">
        <v>36</v>
      </c>
      <c r="B18" s="544"/>
      <c r="C18" s="414" t="s">
        <v>12</v>
      </c>
    </row>
    <row r="19" spans="1:5" ht="16.5" customHeight="1">
      <c r="A19" s="544" t="s">
        <v>37</v>
      </c>
      <c r="B19" s="544"/>
      <c r="C19" s="414" t="str">
        <f>#REF!</f>
        <v>0</v>
      </c>
    </row>
    <row r="20" spans="1:5" ht="16.5" customHeight="1">
      <c r="A20" s="379"/>
      <c r="B20" s="379"/>
      <c r="C20" s="394"/>
    </row>
    <row r="21" spans="1:5" ht="16.5" customHeight="1">
      <c r="A21" s="539" t="s">
        <v>1</v>
      </c>
      <c r="B21" s="539"/>
      <c r="C21" s="376" t="s">
        <v>116</v>
      </c>
      <c r="D21" s="383"/>
    </row>
    <row r="22" spans="1:5" ht="15.75" customHeight="1">
      <c r="A22" s="543"/>
      <c r="B22" s="543"/>
      <c r="C22" s="374"/>
      <c r="D22" s="543"/>
      <c r="E22" s="543"/>
    </row>
    <row r="23" spans="1:5" ht="33.75" customHeight="1">
      <c r="C23" s="403" t="s">
        <v>117</v>
      </c>
      <c r="D23" s="402" t="s">
        <v>118</v>
      </c>
      <c r="E23" s="369"/>
    </row>
    <row r="24" spans="1:5" ht="15.75" customHeight="1">
      <c r="C24" s="412">
        <v>1269.27</v>
      </c>
      <c r="D24" s="404">
        <f t="shared" ref="D24:D43" si="0">(C24-$C$46)/$C$46</f>
        <v>9.0456927326403001E-3</v>
      </c>
      <c r="E24" s="370"/>
    </row>
    <row r="25" spans="1:5" ht="15.75" customHeight="1">
      <c r="C25" s="412">
        <v>1246.8</v>
      </c>
      <c r="D25" s="405">
        <f t="shared" si="0"/>
        <v>-8.8175331497191995E-3</v>
      </c>
      <c r="E25" s="370"/>
    </row>
    <row r="26" spans="1:5" ht="15.75" customHeight="1">
      <c r="C26" s="412">
        <v>1244.49</v>
      </c>
      <c r="D26" s="405">
        <f t="shared" si="0"/>
        <v>-1.0653939548840001E-2</v>
      </c>
      <c r="E26" s="370"/>
    </row>
    <row r="27" spans="1:5" ht="15.75" customHeight="1">
      <c r="C27" s="412">
        <v>1259.1199999999999</v>
      </c>
      <c r="D27" s="405">
        <f t="shared" si="0"/>
        <v>9.7663431225978995E-4</v>
      </c>
      <c r="E27" s="370"/>
    </row>
    <row r="28" spans="1:5" ht="15.75" customHeight="1">
      <c r="C28" s="412">
        <v>1253.74</v>
      </c>
      <c r="D28" s="405">
        <f t="shared" si="0"/>
        <v>-3.3003641411043002E-3</v>
      </c>
      <c r="E28" s="370"/>
    </row>
    <row r="29" spans="1:5" ht="15.75" customHeight="1">
      <c r="C29" s="412">
        <v>1247.69</v>
      </c>
      <c r="D29" s="405">
        <f t="shared" si="0"/>
        <v>-8.1099999483260996E-3</v>
      </c>
      <c r="E29" s="370"/>
    </row>
    <row r="30" spans="1:5" ht="15.75" customHeight="1">
      <c r="C30" s="412">
        <v>1247.72</v>
      </c>
      <c r="D30" s="405">
        <f t="shared" si="0"/>
        <v>-8.0861505145713008E-3</v>
      </c>
      <c r="E30" s="370"/>
    </row>
    <row r="31" spans="1:5" ht="15.75" customHeight="1">
      <c r="C31" s="412">
        <v>1257.6099999999999</v>
      </c>
      <c r="D31" s="405">
        <f t="shared" si="0"/>
        <v>-2.2378718673276001E-4</v>
      </c>
      <c r="E31" s="370"/>
    </row>
    <row r="32" spans="1:5" ht="15.75" customHeight="1">
      <c r="C32" s="412">
        <v>1251.98</v>
      </c>
      <c r="D32" s="405">
        <f t="shared" si="0"/>
        <v>-4.6995309213870001E-3</v>
      </c>
      <c r="E32" s="370"/>
    </row>
    <row r="33" spans="1:7" ht="15.75" customHeight="1">
      <c r="C33" s="412">
        <v>1275.01</v>
      </c>
      <c r="D33" s="405">
        <f t="shared" si="0"/>
        <v>1.3608884391062E-2</v>
      </c>
      <c r="E33" s="370"/>
    </row>
    <row r="34" spans="1:7" ht="15.75" customHeight="1">
      <c r="C34" s="412">
        <v>1270.4100000000001</v>
      </c>
      <c r="D34" s="405">
        <f t="shared" si="0"/>
        <v>9.9519712153235008E-3</v>
      </c>
      <c r="E34" s="370"/>
    </row>
    <row r="35" spans="1:7" ht="15.75" customHeight="1">
      <c r="C35" s="412">
        <v>1254.7</v>
      </c>
      <c r="D35" s="405">
        <f t="shared" si="0"/>
        <v>-2.5371822609500999E-3</v>
      </c>
      <c r="E35" s="370"/>
    </row>
    <row r="36" spans="1:7" ht="15.75" customHeight="1">
      <c r="C36" s="412">
        <v>1261.2</v>
      </c>
      <c r="D36" s="405">
        <f t="shared" si="0"/>
        <v>2.630195052594E-3</v>
      </c>
      <c r="E36" s="370"/>
    </row>
    <row r="37" spans="1:7" ht="15.75" customHeight="1">
      <c r="C37" s="412">
        <v>1254.29</v>
      </c>
      <c r="D37" s="405">
        <f t="shared" si="0"/>
        <v>-2.8631245222659999E-3</v>
      </c>
      <c r="E37" s="370"/>
    </row>
    <row r="38" spans="1:7" ht="15.75" customHeight="1">
      <c r="C38" s="412">
        <v>1240.77</v>
      </c>
      <c r="D38" s="405">
        <f t="shared" si="0"/>
        <v>-1.3611269334438E-2</v>
      </c>
      <c r="E38" s="370"/>
    </row>
    <row r="39" spans="1:7" ht="15.75" customHeight="1">
      <c r="C39" s="412">
        <v>1252.08</v>
      </c>
      <c r="D39" s="405">
        <f t="shared" si="0"/>
        <v>-4.6200328088710999E-3</v>
      </c>
      <c r="E39" s="370"/>
    </row>
    <row r="40" spans="1:7" ht="15.75" customHeight="1">
      <c r="C40" s="412">
        <v>1253.3800000000001</v>
      </c>
      <c r="D40" s="405">
        <f t="shared" si="0"/>
        <v>-3.5865573461621001E-3</v>
      </c>
      <c r="E40" s="370"/>
    </row>
    <row r="41" spans="1:7" ht="15.75" customHeight="1">
      <c r="C41" s="412">
        <v>1259.52</v>
      </c>
      <c r="D41" s="405">
        <f t="shared" si="0"/>
        <v>1.2946267623241E-3</v>
      </c>
      <c r="E41" s="370"/>
    </row>
    <row r="42" spans="1:7" ht="15.75" customHeight="1">
      <c r="C42" s="412">
        <v>1265.8599999999999</v>
      </c>
      <c r="D42" s="405">
        <f t="shared" si="0"/>
        <v>6.3348070958425002E-3</v>
      </c>
      <c r="E42" s="370"/>
    </row>
    <row r="43" spans="1:7" ht="16.5" customHeight="1">
      <c r="C43" s="413">
        <v>1292.19</v>
      </c>
      <c r="D43" s="406">
        <f t="shared" si="0"/>
        <v>2.7266660121321999E-2</v>
      </c>
      <c r="E43" s="370"/>
    </row>
    <row r="44" spans="1:7" ht="16.5" customHeight="1">
      <c r="C44" s="371"/>
      <c r="D44" s="370"/>
      <c r="E44" s="372"/>
    </row>
    <row r="45" spans="1:7" ht="16.5" customHeight="1">
      <c r="B45" s="399" t="s">
        <v>119</v>
      </c>
      <c r="C45" s="400">
        <f>SUM(C24:C44)</f>
        <v>25157.83</v>
      </c>
      <c r="D45" s="395"/>
      <c r="E45" s="371"/>
    </row>
    <row r="46" spans="1:7" ht="17.25" customHeight="1">
      <c r="B46" s="399" t="s">
        <v>120</v>
      </c>
      <c r="C46" s="401">
        <f>AVERAGE(C24:C44)</f>
        <v>1257.8915</v>
      </c>
      <c r="E46" s="373"/>
    </row>
    <row r="47" spans="1:7" ht="17.25" customHeight="1">
      <c r="A47" s="377"/>
      <c r="B47" s="396"/>
      <c r="D47" s="375"/>
      <c r="E47" s="373"/>
    </row>
    <row r="48" spans="1:7" ht="33.75" customHeight="1">
      <c r="B48" s="409" t="s">
        <v>120</v>
      </c>
      <c r="C48" s="402" t="s">
        <v>121</v>
      </c>
      <c r="D48" s="397"/>
      <c r="G48" s="375"/>
    </row>
    <row r="49" spans="1:6" ht="17.25" customHeight="1">
      <c r="B49" s="537">
        <f>C46</f>
        <v>1257.8915</v>
      </c>
      <c r="C49" s="410">
        <f>-IF(C46&lt;=80,10%,IF(C46&lt;250,7.5%,5%))</f>
        <v>-0.05</v>
      </c>
      <c r="D49" s="398">
        <f>IF(C46&lt;=80,C46*0.9,IF(C46&lt;250,C46*0.925,C46*0.95))</f>
        <v>1194.9969249999999</v>
      </c>
    </row>
    <row r="50" spans="1:6" ht="17.25" customHeight="1">
      <c r="B50" s="538"/>
      <c r="C50" s="411">
        <f>IF(C46&lt;=80, 10%, IF(C46&lt;250, 7.5%, 5%))</f>
        <v>0.05</v>
      </c>
      <c r="D50" s="398">
        <f>IF(C46&lt;=80, C46*1.1, IF(C46&lt;250, C46*1.075, C46*1.05))</f>
        <v>1320.786075</v>
      </c>
    </row>
    <row r="51" spans="1:6" ht="16.5" customHeight="1">
      <c r="A51" s="380"/>
      <c r="B51" s="381"/>
      <c r="C51" s="377"/>
      <c r="D51" s="382"/>
      <c r="E51" s="377"/>
      <c r="F51" s="383"/>
    </row>
    <row r="52" spans="1:6" ht="16.5" customHeight="1">
      <c r="A52" s="377"/>
      <c r="B52" s="384" t="s">
        <v>23</v>
      </c>
      <c r="C52" s="384"/>
      <c r="D52" s="385" t="s">
        <v>24</v>
      </c>
      <c r="E52" s="386"/>
      <c r="F52" s="385" t="s">
        <v>25</v>
      </c>
    </row>
    <row r="53" spans="1:6" ht="34.5" customHeight="1">
      <c r="A53" s="387" t="s">
        <v>26</v>
      </c>
      <c r="B53" s="388"/>
      <c r="C53" s="389"/>
      <c r="D53" s="388"/>
      <c r="E53" s="378"/>
      <c r="F53" s="390"/>
    </row>
    <row r="54" spans="1:6" ht="34.5" customHeight="1">
      <c r="A54" s="387" t="s">
        <v>27</v>
      </c>
      <c r="B54" s="391"/>
      <c r="C54" s="392"/>
      <c r="D54" s="391"/>
      <c r="E54" s="378"/>
      <c r="F54" s="393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B56" zoomScale="55" zoomScaleNormal="40" zoomScalePageLayoutView="55" workbookViewId="0">
      <selection activeCell="J121" sqref="J121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73" t="s">
        <v>28</v>
      </c>
      <c r="B1" s="573"/>
      <c r="C1" s="573"/>
      <c r="D1" s="573"/>
      <c r="E1" s="573"/>
      <c r="F1" s="573"/>
      <c r="G1" s="573"/>
      <c r="H1" s="573"/>
      <c r="I1" s="573"/>
    </row>
    <row r="2" spans="1:9" ht="18.75" customHeight="1">
      <c r="A2" s="573"/>
      <c r="B2" s="573"/>
      <c r="C2" s="573"/>
      <c r="D2" s="573"/>
      <c r="E2" s="573"/>
      <c r="F2" s="573"/>
      <c r="G2" s="573"/>
      <c r="H2" s="573"/>
      <c r="I2" s="573"/>
    </row>
    <row r="3" spans="1:9" ht="18.75" customHeight="1">
      <c r="A3" s="573"/>
      <c r="B3" s="573"/>
      <c r="C3" s="573"/>
      <c r="D3" s="573"/>
      <c r="E3" s="573"/>
      <c r="F3" s="573"/>
      <c r="G3" s="573"/>
      <c r="H3" s="573"/>
      <c r="I3" s="573"/>
    </row>
    <row r="4" spans="1:9" ht="18.75" customHeight="1">
      <c r="A4" s="573"/>
      <c r="B4" s="573"/>
      <c r="C4" s="573"/>
      <c r="D4" s="573"/>
      <c r="E4" s="573"/>
      <c r="F4" s="573"/>
      <c r="G4" s="573"/>
      <c r="H4" s="573"/>
      <c r="I4" s="573"/>
    </row>
    <row r="5" spans="1:9" ht="18.75" customHeight="1">
      <c r="A5" s="573"/>
      <c r="B5" s="573"/>
      <c r="C5" s="573"/>
      <c r="D5" s="573"/>
      <c r="E5" s="573"/>
      <c r="F5" s="573"/>
      <c r="G5" s="573"/>
      <c r="H5" s="573"/>
      <c r="I5" s="573"/>
    </row>
    <row r="6" spans="1:9" ht="18.75" customHeight="1">
      <c r="A6" s="573"/>
      <c r="B6" s="573"/>
      <c r="C6" s="573"/>
      <c r="D6" s="573"/>
      <c r="E6" s="573"/>
      <c r="F6" s="573"/>
      <c r="G6" s="573"/>
      <c r="H6" s="573"/>
      <c r="I6" s="573"/>
    </row>
    <row r="7" spans="1:9" ht="18.75" customHeight="1">
      <c r="A7" s="573"/>
      <c r="B7" s="573"/>
      <c r="C7" s="573"/>
      <c r="D7" s="573"/>
      <c r="E7" s="573"/>
      <c r="F7" s="573"/>
      <c r="G7" s="573"/>
      <c r="H7" s="573"/>
      <c r="I7" s="573"/>
    </row>
    <row r="8" spans="1:9">
      <c r="A8" s="574" t="s">
        <v>29</v>
      </c>
      <c r="B8" s="574"/>
      <c r="C8" s="574"/>
      <c r="D8" s="574"/>
      <c r="E8" s="574"/>
      <c r="F8" s="574"/>
      <c r="G8" s="574"/>
      <c r="H8" s="574"/>
      <c r="I8" s="574"/>
    </row>
    <row r="9" spans="1:9">
      <c r="A9" s="574"/>
      <c r="B9" s="574"/>
      <c r="C9" s="574"/>
      <c r="D9" s="574"/>
      <c r="E9" s="574"/>
      <c r="F9" s="574"/>
      <c r="G9" s="574"/>
      <c r="H9" s="574"/>
      <c r="I9" s="574"/>
    </row>
    <row r="10" spans="1:9">
      <c r="A10" s="574"/>
      <c r="B10" s="574"/>
      <c r="C10" s="574"/>
      <c r="D10" s="574"/>
      <c r="E10" s="574"/>
      <c r="F10" s="574"/>
      <c r="G10" s="574"/>
      <c r="H10" s="574"/>
      <c r="I10" s="574"/>
    </row>
    <row r="11" spans="1:9">
      <c r="A11" s="574"/>
      <c r="B11" s="574"/>
      <c r="C11" s="574"/>
      <c r="D11" s="574"/>
      <c r="E11" s="574"/>
      <c r="F11" s="574"/>
      <c r="G11" s="574"/>
      <c r="H11" s="574"/>
      <c r="I11" s="574"/>
    </row>
    <row r="12" spans="1:9">
      <c r="A12" s="574"/>
      <c r="B12" s="574"/>
      <c r="C12" s="574"/>
      <c r="D12" s="574"/>
      <c r="E12" s="574"/>
      <c r="F12" s="574"/>
      <c r="G12" s="574"/>
      <c r="H12" s="574"/>
      <c r="I12" s="574"/>
    </row>
    <row r="13" spans="1:9">
      <c r="A13" s="574"/>
      <c r="B13" s="574"/>
      <c r="C13" s="574"/>
      <c r="D13" s="574"/>
      <c r="E13" s="574"/>
      <c r="F13" s="574"/>
      <c r="G13" s="574"/>
      <c r="H13" s="574"/>
      <c r="I13" s="574"/>
    </row>
    <row r="14" spans="1:9">
      <c r="A14" s="574"/>
      <c r="B14" s="574"/>
      <c r="C14" s="574"/>
      <c r="D14" s="574"/>
      <c r="E14" s="574"/>
      <c r="F14" s="574"/>
      <c r="G14" s="574"/>
      <c r="H14" s="574"/>
      <c r="I14" s="574"/>
    </row>
    <row r="15" spans="1:9" ht="19.5" customHeight="1">
      <c r="A15" s="4"/>
    </row>
    <row r="16" spans="1:9" ht="19.5" customHeight="1">
      <c r="A16" s="546" t="s">
        <v>30</v>
      </c>
      <c r="B16" s="547"/>
      <c r="C16" s="547"/>
      <c r="D16" s="547"/>
      <c r="E16" s="547"/>
      <c r="F16" s="547"/>
      <c r="G16" s="547"/>
      <c r="H16" s="548"/>
    </row>
    <row r="17" spans="1:14" ht="20.25" customHeight="1">
      <c r="A17" s="549" t="s">
        <v>31</v>
      </c>
      <c r="B17" s="549"/>
      <c r="C17" s="549"/>
      <c r="D17" s="549"/>
      <c r="E17" s="549"/>
      <c r="F17" s="549"/>
      <c r="G17" s="549"/>
      <c r="H17" s="549"/>
    </row>
    <row r="18" spans="1:14" ht="26.25" customHeight="1">
      <c r="A18" s="6" t="s">
        <v>32</v>
      </c>
      <c r="B18" s="545" t="s">
        <v>5</v>
      </c>
      <c r="C18" s="545"/>
      <c r="D18" s="172"/>
      <c r="E18" s="7"/>
      <c r="F18" s="8"/>
      <c r="G18" s="8"/>
      <c r="H18" s="8"/>
    </row>
    <row r="19" spans="1:14" ht="26.25" customHeight="1">
      <c r="A19" s="6" t="s">
        <v>33</v>
      </c>
      <c r="B19" s="9" t="s">
        <v>7</v>
      </c>
      <c r="C19" s="185">
        <v>29</v>
      </c>
      <c r="D19" s="8"/>
      <c r="E19" s="8"/>
      <c r="F19" s="8"/>
      <c r="G19" s="8"/>
      <c r="H19" s="8"/>
    </row>
    <row r="20" spans="1:14" ht="26.25" customHeight="1">
      <c r="A20" s="6" t="s">
        <v>34</v>
      </c>
      <c r="B20" s="550" t="s">
        <v>9</v>
      </c>
      <c r="C20" s="550"/>
      <c r="D20" s="8"/>
      <c r="E20" s="8"/>
      <c r="F20" s="8"/>
      <c r="G20" s="8"/>
      <c r="H20" s="8"/>
    </row>
    <row r="21" spans="1:14" ht="26.25" customHeight="1">
      <c r="A21" s="6" t="s">
        <v>35</v>
      </c>
      <c r="B21" s="550" t="s">
        <v>11</v>
      </c>
      <c r="C21" s="550"/>
      <c r="D21" s="550"/>
      <c r="E21" s="550"/>
      <c r="F21" s="550"/>
      <c r="G21" s="550"/>
      <c r="H21" s="550"/>
      <c r="I21" s="10"/>
    </row>
    <row r="22" spans="1:14" ht="26.25" customHeight="1">
      <c r="A22" s="6" t="s">
        <v>36</v>
      </c>
      <c r="B22" s="11">
        <v>42530.563645833332</v>
      </c>
      <c r="C22" s="8"/>
      <c r="D22" s="8"/>
      <c r="E22" s="8"/>
      <c r="F22" s="8"/>
      <c r="G22" s="8"/>
      <c r="H22" s="8"/>
    </row>
    <row r="23" spans="1:14" ht="26.25" customHeight="1">
      <c r="A23" s="6" t="s">
        <v>37</v>
      </c>
      <c r="B23" s="193">
        <v>42539.563645833332</v>
      </c>
      <c r="C23" s="8"/>
      <c r="D23" s="8"/>
      <c r="E23" s="8"/>
      <c r="F23" s="8"/>
      <c r="G23" s="8"/>
      <c r="H23" s="8"/>
    </row>
    <row r="24" spans="1:14" ht="18.75">
      <c r="A24" s="6"/>
      <c r="B24" s="12"/>
    </row>
    <row r="25" spans="1:14" ht="18.75">
      <c r="A25" s="13" t="s">
        <v>1</v>
      </c>
      <c r="B25" s="12"/>
    </row>
    <row r="26" spans="1:14" ht="26.25" customHeight="1">
      <c r="A26" s="14" t="s">
        <v>4</v>
      </c>
      <c r="B26" s="545" t="s">
        <v>125</v>
      </c>
      <c r="C26" s="545"/>
    </row>
    <row r="27" spans="1:14" ht="26.25" customHeight="1">
      <c r="A27" s="15" t="s">
        <v>38</v>
      </c>
      <c r="B27" s="551" t="s">
        <v>127</v>
      </c>
      <c r="C27" s="551"/>
    </row>
    <row r="28" spans="1:14" ht="27" customHeight="1">
      <c r="A28" s="15" t="s">
        <v>6</v>
      </c>
      <c r="B28" s="16">
        <v>99.8</v>
      </c>
    </row>
    <row r="29" spans="1:14" s="3" customFormat="1" ht="27" customHeight="1">
      <c r="A29" s="15" t="s">
        <v>39</v>
      </c>
      <c r="B29" s="17">
        <v>0</v>
      </c>
      <c r="C29" s="552" t="s">
        <v>40</v>
      </c>
      <c r="D29" s="553"/>
      <c r="E29" s="553"/>
      <c r="F29" s="553"/>
      <c r="G29" s="554"/>
      <c r="I29" s="18"/>
      <c r="J29" s="18"/>
      <c r="K29" s="18"/>
      <c r="L29" s="18"/>
    </row>
    <row r="30" spans="1:14" s="3" customFormat="1" ht="19.5" customHeight="1">
      <c r="A30" s="15" t="s">
        <v>41</v>
      </c>
      <c r="B30" s="19">
        <f>B28-B29</f>
        <v>99.8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>
      <c r="A31" s="15" t="s">
        <v>42</v>
      </c>
      <c r="B31" s="22">
        <v>1</v>
      </c>
      <c r="C31" s="555" t="s">
        <v>43</v>
      </c>
      <c r="D31" s="556"/>
      <c r="E31" s="556"/>
      <c r="F31" s="556"/>
      <c r="G31" s="556"/>
      <c r="H31" s="557"/>
      <c r="I31" s="18"/>
      <c r="J31" s="18"/>
      <c r="K31" s="18"/>
      <c r="L31" s="18"/>
    </row>
    <row r="32" spans="1:14" s="3" customFormat="1" ht="27" customHeight="1">
      <c r="A32" s="15" t="s">
        <v>44</v>
      </c>
      <c r="B32" s="22">
        <v>1</v>
      </c>
      <c r="C32" s="555" t="s">
        <v>45</v>
      </c>
      <c r="D32" s="556"/>
      <c r="E32" s="556"/>
      <c r="F32" s="556"/>
      <c r="G32" s="556"/>
      <c r="H32" s="557"/>
      <c r="I32" s="18"/>
      <c r="J32" s="18"/>
      <c r="K32" s="18"/>
      <c r="L32" s="23"/>
      <c r="M32" s="23"/>
      <c r="N32" s="24"/>
    </row>
    <row r="33" spans="1:14" s="3" customFormat="1" ht="17.25" customHeight="1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>
      <c r="A34" s="15" t="s">
        <v>46</v>
      </c>
      <c r="B34" s="27">
        <f>B31/B32</f>
        <v>1</v>
      </c>
      <c r="C34" s="5" t="s">
        <v>47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>
      <c r="A36" s="28" t="s">
        <v>48</v>
      </c>
      <c r="B36" s="29">
        <v>25</v>
      </c>
      <c r="C36" s="5"/>
      <c r="D36" s="558" t="s">
        <v>49</v>
      </c>
      <c r="E36" s="559"/>
      <c r="F36" s="558" t="s">
        <v>50</v>
      </c>
      <c r="G36" s="560"/>
      <c r="J36" s="18"/>
      <c r="K36" s="18"/>
      <c r="L36" s="23"/>
      <c r="M36" s="23"/>
      <c r="N36" s="24"/>
    </row>
    <row r="37" spans="1:14" s="3" customFormat="1" ht="27" customHeight="1">
      <c r="A37" s="30" t="s">
        <v>51</v>
      </c>
      <c r="B37" s="31">
        <v>1</v>
      </c>
      <c r="C37" s="32" t="s">
        <v>52</v>
      </c>
      <c r="D37" s="33" t="s">
        <v>53</v>
      </c>
      <c r="E37" s="34" t="s">
        <v>54</v>
      </c>
      <c r="F37" s="33" t="s">
        <v>53</v>
      </c>
      <c r="G37" s="35" t="s">
        <v>54</v>
      </c>
      <c r="I37" s="36" t="s">
        <v>55</v>
      </c>
      <c r="J37" s="18"/>
      <c r="K37" s="18"/>
      <c r="L37" s="23"/>
      <c r="M37" s="23"/>
      <c r="N37" s="24"/>
    </row>
    <row r="38" spans="1:14" s="3" customFormat="1" ht="26.25" customHeight="1">
      <c r="A38" s="30" t="s">
        <v>56</v>
      </c>
      <c r="B38" s="31">
        <v>1</v>
      </c>
      <c r="C38" s="37">
        <v>1</v>
      </c>
      <c r="D38" s="220">
        <v>54062389</v>
      </c>
      <c r="E38" s="38">
        <f>IF(ISBLANK(D38),"-",$D$48/$D$45*D38)</f>
        <v>61085622.982546054</v>
      </c>
      <c r="F38" s="220">
        <v>60144807</v>
      </c>
      <c r="G38" s="39">
        <f>IF(ISBLANK(F38),"-",$D$48/$F$45*F38)</f>
        <v>59810775.779427059</v>
      </c>
      <c r="I38" s="40"/>
      <c r="J38" s="18"/>
      <c r="K38" s="18"/>
      <c r="L38" s="23"/>
      <c r="M38" s="23"/>
      <c r="N38" s="24"/>
    </row>
    <row r="39" spans="1:14" s="3" customFormat="1" ht="26.25" customHeight="1">
      <c r="A39" s="30" t="s">
        <v>57</v>
      </c>
      <c r="B39" s="31">
        <v>1</v>
      </c>
      <c r="C39" s="41">
        <v>2</v>
      </c>
      <c r="D39" s="225">
        <v>54125510</v>
      </c>
      <c r="E39" s="43">
        <f>IF(ISBLANK(D39),"-",$D$48/$D$45*D39)</f>
        <v>61156944.018845081</v>
      </c>
      <c r="F39" s="225">
        <v>59961993</v>
      </c>
      <c r="G39" s="44">
        <f>IF(ISBLANK(F39),"-",$D$48/$F$45*F39)</f>
        <v>59628977.088754721</v>
      </c>
      <c r="I39" s="562">
        <f>ABS((F43/D43*D42)-F42)/D42</f>
        <v>2.7022277906109057E-2</v>
      </c>
      <c r="J39" s="18"/>
      <c r="K39" s="18"/>
      <c r="L39" s="23"/>
      <c r="M39" s="23"/>
      <c r="N39" s="24"/>
    </row>
    <row r="40" spans="1:14" ht="26.25" customHeight="1">
      <c r="A40" s="30" t="s">
        <v>58</v>
      </c>
      <c r="B40" s="31">
        <v>1</v>
      </c>
      <c r="C40" s="41">
        <v>3</v>
      </c>
      <c r="D40" s="225">
        <v>54203217</v>
      </c>
      <c r="E40" s="43">
        <f>IF(ISBLANK(D40),"-",$D$48/$D$45*D40)</f>
        <v>61244745.919443756</v>
      </c>
      <c r="F40" s="225">
        <v>60017075</v>
      </c>
      <c r="G40" s="44">
        <f>IF(ISBLANK(F40),"-",$D$48/$F$45*F40)</f>
        <v>59683753.175266773</v>
      </c>
      <c r="I40" s="562"/>
      <c r="L40" s="23"/>
      <c r="M40" s="23"/>
      <c r="N40" s="45"/>
    </row>
    <row r="41" spans="1:14" ht="27" customHeight="1">
      <c r="A41" s="30" t="s">
        <v>59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45"/>
    </row>
    <row r="42" spans="1:14" ht="27" customHeight="1">
      <c r="A42" s="30" t="s">
        <v>60</v>
      </c>
      <c r="B42" s="31">
        <v>1</v>
      </c>
      <c r="C42" s="51" t="s">
        <v>61</v>
      </c>
      <c r="D42" s="52">
        <f>AVERAGE(D38:D41)</f>
        <v>54130372</v>
      </c>
      <c r="E42" s="53">
        <f>AVERAGE(E38:E41)</f>
        <v>61162437.640278302</v>
      </c>
      <c r="F42" s="52">
        <f>AVERAGE(F38:F41)</f>
        <v>60041291.666666664</v>
      </c>
      <c r="G42" s="54">
        <f>AVERAGE(G38:G41)</f>
        <v>59707835.347816192</v>
      </c>
      <c r="H42" s="55"/>
    </row>
    <row r="43" spans="1:14" ht="26.25" customHeight="1">
      <c r="A43" s="30" t="s">
        <v>62</v>
      </c>
      <c r="B43" s="31">
        <v>1</v>
      </c>
      <c r="C43" s="56" t="s">
        <v>63</v>
      </c>
      <c r="D43" s="240">
        <v>22.17</v>
      </c>
      <c r="E43" s="45"/>
      <c r="F43" s="240">
        <v>25.19</v>
      </c>
      <c r="H43" s="55"/>
    </row>
    <row r="44" spans="1:14" ht="26.25" customHeight="1">
      <c r="A44" s="30" t="s">
        <v>64</v>
      </c>
      <c r="B44" s="31">
        <v>1</v>
      </c>
      <c r="C44" s="58" t="s">
        <v>65</v>
      </c>
      <c r="D44" s="59">
        <f>D43*$B$34</f>
        <v>22.17</v>
      </c>
      <c r="E44" s="60"/>
      <c r="F44" s="59">
        <f>F43*$B$34</f>
        <v>25.19</v>
      </c>
      <c r="H44" s="55"/>
    </row>
    <row r="45" spans="1:14" ht="19.5" customHeight="1">
      <c r="A45" s="30" t="s">
        <v>66</v>
      </c>
      <c r="B45" s="61">
        <f>(B44/B43)*(B42/B41)*(B40/B39)*(B38/B37)*B36</f>
        <v>25</v>
      </c>
      <c r="C45" s="58" t="s">
        <v>67</v>
      </c>
      <c r="D45" s="62">
        <f>D44*$B$30/100</f>
        <v>22.125660000000003</v>
      </c>
      <c r="E45" s="63"/>
      <c r="F45" s="62">
        <f>F44*$B$30/100</f>
        <v>25.139620000000001</v>
      </c>
      <c r="H45" s="55"/>
    </row>
    <row r="46" spans="1:14" ht="19.5" customHeight="1">
      <c r="A46" s="563" t="s">
        <v>68</v>
      </c>
      <c r="B46" s="564"/>
      <c r="C46" s="58" t="s">
        <v>69</v>
      </c>
      <c r="D46" s="64">
        <f>D45/$B$45</f>
        <v>0.8850264000000001</v>
      </c>
      <c r="E46" s="65"/>
      <c r="F46" s="66">
        <f>F45/$B$45</f>
        <v>1.0055848000000001</v>
      </c>
      <c r="H46" s="55"/>
    </row>
    <row r="47" spans="1:14" ht="27" customHeight="1">
      <c r="A47" s="565"/>
      <c r="B47" s="566"/>
      <c r="C47" s="67" t="s">
        <v>70</v>
      </c>
      <c r="D47" s="68">
        <v>1</v>
      </c>
      <c r="E47" s="69"/>
      <c r="F47" s="65"/>
      <c r="H47" s="55"/>
    </row>
    <row r="48" spans="1:14" ht="18.75">
      <c r="C48" s="70" t="s">
        <v>71</v>
      </c>
      <c r="D48" s="62">
        <f>D47*$B$45</f>
        <v>25</v>
      </c>
      <c r="F48" s="71"/>
      <c r="H48" s="55"/>
    </row>
    <row r="49" spans="1:12" ht="19.5" customHeight="1">
      <c r="C49" s="72" t="s">
        <v>72</v>
      </c>
      <c r="D49" s="73">
        <f>D48/B34</f>
        <v>25</v>
      </c>
      <c r="F49" s="71"/>
      <c r="H49" s="55"/>
    </row>
    <row r="50" spans="1:12" ht="18.75">
      <c r="C50" s="28" t="s">
        <v>73</v>
      </c>
      <c r="D50" s="74">
        <f>AVERAGE(E38:E41,G38:G41)</f>
        <v>60435136.494047247</v>
      </c>
      <c r="F50" s="75"/>
      <c r="H50" s="55"/>
    </row>
    <row r="51" spans="1:12" ht="18.75">
      <c r="C51" s="30" t="s">
        <v>74</v>
      </c>
      <c r="D51" s="76">
        <f>STDEV(E38:E41,G38:G41)/D50</f>
        <v>1.3245401514758007E-2</v>
      </c>
      <c r="F51" s="75"/>
      <c r="H51" s="55"/>
    </row>
    <row r="52" spans="1:12" ht="19.5" customHeight="1">
      <c r="C52" s="77" t="s">
        <v>20</v>
      </c>
      <c r="D52" s="78">
        <f>COUNT(E38:E41,G38:G41)</f>
        <v>6</v>
      </c>
      <c r="F52" s="75"/>
    </row>
    <row r="54" spans="1:12" ht="18.75">
      <c r="A54" s="79" t="s">
        <v>1</v>
      </c>
      <c r="B54" s="80" t="s">
        <v>75</v>
      </c>
    </row>
    <row r="55" spans="1:12" ht="18.75">
      <c r="A55" s="5" t="s">
        <v>76</v>
      </c>
      <c r="B55" s="81" t="str">
        <f>B21</f>
        <v>Each film-coated tablet contains Lopinavir 200 mg, Ritonavir 50 mg</v>
      </c>
    </row>
    <row r="56" spans="1:12" ht="26.25" customHeight="1">
      <c r="A56" s="82" t="s">
        <v>77</v>
      </c>
      <c r="B56" s="83">
        <v>200</v>
      </c>
      <c r="C56" s="5" t="str">
        <f>B20</f>
        <v>Lopinavir 200mg &amp; Ritonavir 50mg</v>
      </c>
      <c r="H56" s="84"/>
    </row>
    <row r="57" spans="1:12" ht="18.75">
      <c r="A57" s="81" t="s">
        <v>78</v>
      </c>
      <c r="B57" s="173">
        <f>Uniformity!C46</f>
        <v>1257.8915</v>
      </c>
      <c r="H57" s="84"/>
    </row>
    <row r="58" spans="1:12" ht="19.5" customHeight="1">
      <c r="H58" s="84"/>
    </row>
    <row r="59" spans="1:12" s="3" customFormat="1" ht="27" customHeight="1">
      <c r="A59" s="28" t="s">
        <v>79</v>
      </c>
      <c r="B59" s="29">
        <v>50</v>
      </c>
      <c r="C59" s="5"/>
      <c r="D59" s="85" t="s">
        <v>80</v>
      </c>
      <c r="E59" s="86" t="s">
        <v>52</v>
      </c>
      <c r="F59" s="86" t="s">
        <v>53</v>
      </c>
      <c r="G59" s="86" t="s">
        <v>81</v>
      </c>
      <c r="H59" s="32" t="s">
        <v>82</v>
      </c>
      <c r="L59" s="18"/>
    </row>
    <row r="60" spans="1:12" s="3" customFormat="1" ht="26.25" customHeight="1">
      <c r="A60" s="30" t="s">
        <v>83</v>
      </c>
      <c r="B60" s="31">
        <v>10</v>
      </c>
      <c r="C60" s="567" t="s">
        <v>84</v>
      </c>
      <c r="D60" s="570">
        <v>1576.1</v>
      </c>
      <c r="E60" s="87">
        <v>1</v>
      </c>
      <c r="F60" s="88">
        <v>57011892</v>
      </c>
      <c r="G60" s="174">
        <f>IF(ISBLANK(F60),"-",(F60/$D$50*$D$47*$B$68)*($B$57/$D$60))</f>
        <v>188.22416038478457</v>
      </c>
      <c r="H60" s="89">
        <f t="shared" ref="H60:H71" si="0">IF(ISBLANK(F60),"-",G60/$B$56)</f>
        <v>0.94112080192392289</v>
      </c>
      <c r="L60" s="18"/>
    </row>
    <row r="61" spans="1:12" s="3" customFormat="1" ht="26.25" customHeight="1">
      <c r="A61" s="30" t="s">
        <v>85</v>
      </c>
      <c r="B61" s="31">
        <v>50</v>
      </c>
      <c r="C61" s="568"/>
      <c r="D61" s="571"/>
      <c r="E61" s="90">
        <v>2</v>
      </c>
      <c r="F61" s="42">
        <v>56963557</v>
      </c>
      <c r="G61" s="175">
        <f>IF(ISBLANK(F61),"-",(F61/$D$50*$D$47*$B$68)*($B$57/$D$60))</f>
        <v>188.06458289186082</v>
      </c>
      <c r="H61" s="91">
        <f t="shared" si="0"/>
        <v>0.94032291445930416</v>
      </c>
      <c r="L61" s="18"/>
    </row>
    <row r="62" spans="1:12" s="3" customFormat="1" ht="26.25" customHeight="1">
      <c r="A62" s="30" t="s">
        <v>86</v>
      </c>
      <c r="B62" s="31">
        <v>1</v>
      </c>
      <c r="C62" s="568"/>
      <c r="D62" s="571"/>
      <c r="E62" s="90">
        <v>3</v>
      </c>
      <c r="F62" s="92">
        <v>56956912</v>
      </c>
      <c r="G62" s="175">
        <f>IF(ISBLANK(F62),"-",(F62/$D$50*$D$47*$B$68)*($B$57/$D$60))</f>
        <v>188.04264449441638</v>
      </c>
      <c r="H62" s="91">
        <f t="shared" si="0"/>
        <v>0.94021322247208194</v>
      </c>
      <c r="L62" s="18"/>
    </row>
    <row r="63" spans="1:12" ht="27" customHeight="1">
      <c r="A63" s="30" t="s">
        <v>87</v>
      </c>
      <c r="B63" s="31">
        <v>1</v>
      </c>
      <c r="C63" s="569"/>
      <c r="D63" s="572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>
      <c r="A64" s="30" t="s">
        <v>88</v>
      </c>
      <c r="B64" s="31">
        <v>1</v>
      </c>
      <c r="C64" s="567" t="s">
        <v>89</v>
      </c>
      <c r="D64" s="570">
        <v>1678.78</v>
      </c>
      <c r="E64" s="87">
        <v>1</v>
      </c>
      <c r="F64" s="88">
        <v>61043342</v>
      </c>
      <c r="G64" s="176">
        <f>IF(ISBLANK(F64),"-",(F64/$D$50*$D$47*$B$68)*($B$57/$D$64))</f>
        <v>189.20743556997914</v>
      </c>
      <c r="H64" s="95">
        <f t="shared" si="0"/>
        <v>0.94603717784989572</v>
      </c>
    </row>
    <row r="65" spans="1:8" ht="26.25" customHeight="1">
      <c r="A65" s="30" t="s">
        <v>90</v>
      </c>
      <c r="B65" s="31">
        <v>1</v>
      </c>
      <c r="C65" s="568"/>
      <c r="D65" s="571"/>
      <c r="E65" s="90">
        <v>2</v>
      </c>
      <c r="F65" s="42">
        <v>60934277</v>
      </c>
      <c r="G65" s="177">
        <f>IF(ISBLANK(F65),"-",(F65/$D$50*$D$47*$B$68)*($B$57/$D$64))</f>
        <v>188.86938217571313</v>
      </c>
      <c r="H65" s="96">
        <f t="shared" si="0"/>
        <v>0.94434691087856559</v>
      </c>
    </row>
    <row r="66" spans="1:8" ht="26.25" customHeight="1">
      <c r="A66" s="30" t="s">
        <v>91</v>
      </c>
      <c r="B66" s="31">
        <v>1</v>
      </c>
      <c r="C66" s="568"/>
      <c r="D66" s="571"/>
      <c r="E66" s="90">
        <v>3</v>
      </c>
      <c r="F66" s="42">
        <v>60936474</v>
      </c>
      <c r="G66" s="177">
        <f>IF(ISBLANK(F66),"-",(F66/$D$50*$D$47*$B$68)*($B$57/$D$64))</f>
        <v>188.8761919066736</v>
      </c>
      <c r="H66" s="96">
        <f t="shared" si="0"/>
        <v>0.94438095953336798</v>
      </c>
    </row>
    <row r="67" spans="1:8" ht="27" customHeight="1">
      <c r="A67" s="30" t="s">
        <v>92</v>
      </c>
      <c r="B67" s="31">
        <v>1</v>
      </c>
      <c r="C67" s="569"/>
      <c r="D67" s="572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>
      <c r="A68" s="30" t="s">
        <v>93</v>
      </c>
      <c r="B68" s="98">
        <f>(B67/B66)*(B65/B64)*(B63/B62)*(B61/B60)*B59</f>
        <v>250</v>
      </c>
      <c r="C68" s="567" t="s">
        <v>94</v>
      </c>
      <c r="D68" s="570">
        <v>1690.16</v>
      </c>
      <c r="E68" s="87">
        <v>1</v>
      </c>
      <c r="F68" s="88">
        <v>62332367</v>
      </c>
      <c r="G68" s="176">
        <f>IF(ISBLANK(F68),"-",(F68/$D$50*$D$47*$B$68)*($B$57/$D$68))</f>
        <v>191.90199230498845</v>
      </c>
      <c r="H68" s="91">
        <f t="shared" si="0"/>
        <v>0.95950996152494228</v>
      </c>
    </row>
    <row r="69" spans="1:8" ht="27" customHeight="1">
      <c r="A69" s="77" t="s">
        <v>95</v>
      </c>
      <c r="B69" s="99">
        <f>(D47*B68)/B56*B57</f>
        <v>1572.3643749999999</v>
      </c>
      <c r="C69" s="568"/>
      <c r="D69" s="571"/>
      <c r="E69" s="90">
        <v>2</v>
      </c>
      <c r="F69" s="42">
        <v>62159287</v>
      </c>
      <c r="G69" s="177">
        <f>IF(ISBLANK(F69),"-",(F69/$D$50*$D$47*$B$68)*($B$57/$D$68))</f>
        <v>191.36913275822764</v>
      </c>
      <c r="H69" s="91">
        <f t="shared" si="0"/>
        <v>0.95684566379113822</v>
      </c>
    </row>
    <row r="70" spans="1:8" ht="26.25" customHeight="1">
      <c r="A70" s="580" t="s">
        <v>68</v>
      </c>
      <c r="B70" s="581"/>
      <c r="C70" s="568"/>
      <c r="D70" s="571"/>
      <c r="E70" s="90">
        <v>3</v>
      </c>
      <c r="F70" s="42">
        <v>62156366</v>
      </c>
      <c r="G70" s="177">
        <f>IF(ISBLANK(F70),"-",(F70/$D$50*$D$47*$B$68)*($B$57/$D$68))</f>
        <v>191.36013990673652</v>
      </c>
      <c r="H70" s="91">
        <f t="shared" si="0"/>
        <v>0.95680069953368263</v>
      </c>
    </row>
    <row r="71" spans="1:8" ht="27" customHeight="1">
      <c r="A71" s="582"/>
      <c r="B71" s="583"/>
      <c r="C71" s="579"/>
      <c r="D71" s="572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>
      <c r="A72" s="101"/>
      <c r="B72" s="101"/>
      <c r="C72" s="101"/>
      <c r="D72" s="101"/>
      <c r="E72" s="101"/>
      <c r="F72" s="103" t="s">
        <v>61</v>
      </c>
      <c r="G72" s="183">
        <f>AVERAGE(G60:G71)</f>
        <v>189.54618471037557</v>
      </c>
      <c r="H72" s="104">
        <f>AVERAGE(H60:H71)</f>
        <v>0.94773092355187794</v>
      </c>
    </row>
    <row r="73" spans="1:8" ht="26.25" customHeight="1">
      <c r="C73" s="101"/>
      <c r="D73" s="101"/>
      <c r="E73" s="101"/>
      <c r="F73" s="105" t="s">
        <v>74</v>
      </c>
      <c r="G73" s="179">
        <f>STDEV(G60:G71)/G72</f>
        <v>8.2132214198948235E-3</v>
      </c>
      <c r="H73" s="179">
        <f>STDEV(H60:H71)/H72</f>
        <v>8.2132214198875914E-3</v>
      </c>
    </row>
    <row r="74" spans="1:8" ht="27" customHeight="1">
      <c r="A74" s="101"/>
      <c r="B74" s="101"/>
      <c r="C74" s="102"/>
      <c r="D74" s="102"/>
      <c r="E74" s="106"/>
      <c r="F74" s="107" t="s">
        <v>20</v>
      </c>
      <c r="G74" s="108">
        <f>COUNT(G60:G71)</f>
        <v>9</v>
      </c>
      <c r="H74" s="108">
        <f>COUNT(H60:H71)</f>
        <v>9</v>
      </c>
    </row>
    <row r="76" spans="1:8" ht="26.25" customHeight="1">
      <c r="A76" s="14" t="s">
        <v>96</v>
      </c>
      <c r="B76" s="109" t="s">
        <v>97</v>
      </c>
      <c r="C76" s="575" t="str">
        <f>B20</f>
        <v>Lopinavir 200mg &amp; Ritonavir 50mg</v>
      </c>
      <c r="D76" s="575"/>
      <c r="E76" s="110" t="s">
        <v>98</v>
      </c>
      <c r="F76" s="110"/>
      <c r="G76" s="111">
        <f>H72</f>
        <v>0.94773092355187794</v>
      </c>
      <c r="H76" s="112"/>
    </row>
    <row r="77" spans="1:8" ht="18.75">
      <c r="A77" s="13" t="s">
        <v>99</v>
      </c>
      <c r="B77" s="13" t="s">
        <v>100</v>
      </c>
    </row>
    <row r="78" spans="1:8" ht="18.75">
      <c r="A78" s="13"/>
      <c r="B78" s="13"/>
    </row>
    <row r="79" spans="1:8" ht="26.25" customHeight="1">
      <c r="A79" s="14" t="s">
        <v>4</v>
      </c>
      <c r="B79" s="561" t="str">
        <f>B26</f>
        <v>Lopinavir USP</v>
      </c>
      <c r="C79" s="561"/>
    </row>
    <row r="80" spans="1:8" ht="26.25" customHeight="1">
      <c r="A80" s="15" t="s">
        <v>38</v>
      </c>
      <c r="B80" s="561" t="str">
        <f>B27</f>
        <v>F0I127</v>
      </c>
      <c r="C80" s="561"/>
    </row>
    <row r="81" spans="1:12" ht="27" customHeight="1">
      <c r="A81" s="15" t="s">
        <v>6</v>
      </c>
      <c r="B81" s="113">
        <f>B28</f>
        <v>99.8</v>
      </c>
    </row>
    <row r="82" spans="1:12" s="3" customFormat="1" ht="27" customHeight="1">
      <c r="A82" s="15" t="s">
        <v>39</v>
      </c>
      <c r="B82" s="17">
        <v>0</v>
      </c>
      <c r="C82" s="552" t="s">
        <v>40</v>
      </c>
      <c r="D82" s="553"/>
      <c r="E82" s="553"/>
      <c r="F82" s="553"/>
      <c r="G82" s="554"/>
      <c r="I82" s="18"/>
      <c r="J82" s="18"/>
      <c r="K82" s="18"/>
      <c r="L82" s="18"/>
    </row>
    <row r="83" spans="1:12" s="3" customFormat="1" ht="19.5" customHeight="1">
      <c r="A83" s="15" t="s">
        <v>41</v>
      </c>
      <c r="B83" s="19">
        <f>B81-B82</f>
        <v>99.8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>
      <c r="A84" s="15" t="s">
        <v>42</v>
      </c>
      <c r="B84" s="22">
        <v>1</v>
      </c>
      <c r="C84" s="555" t="s">
        <v>101</v>
      </c>
      <c r="D84" s="556"/>
      <c r="E84" s="556"/>
      <c r="F84" s="556"/>
      <c r="G84" s="556"/>
      <c r="H84" s="557"/>
      <c r="I84" s="18"/>
      <c r="J84" s="18"/>
      <c r="K84" s="18"/>
      <c r="L84" s="18"/>
    </row>
    <row r="85" spans="1:12" s="3" customFormat="1" ht="27" customHeight="1">
      <c r="A85" s="15" t="s">
        <v>44</v>
      </c>
      <c r="B85" s="22">
        <v>1</v>
      </c>
      <c r="C85" s="555" t="s">
        <v>102</v>
      </c>
      <c r="D85" s="556"/>
      <c r="E85" s="556"/>
      <c r="F85" s="556"/>
      <c r="G85" s="556"/>
      <c r="H85" s="557"/>
      <c r="I85" s="18"/>
      <c r="J85" s="18"/>
      <c r="K85" s="18"/>
      <c r="L85" s="18"/>
    </row>
    <row r="86" spans="1:12" s="3" customFormat="1" ht="18.75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>
      <c r="A87" s="15" t="s">
        <v>46</v>
      </c>
      <c r="B87" s="27">
        <f>B84/B85</f>
        <v>1</v>
      </c>
      <c r="C87" s="5" t="s">
        <v>47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>
      <c r="A88" s="13"/>
      <c r="B88" s="13"/>
    </row>
    <row r="89" spans="1:12" ht="27" customHeight="1">
      <c r="A89" s="28" t="s">
        <v>48</v>
      </c>
      <c r="B89" s="29">
        <v>25</v>
      </c>
      <c r="D89" s="114" t="s">
        <v>49</v>
      </c>
      <c r="E89" s="115"/>
      <c r="F89" s="558" t="s">
        <v>50</v>
      </c>
      <c r="G89" s="560"/>
    </row>
    <row r="90" spans="1:12" ht="27" customHeight="1">
      <c r="A90" s="30" t="s">
        <v>51</v>
      </c>
      <c r="B90" s="31">
        <v>5</v>
      </c>
      <c r="C90" s="116" t="s">
        <v>52</v>
      </c>
      <c r="D90" s="33" t="s">
        <v>53</v>
      </c>
      <c r="E90" s="34" t="s">
        <v>54</v>
      </c>
      <c r="F90" s="33" t="s">
        <v>53</v>
      </c>
      <c r="G90" s="117" t="s">
        <v>54</v>
      </c>
      <c r="I90" s="36" t="s">
        <v>55</v>
      </c>
    </row>
    <row r="91" spans="1:12" ht="26.25" customHeight="1">
      <c r="A91" s="30" t="s">
        <v>56</v>
      </c>
      <c r="B91" s="31">
        <v>25</v>
      </c>
      <c r="C91" s="118">
        <v>1</v>
      </c>
      <c r="D91" s="220">
        <v>11081273</v>
      </c>
      <c r="E91" s="38">
        <f>IF(ISBLANK(D91),"-",$D$101/$D$98*D91)</f>
        <v>12100039.187393576</v>
      </c>
      <c r="F91" s="220">
        <v>11895564</v>
      </c>
      <c r="G91" s="39">
        <f>IF(ISBLANK(F91),"-",$D$101/$F$98*F91)</f>
        <v>12249149.921497945</v>
      </c>
      <c r="I91" s="40"/>
    </row>
    <row r="92" spans="1:12" ht="26.25" customHeight="1">
      <c r="A92" s="30" t="s">
        <v>57</v>
      </c>
      <c r="B92" s="31">
        <v>1</v>
      </c>
      <c r="C92" s="102">
        <v>2</v>
      </c>
      <c r="D92" s="225">
        <v>11070439</v>
      </c>
      <c r="E92" s="43">
        <f>IF(ISBLANK(D92),"-",$D$101/$D$98*D92)</f>
        <v>12088209.154458171</v>
      </c>
      <c r="F92" s="225">
        <v>11939274</v>
      </c>
      <c r="G92" s="44">
        <f>IF(ISBLANK(F92),"-",$D$101/$F$98*F92)</f>
        <v>12294159.165537881</v>
      </c>
      <c r="I92" s="562">
        <f>ABS((F96/D96*D95)-F95)/D95</f>
        <v>1.6698389375448153E-2</v>
      </c>
    </row>
    <row r="93" spans="1:12" ht="26.25" customHeight="1">
      <c r="A93" s="30" t="s">
        <v>58</v>
      </c>
      <c r="B93" s="31">
        <v>1</v>
      </c>
      <c r="C93" s="102">
        <v>3</v>
      </c>
      <c r="D93" s="225">
        <v>11071452</v>
      </c>
      <c r="E93" s="43">
        <f>IF(ISBLANK(D93),"-",$D$101/$D$98*D93)</f>
        <v>12089315.285468284</v>
      </c>
      <c r="F93" s="225">
        <v>11950305</v>
      </c>
      <c r="G93" s="44">
        <f>IF(ISBLANK(F93),"-",$D$101/$F$98*F93)</f>
        <v>12305518.053000806</v>
      </c>
      <c r="I93" s="562"/>
    </row>
    <row r="94" spans="1:12" ht="27" customHeight="1">
      <c r="A94" s="30" t="s">
        <v>59</v>
      </c>
      <c r="B94" s="31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>
      <c r="A95" s="30" t="s">
        <v>60</v>
      </c>
      <c r="B95" s="31">
        <v>1</v>
      </c>
      <c r="C95" s="121" t="s">
        <v>61</v>
      </c>
      <c r="D95" s="122">
        <f>AVERAGE(D91:D94)</f>
        <v>11074388</v>
      </c>
      <c r="E95" s="53">
        <f>AVERAGE(E91:E94)</f>
        <v>12092521.209106678</v>
      </c>
      <c r="F95" s="123">
        <f>AVERAGE(F91:F94)</f>
        <v>11928381</v>
      </c>
      <c r="G95" s="124">
        <f>AVERAGE(G91:G94)</f>
        <v>12282942.380012212</v>
      </c>
    </row>
    <row r="96" spans="1:12" ht="26.25" customHeight="1">
      <c r="A96" s="30" t="s">
        <v>62</v>
      </c>
      <c r="B96" s="16">
        <v>1</v>
      </c>
      <c r="C96" s="125" t="s">
        <v>103</v>
      </c>
      <c r="D96" s="126">
        <v>25.49</v>
      </c>
      <c r="E96" s="45"/>
      <c r="F96" s="57">
        <v>27.03</v>
      </c>
    </row>
    <row r="97" spans="1:10" ht="26.25" customHeight="1">
      <c r="A97" s="30" t="s">
        <v>64</v>
      </c>
      <c r="B97" s="16">
        <v>1</v>
      </c>
      <c r="C97" s="127" t="s">
        <v>104</v>
      </c>
      <c r="D97" s="128">
        <f>D96*$B$87</f>
        <v>25.49</v>
      </c>
      <c r="E97" s="60"/>
      <c r="F97" s="59">
        <f>F96*$B$87</f>
        <v>27.03</v>
      </c>
    </row>
    <row r="98" spans="1:10" ht="19.5" customHeight="1">
      <c r="A98" s="30" t="s">
        <v>66</v>
      </c>
      <c r="B98" s="129">
        <f>(B97/B96)*(B95/B94)*(B93/B92)*(B91/B90)*B89</f>
        <v>125</v>
      </c>
      <c r="C98" s="127" t="s">
        <v>105</v>
      </c>
      <c r="D98" s="130">
        <f>D97*$B$83/100</f>
        <v>25.439019999999996</v>
      </c>
      <c r="E98" s="63"/>
      <c r="F98" s="62">
        <f>F97*$B$83/100</f>
        <v>26.975940000000001</v>
      </c>
    </row>
    <row r="99" spans="1:10" ht="19.5" customHeight="1">
      <c r="A99" s="563" t="s">
        <v>68</v>
      </c>
      <c r="B99" s="577"/>
      <c r="C99" s="127" t="s">
        <v>106</v>
      </c>
      <c r="D99" s="131">
        <f>D98/$B$98</f>
        <v>0.20351215999999997</v>
      </c>
      <c r="E99" s="63"/>
      <c r="F99" s="66">
        <f>F98/$B$98</f>
        <v>0.21580752</v>
      </c>
      <c r="G99" s="132"/>
      <c r="H99" s="55"/>
    </row>
    <row r="100" spans="1:10" ht="19.5" customHeight="1">
      <c r="A100" s="565"/>
      <c r="B100" s="578"/>
      <c r="C100" s="127" t="s">
        <v>70</v>
      </c>
      <c r="D100" s="133">
        <f>$B$56/$B$116</f>
        <v>0.22222222222222221</v>
      </c>
      <c r="F100" s="71"/>
      <c r="G100" s="134"/>
      <c r="H100" s="55"/>
    </row>
    <row r="101" spans="1:10" ht="18.75">
      <c r="C101" s="127" t="s">
        <v>71</v>
      </c>
      <c r="D101" s="128">
        <f>D100*$B$98</f>
        <v>27.777777777777775</v>
      </c>
      <c r="F101" s="71"/>
      <c r="G101" s="132"/>
      <c r="H101" s="55"/>
    </row>
    <row r="102" spans="1:10" ht="19.5" customHeight="1">
      <c r="C102" s="135" t="s">
        <v>72</v>
      </c>
      <c r="D102" s="136">
        <f>D101/B34</f>
        <v>27.777777777777775</v>
      </c>
      <c r="F102" s="75"/>
      <c r="G102" s="132"/>
      <c r="H102" s="55"/>
      <c r="J102" s="137"/>
    </row>
    <row r="103" spans="1:10" ht="18.75">
      <c r="C103" s="138" t="s">
        <v>107</v>
      </c>
      <c r="D103" s="139">
        <f>AVERAGE(E91:E94,G91:G94)</f>
        <v>12187731.794559443</v>
      </c>
      <c r="F103" s="75"/>
      <c r="G103" s="140"/>
      <c r="H103" s="55"/>
      <c r="J103" s="141"/>
    </row>
    <row r="104" spans="1:10" ht="18.75">
      <c r="C104" s="105" t="s">
        <v>74</v>
      </c>
      <c r="D104" s="142">
        <f>STDEV(E91:E94,G91:G94)/D103</f>
        <v>8.7029295155938869E-3</v>
      </c>
      <c r="F104" s="75"/>
      <c r="G104" s="132"/>
      <c r="H104" s="55"/>
      <c r="J104" s="141"/>
    </row>
    <row r="105" spans="1:10" ht="19.5" customHeight="1">
      <c r="C105" s="107" t="s">
        <v>20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>
      <c r="A106" s="79"/>
      <c r="B106" s="79"/>
      <c r="C106" s="79"/>
      <c r="D106" s="79"/>
      <c r="E106" s="79"/>
    </row>
    <row r="107" spans="1:10" ht="26.25" customHeight="1">
      <c r="A107" s="28" t="s">
        <v>108</v>
      </c>
      <c r="B107" s="29">
        <v>900</v>
      </c>
      <c r="C107" s="144" t="s">
        <v>109</v>
      </c>
      <c r="D107" s="145" t="s">
        <v>53</v>
      </c>
      <c r="E107" s="146" t="s">
        <v>110</v>
      </c>
      <c r="F107" s="147" t="s">
        <v>111</v>
      </c>
    </row>
    <row r="108" spans="1:10" ht="26.25" customHeight="1">
      <c r="A108" s="30" t="s">
        <v>112</v>
      </c>
      <c r="B108" s="31">
        <v>1</v>
      </c>
      <c r="C108" s="148">
        <v>1</v>
      </c>
      <c r="D108" s="149">
        <v>12162995</v>
      </c>
      <c r="E108" s="180">
        <f t="shared" ref="E108:E113" si="1">IF(ISBLANK(D108),"-",D108/$D$103*$D$100*$B$116)</f>
        <v>199.5940705788999</v>
      </c>
      <c r="F108" s="150">
        <f t="shared" ref="F108:F113" si="2">IF(ISBLANK(D108), "-", E108/$B$56)</f>
        <v>0.99797035289449953</v>
      </c>
    </row>
    <row r="109" spans="1:10" ht="26.25" customHeight="1">
      <c r="A109" s="30" t="s">
        <v>85</v>
      </c>
      <c r="B109" s="31">
        <v>1</v>
      </c>
      <c r="C109" s="148">
        <v>2</v>
      </c>
      <c r="D109" s="149">
        <v>11969782</v>
      </c>
      <c r="E109" s="181">
        <f t="shared" si="1"/>
        <v>196.42345600915283</v>
      </c>
      <c r="F109" s="151">
        <f t="shared" si="2"/>
        <v>0.98211728004576415</v>
      </c>
    </row>
    <row r="110" spans="1:10" ht="26.25" customHeight="1">
      <c r="A110" s="30" t="s">
        <v>86</v>
      </c>
      <c r="B110" s="31">
        <v>1</v>
      </c>
      <c r="C110" s="148">
        <v>3</v>
      </c>
      <c r="D110" s="149">
        <v>11992627</v>
      </c>
      <c r="E110" s="181">
        <f t="shared" si="1"/>
        <v>196.79834118688865</v>
      </c>
      <c r="F110" s="151">
        <f t="shared" si="2"/>
        <v>0.98399170593444329</v>
      </c>
    </row>
    <row r="111" spans="1:10" ht="26.25" customHeight="1">
      <c r="A111" s="30" t="s">
        <v>87</v>
      </c>
      <c r="B111" s="31">
        <v>1</v>
      </c>
      <c r="C111" s="148">
        <v>4</v>
      </c>
      <c r="D111" s="149">
        <v>11931286</v>
      </c>
      <c r="E111" s="181">
        <f t="shared" si="1"/>
        <v>195.79173879303906</v>
      </c>
      <c r="F111" s="151">
        <f t="shared" si="2"/>
        <v>0.9789586939651953</v>
      </c>
    </row>
    <row r="112" spans="1:10" ht="26.25" customHeight="1">
      <c r="A112" s="30" t="s">
        <v>88</v>
      </c>
      <c r="B112" s="31">
        <v>1</v>
      </c>
      <c r="C112" s="148">
        <v>5</v>
      </c>
      <c r="D112" s="149">
        <v>11973918</v>
      </c>
      <c r="E112" s="181">
        <f t="shared" si="1"/>
        <v>196.49132753881423</v>
      </c>
      <c r="F112" s="151">
        <f t="shared" si="2"/>
        <v>0.98245663769407121</v>
      </c>
    </row>
    <row r="113" spans="1:10" ht="26.25" customHeight="1">
      <c r="A113" s="30" t="s">
        <v>90</v>
      </c>
      <c r="B113" s="31">
        <v>1</v>
      </c>
      <c r="C113" s="152">
        <v>6</v>
      </c>
      <c r="D113" s="153">
        <v>11998604</v>
      </c>
      <c r="E113" s="182">
        <f t="shared" si="1"/>
        <v>196.89642342402269</v>
      </c>
      <c r="F113" s="154">
        <f t="shared" si="2"/>
        <v>0.98448211712011346</v>
      </c>
    </row>
    <row r="114" spans="1:10" ht="26.25" customHeight="1">
      <c r="A114" s="30" t="s">
        <v>91</v>
      </c>
      <c r="B114" s="31">
        <v>1</v>
      </c>
      <c r="C114" s="148"/>
      <c r="D114" s="102"/>
      <c r="E114" s="4"/>
      <c r="F114" s="155"/>
    </row>
    <row r="115" spans="1:10" ht="26.25" customHeight="1">
      <c r="A115" s="30" t="s">
        <v>92</v>
      </c>
      <c r="B115" s="31">
        <v>1</v>
      </c>
      <c r="C115" s="148"/>
      <c r="D115" s="156" t="s">
        <v>61</v>
      </c>
      <c r="E115" s="184">
        <f>AVERAGE(E108:E113)</f>
        <v>196.99922625513622</v>
      </c>
      <c r="F115" s="157">
        <f>AVERAGE(F108:F113)</f>
        <v>0.98499613127568109</v>
      </c>
    </row>
    <row r="116" spans="1:10" ht="27" customHeight="1">
      <c r="A116" s="30" t="s">
        <v>93</v>
      </c>
      <c r="B116" s="61">
        <f>(B115/B114)*(B113/B112)*(B111/B110)*(B109/B108)*B107</f>
        <v>900</v>
      </c>
      <c r="C116" s="158"/>
      <c r="D116" s="121" t="s">
        <v>74</v>
      </c>
      <c r="E116" s="159">
        <f>STDEV(E108:E113)/E115</f>
        <v>6.7463850606497861E-3</v>
      </c>
      <c r="F116" s="159">
        <f>STDEV(F108:F113)/F115</f>
        <v>6.7463850606503005E-3</v>
      </c>
      <c r="I116" s="4"/>
    </row>
    <row r="117" spans="1:10" ht="27" customHeight="1">
      <c r="A117" s="563" t="s">
        <v>68</v>
      </c>
      <c r="B117" s="564"/>
      <c r="C117" s="160"/>
      <c r="D117" s="161" t="s">
        <v>20</v>
      </c>
      <c r="E117" s="162">
        <f>COUNT(E108:E113)</f>
        <v>6</v>
      </c>
      <c r="F117" s="162">
        <f>COUNT(F108:F113)</f>
        <v>6</v>
      </c>
      <c r="I117" s="4"/>
      <c r="J117" s="141"/>
    </row>
    <row r="118" spans="1:10" ht="19.5" customHeight="1">
      <c r="A118" s="565"/>
      <c r="B118" s="566"/>
      <c r="C118" s="4"/>
      <c r="D118" s="4"/>
      <c r="E118" s="4"/>
      <c r="F118" s="102"/>
      <c r="G118" s="4"/>
      <c r="H118" s="4"/>
      <c r="I118" s="4"/>
    </row>
    <row r="119" spans="1:10" ht="18.75">
      <c r="A119" s="171"/>
      <c r="B119" s="26"/>
      <c r="C119" s="4"/>
      <c r="D119" s="4"/>
      <c r="E119" s="4"/>
      <c r="F119" s="102"/>
      <c r="G119" s="4"/>
      <c r="H119" s="4"/>
      <c r="I119" s="4"/>
    </row>
    <row r="120" spans="1:10" ht="26.25" customHeight="1">
      <c r="A120" s="14" t="s">
        <v>96</v>
      </c>
      <c r="B120" s="109" t="s">
        <v>113</v>
      </c>
      <c r="C120" s="575" t="str">
        <f>B20</f>
        <v>Lopinavir 200mg &amp; Ritonavir 50mg</v>
      </c>
      <c r="D120" s="575"/>
      <c r="E120" s="110" t="s">
        <v>114</v>
      </c>
      <c r="F120" s="110"/>
      <c r="G120" s="111">
        <f>F115</f>
        <v>0.98499613127568109</v>
      </c>
      <c r="H120" s="4"/>
      <c r="I120" s="4"/>
    </row>
    <row r="121" spans="1:10" ht="19.5" customHeight="1">
      <c r="A121" s="163"/>
      <c r="B121" s="163"/>
      <c r="C121" s="164"/>
      <c r="D121" s="164"/>
      <c r="E121" s="164"/>
      <c r="F121" s="164"/>
      <c r="G121" s="164"/>
      <c r="H121" s="164"/>
    </row>
    <row r="122" spans="1:10" ht="18.75">
      <c r="B122" s="576" t="s">
        <v>23</v>
      </c>
      <c r="C122" s="576"/>
      <c r="E122" s="116" t="s">
        <v>24</v>
      </c>
      <c r="F122" s="165"/>
      <c r="G122" s="576" t="s">
        <v>25</v>
      </c>
      <c r="H122" s="576"/>
    </row>
    <row r="123" spans="1:10" ht="69.95" customHeight="1">
      <c r="A123" s="166" t="s">
        <v>26</v>
      </c>
      <c r="B123" s="167"/>
      <c r="C123" s="167"/>
      <c r="E123" s="167"/>
      <c r="F123" s="4"/>
      <c r="G123" s="168"/>
      <c r="H123" s="168"/>
    </row>
    <row r="124" spans="1:10" ht="69.95" customHeight="1">
      <c r="A124" s="166" t="s">
        <v>27</v>
      </c>
      <c r="B124" s="169"/>
      <c r="C124" s="169"/>
      <c r="E124" s="169"/>
      <c r="F124" s="4"/>
      <c r="G124" s="170"/>
      <c r="H124" s="170"/>
    </row>
    <row r="125" spans="1:10" ht="18.75">
      <c r="A125" s="101"/>
      <c r="B125" s="101"/>
      <c r="C125" s="102"/>
      <c r="D125" s="102"/>
      <c r="E125" s="102"/>
      <c r="F125" s="106"/>
      <c r="G125" s="102"/>
      <c r="H125" s="102"/>
      <c r="I125" s="4"/>
    </row>
    <row r="126" spans="1:10" ht="18.75">
      <c r="A126" s="101"/>
      <c r="B126" s="101"/>
      <c r="C126" s="102"/>
      <c r="D126" s="102"/>
      <c r="E126" s="102"/>
      <c r="F126" s="106"/>
      <c r="G126" s="102"/>
      <c r="H126" s="102"/>
      <c r="I126" s="4"/>
    </row>
    <row r="127" spans="1:10" ht="18.75">
      <c r="A127" s="101"/>
      <c r="B127" s="101"/>
      <c r="C127" s="102"/>
      <c r="D127" s="102"/>
      <c r="E127" s="102"/>
      <c r="F127" s="106"/>
      <c r="G127" s="102"/>
      <c r="H127" s="102"/>
      <c r="I127" s="4"/>
    </row>
    <row r="128" spans="1:10" ht="18.75">
      <c r="A128" s="101"/>
      <c r="B128" s="101"/>
      <c r="C128" s="102"/>
      <c r="D128" s="102"/>
      <c r="E128" s="102"/>
      <c r="F128" s="106"/>
      <c r="G128" s="102"/>
      <c r="H128" s="102"/>
      <c r="I128" s="4"/>
    </row>
    <row r="129" spans="1:9" ht="18.75">
      <c r="A129" s="101"/>
      <c r="B129" s="101"/>
      <c r="C129" s="102"/>
      <c r="D129" s="102"/>
      <c r="E129" s="102"/>
      <c r="F129" s="106"/>
      <c r="G129" s="102"/>
      <c r="H129" s="102"/>
      <c r="I129" s="4"/>
    </row>
    <row r="130" spans="1:9" ht="18.75">
      <c r="A130" s="101"/>
      <c r="B130" s="101"/>
      <c r="C130" s="102"/>
      <c r="D130" s="102"/>
      <c r="E130" s="102"/>
      <c r="F130" s="106"/>
      <c r="G130" s="102"/>
      <c r="H130" s="102"/>
      <c r="I130" s="4"/>
    </row>
    <row r="131" spans="1:9" ht="18.75">
      <c r="A131" s="101"/>
      <c r="B131" s="101"/>
      <c r="C131" s="102"/>
      <c r="D131" s="102"/>
      <c r="E131" s="102"/>
      <c r="F131" s="106"/>
      <c r="G131" s="102"/>
      <c r="H131" s="102"/>
      <c r="I131" s="4"/>
    </row>
    <row r="132" spans="1:9" ht="18.75">
      <c r="A132" s="101"/>
      <c r="B132" s="101"/>
      <c r="C132" s="102"/>
      <c r="D132" s="102"/>
      <c r="E132" s="102"/>
      <c r="F132" s="106"/>
      <c r="G132" s="102"/>
      <c r="H132" s="102"/>
      <c r="I132" s="4"/>
    </row>
    <row r="133" spans="1:9" ht="18.75">
      <c r="A133" s="101"/>
      <c r="B133" s="101"/>
      <c r="C133" s="102"/>
      <c r="D133" s="102"/>
      <c r="E133" s="102"/>
      <c r="F133" s="106"/>
      <c r="G133" s="102"/>
      <c r="H133" s="102"/>
      <c r="I133" s="4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B1" zoomScale="55" zoomScaleNormal="40" zoomScalePageLayoutView="55" workbookViewId="0">
      <selection activeCell="K14" sqref="K1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73" t="s">
        <v>28</v>
      </c>
      <c r="B1" s="573"/>
      <c r="C1" s="573"/>
      <c r="D1" s="573"/>
      <c r="E1" s="573"/>
      <c r="F1" s="573"/>
      <c r="G1" s="573"/>
      <c r="H1" s="573"/>
      <c r="I1" s="573"/>
    </row>
    <row r="2" spans="1:9" ht="18.75" customHeight="1">
      <c r="A2" s="573"/>
      <c r="B2" s="573"/>
      <c r="C2" s="573"/>
      <c r="D2" s="573"/>
      <c r="E2" s="573"/>
      <c r="F2" s="573"/>
      <c r="G2" s="573"/>
      <c r="H2" s="573"/>
      <c r="I2" s="573"/>
    </row>
    <row r="3" spans="1:9" ht="18.75" customHeight="1">
      <c r="A3" s="573"/>
      <c r="B3" s="573"/>
      <c r="C3" s="573"/>
      <c r="D3" s="573"/>
      <c r="E3" s="573"/>
      <c r="F3" s="573"/>
      <c r="G3" s="573"/>
      <c r="H3" s="573"/>
      <c r="I3" s="573"/>
    </row>
    <row r="4" spans="1:9" ht="18.75" customHeight="1">
      <c r="A4" s="573"/>
      <c r="B4" s="573"/>
      <c r="C4" s="573"/>
      <c r="D4" s="573"/>
      <c r="E4" s="573"/>
      <c r="F4" s="573"/>
      <c r="G4" s="573"/>
      <c r="H4" s="573"/>
      <c r="I4" s="573"/>
    </row>
    <row r="5" spans="1:9" ht="18.75" customHeight="1">
      <c r="A5" s="573"/>
      <c r="B5" s="573"/>
      <c r="C5" s="573"/>
      <c r="D5" s="573"/>
      <c r="E5" s="573"/>
      <c r="F5" s="573"/>
      <c r="G5" s="573"/>
      <c r="H5" s="573"/>
      <c r="I5" s="573"/>
    </row>
    <row r="6" spans="1:9" ht="18.75" customHeight="1">
      <c r="A6" s="573"/>
      <c r="B6" s="573"/>
      <c r="C6" s="573"/>
      <c r="D6" s="573"/>
      <c r="E6" s="573"/>
      <c r="F6" s="573"/>
      <c r="G6" s="573"/>
      <c r="H6" s="573"/>
      <c r="I6" s="573"/>
    </row>
    <row r="7" spans="1:9" ht="18.75" customHeight="1">
      <c r="A7" s="573"/>
      <c r="B7" s="573"/>
      <c r="C7" s="573"/>
      <c r="D7" s="573"/>
      <c r="E7" s="573"/>
      <c r="F7" s="573"/>
      <c r="G7" s="573"/>
      <c r="H7" s="573"/>
      <c r="I7" s="573"/>
    </row>
    <row r="8" spans="1:9">
      <c r="A8" s="574" t="s">
        <v>29</v>
      </c>
      <c r="B8" s="574"/>
      <c r="C8" s="574"/>
      <c r="D8" s="574"/>
      <c r="E8" s="574"/>
      <c r="F8" s="574"/>
      <c r="G8" s="574"/>
      <c r="H8" s="574"/>
      <c r="I8" s="574"/>
    </row>
    <row r="9" spans="1:9">
      <c r="A9" s="574"/>
      <c r="B9" s="574"/>
      <c r="C9" s="574"/>
      <c r="D9" s="574"/>
      <c r="E9" s="574"/>
      <c r="F9" s="574"/>
      <c r="G9" s="574"/>
      <c r="H9" s="574"/>
      <c r="I9" s="574"/>
    </row>
    <row r="10" spans="1:9">
      <c r="A10" s="574"/>
      <c r="B10" s="574"/>
      <c r="C10" s="574"/>
      <c r="D10" s="574"/>
      <c r="E10" s="574"/>
      <c r="F10" s="574"/>
      <c r="G10" s="574"/>
      <c r="H10" s="574"/>
      <c r="I10" s="574"/>
    </row>
    <row r="11" spans="1:9">
      <c r="A11" s="574"/>
      <c r="B11" s="574"/>
      <c r="C11" s="574"/>
      <c r="D11" s="574"/>
      <c r="E11" s="574"/>
      <c r="F11" s="574"/>
      <c r="G11" s="574"/>
      <c r="H11" s="574"/>
      <c r="I11" s="574"/>
    </row>
    <row r="12" spans="1:9">
      <c r="A12" s="574"/>
      <c r="B12" s="574"/>
      <c r="C12" s="574"/>
      <c r="D12" s="574"/>
      <c r="E12" s="574"/>
      <c r="F12" s="574"/>
      <c r="G12" s="574"/>
      <c r="H12" s="574"/>
      <c r="I12" s="574"/>
    </row>
    <row r="13" spans="1:9">
      <c r="A13" s="574"/>
      <c r="B13" s="574"/>
      <c r="C13" s="574"/>
      <c r="D13" s="574"/>
      <c r="E13" s="574"/>
      <c r="F13" s="574"/>
      <c r="G13" s="574"/>
      <c r="H13" s="574"/>
      <c r="I13" s="574"/>
    </row>
    <row r="14" spans="1:9">
      <c r="A14" s="574"/>
      <c r="B14" s="574"/>
      <c r="C14" s="574"/>
      <c r="D14" s="574"/>
      <c r="E14" s="574"/>
      <c r="F14" s="574"/>
      <c r="G14" s="574"/>
      <c r="H14" s="574"/>
      <c r="I14" s="574"/>
    </row>
    <row r="15" spans="1:9" ht="19.5" customHeight="1">
      <c r="A15" s="186"/>
    </row>
    <row r="16" spans="1:9" ht="19.5" customHeight="1">
      <c r="A16" s="546" t="s">
        <v>30</v>
      </c>
      <c r="B16" s="547"/>
      <c r="C16" s="547"/>
      <c r="D16" s="547"/>
      <c r="E16" s="547"/>
      <c r="F16" s="547"/>
      <c r="G16" s="547"/>
      <c r="H16" s="548"/>
    </row>
    <row r="17" spans="1:14" ht="20.25" customHeight="1">
      <c r="A17" s="549" t="s">
        <v>31</v>
      </c>
      <c r="B17" s="549"/>
      <c r="C17" s="549"/>
      <c r="D17" s="549"/>
      <c r="E17" s="549"/>
      <c r="F17" s="549"/>
      <c r="G17" s="549"/>
      <c r="H17" s="549"/>
    </row>
    <row r="18" spans="1:14" ht="26.25" customHeight="1">
      <c r="A18" s="188" t="s">
        <v>32</v>
      </c>
      <c r="B18" s="545" t="s">
        <v>5</v>
      </c>
      <c r="C18" s="545"/>
      <c r="D18" s="355"/>
      <c r="E18" s="189"/>
      <c r="F18" s="190"/>
      <c r="G18" s="190"/>
      <c r="H18" s="190"/>
    </row>
    <row r="19" spans="1:14" ht="26.25" customHeight="1">
      <c r="A19" s="188" t="s">
        <v>33</v>
      </c>
      <c r="B19" s="191" t="s">
        <v>7</v>
      </c>
      <c r="C19" s="368">
        <v>29</v>
      </c>
      <c r="D19" s="190"/>
      <c r="E19" s="190"/>
      <c r="F19" s="190"/>
      <c r="G19" s="190"/>
      <c r="H19" s="190"/>
    </row>
    <row r="20" spans="1:14" ht="26.25" customHeight="1">
      <c r="A20" s="188" t="s">
        <v>34</v>
      </c>
      <c r="B20" s="550" t="s">
        <v>9</v>
      </c>
      <c r="C20" s="550"/>
      <c r="D20" s="190"/>
      <c r="E20" s="190"/>
      <c r="F20" s="190"/>
      <c r="G20" s="190"/>
      <c r="H20" s="190"/>
    </row>
    <row r="21" spans="1:14" ht="26.25" customHeight="1">
      <c r="A21" s="188" t="s">
        <v>35</v>
      </c>
      <c r="B21" s="550" t="s">
        <v>11</v>
      </c>
      <c r="C21" s="550"/>
      <c r="D21" s="550"/>
      <c r="E21" s="550"/>
      <c r="F21" s="550"/>
      <c r="G21" s="550"/>
      <c r="H21" s="550"/>
      <c r="I21" s="192"/>
    </row>
    <row r="22" spans="1:14" ht="26.25" customHeight="1">
      <c r="A22" s="188" t="s">
        <v>36</v>
      </c>
      <c r="B22" s="193">
        <v>42530.563645833332</v>
      </c>
      <c r="C22" s="190"/>
      <c r="D22" s="190"/>
      <c r="E22" s="190"/>
      <c r="F22" s="190"/>
      <c r="G22" s="190"/>
      <c r="H22" s="190"/>
    </row>
    <row r="23" spans="1:14" ht="26.25" customHeight="1">
      <c r="A23" s="188" t="s">
        <v>37</v>
      </c>
      <c r="B23" s="193">
        <f>Lopinavir!B23</f>
        <v>42539.563645833332</v>
      </c>
      <c r="C23" s="190"/>
      <c r="D23" s="190"/>
      <c r="E23" s="190"/>
      <c r="F23" s="190"/>
      <c r="G23" s="190"/>
      <c r="H23" s="190"/>
    </row>
    <row r="24" spans="1:14" ht="18.75">
      <c r="A24" s="188"/>
      <c r="B24" s="194"/>
    </row>
    <row r="25" spans="1:14" ht="18.75">
      <c r="A25" s="195" t="s">
        <v>1</v>
      </c>
      <c r="B25" s="194"/>
    </row>
    <row r="26" spans="1:14" ht="26.25" customHeight="1">
      <c r="A26" s="196" t="s">
        <v>4</v>
      </c>
      <c r="B26" s="545" t="s">
        <v>128</v>
      </c>
      <c r="C26" s="545"/>
    </row>
    <row r="27" spans="1:14" ht="26.25" customHeight="1">
      <c r="A27" s="197" t="s">
        <v>38</v>
      </c>
      <c r="B27" s="551" t="s">
        <v>129</v>
      </c>
      <c r="C27" s="551"/>
    </row>
    <row r="28" spans="1:14" ht="27" customHeight="1">
      <c r="A28" s="197" t="s">
        <v>6</v>
      </c>
      <c r="B28" s="198">
        <v>99.4</v>
      </c>
    </row>
    <row r="29" spans="1:14" s="3" customFormat="1" ht="27" customHeight="1">
      <c r="A29" s="197" t="s">
        <v>39</v>
      </c>
      <c r="B29" s="199">
        <v>0</v>
      </c>
      <c r="C29" s="552" t="s">
        <v>40</v>
      </c>
      <c r="D29" s="553"/>
      <c r="E29" s="553"/>
      <c r="F29" s="553"/>
      <c r="G29" s="554"/>
      <c r="I29" s="200"/>
      <c r="J29" s="200"/>
      <c r="K29" s="200"/>
      <c r="L29" s="200"/>
    </row>
    <row r="30" spans="1:14" s="3" customFormat="1" ht="19.5" customHeight="1">
      <c r="A30" s="197" t="s">
        <v>41</v>
      </c>
      <c r="B30" s="201">
        <f>B28-B29</f>
        <v>99.4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3" customFormat="1" ht="27" customHeight="1">
      <c r="A31" s="197" t="s">
        <v>42</v>
      </c>
      <c r="B31" s="204">
        <v>1</v>
      </c>
      <c r="C31" s="555" t="s">
        <v>43</v>
      </c>
      <c r="D31" s="556"/>
      <c r="E31" s="556"/>
      <c r="F31" s="556"/>
      <c r="G31" s="556"/>
      <c r="H31" s="557"/>
      <c r="I31" s="200"/>
      <c r="J31" s="200"/>
      <c r="K31" s="200"/>
      <c r="L31" s="200"/>
    </row>
    <row r="32" spans="1:14" s="3" customFormat="1" ht="27" customHeight="1">
      <c r="A32" s="197" t="s">
        <v>44</v>
      </c>
      <c r="B32" s="204">
        <v>1</v>
      </c>
      <c r="C32" s="555" t="s">
        <v>45</v>
      </c>
      <c r="D32" s="556"/>
      <c r="E32" s="556"/>
      <c r="F32" s="556"/>
      <c r="G32" s="556"/>
      <c r="H32" s="557"/>
      <c r="I32" s="200"/>
      <c r="J32" s="200"/>
      <c r="K32" s="200"/>
      <c r="L32" s="205"/>
      <c r="M32" s="205"/>
      <c r="N32" s="206"/>
    </row>
    <row r="33" spans="1:14" s="3" customFormat="1" ht="17.25" customHeight="1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3" customFormat="1" ht="18.75">
      <c r="A34" s="197" t="s">
        <v>46</v>
      </c>
      <c r="B34" s="209">
        <f>B31/B32</f>
        <v>1</v>
      </c>
      <c r="C34" s="187" t="s">
        <v>47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3" customFormat="1" ht="19.5" customHeight="1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3" customFormat="1" ht="27" customHeight="1">
      <c r="A36" s="210" t="s">
        <v>48</v>
      </c>
      <c r="B36" s="211">
        <v>25</v>
      </c>
      <c r="C36" s="187"/>
      <c r="D36" s="558" t="s">
        <v>49</v>
      </c>
      <c r="E36" s="559"/>
      <c r="F36" s="558" t="s">
        <v>50</v>
      </c>
      <c r="G36" s="560"/>
      <c r="J36" s="200"/>
      <c r="K36" s="200"/>
      <c r="L36" s="205"/>
      <c r="M36" s="205"/>
      <c r="N36" s="206"/>
    </row>
    <row r="37" spans="1:14" s="3" customFormat="1" ht="27" customHeight="1">
      <c r="A37" s="212" t="s">
        <v>51</v>
      </c>
      <c r="B37" s="213">
        <v>10</v>
      </c>
      <c r="C37" s="214" t="s">
        <v>52</v>
      </c>
      <c r="D37" s="215" t="s">
        <v>53</v>
      </c>
      <c r="E37" s="216" t="s">
        <v>54</v>
      </c>
      <c r="F37" s="215" t="s">
        <v>53</v>
      </c>
      <c r="G37" s="217" t="s">
        <v>54</v>
      </c>
      <c r="I37" s="218" t="s">
        <v>55</v>
      </c>
      <c r="J37" s="200"/>
      <c r="K37" s="200"/>
      <c r="L37" s="205"/>
      <c r="M37" s="205"/>
      <c r="N37" s="206"/>
    </row>
    <row r="38" spans="1:14" s="3" customFormat="1" ht="26.25" customHeight="1">
      <c r="A38" s="212" t="s">
        <v>56</v>
      </c>
      <c r="B38" s="213">
        <v>25</v>
      </c>
      <c r="C38" s="219">
        <v>1</v>
      </c>
      <c r="D38" s="220">
        <v>12276832</v>
      </c>
      <c r="E38" s="221">
        <f>IF(ISBLANK(D38),"-",$D$48/$D$45*D38)</f>
        <v>14316275.994244399</v>
      </c>
      <c r="F38" s="220">
        <v>12891356</v>
      </c>
      <c r="G38" s="222">
        <f>IF(ISBLANK(F38),"-",$D$48/$F$45*F38)</f>
        <v>14568173.780280534</v>
      </c>
      <c r="I38" s="223"/>
      <c r="J38" s="200"/>
      <c r="K38" s="200"/>
      <c r="L38" s="205"/>
      <c r="M38" s="205"/>
      <c r="N38" s="206"/>
    </row>
    <row r="39" spans="1:14" s="3" customFormat="1" ht="26.25" customHeight="1">
      <c r="A39" s="212" t="s">
        <v>57</v>
      </c>
      <c r="B39" s="213">
        <v>1</v>
      </c>
      <c r="C39" s="224">
        <v>2</v>
      </c>
      <c r="D39" s="225">
        <v>12307505</v>
      </c>
      <c r="E39" s="226">
        <f>IF(ISBLANK(D39),"-",$D$48/$D$45*D39)</f>
        <v>14352044.434634512</v>
      </c>
      <c r="F39" s="225">
        <v>12846494</v>
      </c>
      <c r="G39" s="227">
        <f>IF(ISBLANK(F39),"-",$D$48/$F$45*F39)</f>
        <v>14517476.443853633</v>
      </c>
      <c r="I39" s="562">
        <f>ABS((F43/D43*D42)-F42)/D42</f>
        <v>1.3504142873411834E-2</v>
      </c>
      <c r="J39" s="200"/>
      <c r="K39" s="200"/>
      <c r="L39" s="205"/>
      <c r="M39" s="205"/>
      <c r="N39" s="206"/>
    </row>
    <row r="40" spans="1:14" ht="26.25" customHeight="1">
      <c r="A40" s="212" t="s">
        <v>58</v>
      </c>
      <c r="B40" s="213">
        <v>1</v>
      </c>
      <c r="C40" s="224">
        <v>3</v>
      </c>
      <c r="D40" s="225">
        <v>12328525</v>
      </c>
      <c r="E40" s="226">
        <f>IF(ISBLANK(D40),"-",$D$48/$D$45*D40)</f>
        <v>14376556.305563351</v>
      </c>
      <c r="F40" s="225">
        <v>12850976</v>
      </c>
      <c r="G40" s="227">
        <f>IF(ISBLANK(F40),"-",$D$48/$F$45*F40)</f>
        <v>14522541.431189584</v>
      </c>
      <c r="I40" s="562"/>
      <c r="L40" s="205"/>
      <c r="M40" s="205"/>
      <c r="N40" s="228"/>
    </row>
    <row r="41" spans="1:14" ht="27" customHeight="1">
      <c r="A41" s="212" t="s">
        <v>59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>
      <c r="A42" s="212" t="s">
        <v>60</v>
      </c>
      <c r="B42" s="213">
        <v>1</v>
      </c>
      <c r="C42" s="234" t="s">
        <v>61</v>
      </c>
      <c r="D42" s="235">
        <f>AVERAGE(D38:D41)</f>
        <v>12304287.333333334</v>
      </c>
      <c r="E42" s="236">
        <f>AVERAGE(E38:E41)</f>
        <v>14348292.244814089</v>
      </c>
      <c r="F42" s="235">
        <f>AVERAGE(F38:F41)</f>
        <v>12862942</v>
      </c>
      <c r="G42" s="237">
        <f>AVERAGE(G38:G41)</f>
        <v>14536063.885107918</v>
      </c>
      <c r="H42" s="238"/>
    </row>
    <row r="43" spans="1:14" ht="26.25" customHeight="1">
      <c r="A43" s="212" t="s">
        <v>62</v>
      </c>
      <c r="B43" s="213">
        <v>1</v>
      </c>
      <c r="C43" s="239" t="s">
        <v>63</v>
      </c>
      <c r="D43" s="240">
        <v>13.48</v>
      </c>
      <c r="E43" s="228"/>
      <c r="F43" s="240">
        <v>13.91</v>
      </c>
      <c r="H43" s="238"/>
    </row>
    <row r="44" spans="1:14" ht="26.25" customHeight="1">
      <c r="A44" s="212" t="s">
        <v>64</v>
      </c>
      <c r="B44" s="213">
        <v>1</v>
      </c>
      <c r="C44" s="241" t="s">
        <v>65</v>
      </c>
      <c r="D44" s="242">
        <f>D43*$B$34</f>
        <v>13.48</v>
      </c>
      <c r="E44" s="243"/>
      <c r="F44" s="242">
        <f>F43*$B$34</f>
        <v>13.91</v>
      </c>
      <c r="H44" s="238"/>
    </row>
    <row r="45" spans="1:14" ht="19.5" customHeight="1">
      <c r="A45" s="212" t="s">
        <v>66</v>
      </c>
      <c r="B45" s="244">
        <f>(B44/B43)*(B42/B41)*(B40/B39)*(B38/B37)*B36</f>
        <v>62.5</v>
      </c>
      <c r="C45" s="241" t="s">
        <v>67</v>
      </c>
      <c r="D45" s="245">
        <f>D44*$B$30/100</f>
        <v>13.39912</v>
      </c>
      <c r="E45" s="246"/>
      <c r="F45" s="245">
        <f>F44*$B$30/100</f>
        <v>13.82654</v>
      </c>
      <c r="H45" s="238"/>
    </row>
    <row r="46" spans="1:14" ht="19.5" customHeight="1">
      <c r="A46" s="563" t="s">
        <v>68</v>
      </c>
      <c r="B46" s="564"/>
      <c r="C46" s="241" t="s">
        <v>69</v>
      </c>
      <c r="D46" s="247">
        <f>D45/$B$45</f>
        <v>0.21438592000000001</v>
      </c>
      <c r="E46" s="248"/>
      <c r="F46" s="249">
        <f>F45/$B$45</f>
        <v>0.22122464</v>
      </c>
      <c r="H46" s="238"/>
    </row>
    <row r="47" spans="1:14" ht="27" customHeight="1">
      <c r="A47" s="565"/>
      <c r="B47" s="566"/>
      <c r="C47" s="250" t="s">
        <v>70</v>
      </c>
      <c r="D47" s="251">
        <v>0.25</v>
      </c>
      <c r="E47" s="252"/>
      <c r="F47" s="248"/>
      <c r="H47" s="238"/>
    </row>
    <row r="48" spans="1:14" ht="18.75">
      <c r="C48" s="253" t="s">
        <v>71</v>
      </c>
      <c r="D48" s="245">
        <f>D47*$B$45</f>
        <v>15.625</v>
      </c>
      <c r="F48" s="254"/>
      <c r="H48" s="238"/>
    </row>
    <row r="49" spans="1:12" ht="19.5" customHeight="1">
      <c r="C49" s="255" t="s">
        <v>72</v>
      </c>
      <c r="D49" s="256">
        <f>D48/B34</f>
        <v>15.625</v>
      </c>
      <c r="F49" s="254"/>
      <c r="H49" s="238"/>
    </row>
    <row r="50" spans="1:12" ht="18.75">
      <c r="C50" s="210" t="s">
        <v>73</v>
      </c>
      <c r="D50" s="257">
        <f>AVERAGE(E38:E41,G38:G41)</f>
        <v>14442178.064961001</v>
      </c>
      <c r="F50" s="258"/>
      <c r="H50" s="238"/>
    </row>
    <row r="51" spans="1:12" ht="18.75">
      <c r="C51" s="212" t="s">
        <v>74</v>
      </c>
      <c r="D51" s="259">
        <f>STDEV(E38:E41,G38:G41)/D50</f>
        <v>7.3464462587006889E-3</v>
      </c>
      <c r="F51" s="258"/>
      <c r="H51" s="238"/>
    </row>
    <row r="52" spans="1:12" ht="19.5" customHeight="1">
      <c r="C52" s="260" t="s">
        <v>20</v>
      </c>
      <c r="D52" s="261">
        <f>COUNT(E38:E41,G38:G41)</f>
        <v>6</v>
      </c>
      <c r="F52" s="258"/>
    </row>
    <row r="54" spans="1:12" ht="18.75">
      <c r="A54" s="262" t="s">
        <v>1</v>
      </c>
      <c r="B54" s="263" t="s">
        <v>75</v>
      </c>
    </row>
    <row r="55" spans="1:12" ht="18.75">
      <c r="A55" s="187" t="s">
        <v>76</v>
      </c>
      <c r="B55" s="264" t="str">
        <f>B21</f>
        <v>Each film-coated tablet contains Lopinavir 200 mg, Ritonavir 50 mg</v>
      </c>
    </row>
    <row r="56" spans="1:12" ht="26.25" customHeight="1">
      <c r="A56" s="265" t="s">
        <v>77</v>
      </c>
      <c r="B56" s="266">
        <v>50</v>
      </c>
      <c r="C56" s="187" t="str">
        <f>B20</f>
        <v>Lopinavir 200mg &amp; Ritonavir 50mg</v>
      </c>
      <c r="H56" s="267"/>
    </row>
    <row r="57" spans="1:12" ht="18.75">
      <c r="A57" s="264" t="s">
        <v>78</v>
      </c>
      <c r="B57" s="356">
        <f>Lopinavir!B57</f>
        <v>1257.8915</v>
      </c>
      <c r="H57" s="267"/>
    </row>
    <row r="58" spans="1:12" ht="19.5" customHeight="1">
      <c r="H58" s="267"/>
    </row>
    <row r="59" spans="1:12" s="3" customFormat="1" ht="27" customHeight="1">
      <c r="A59" s="210" t="s">
        <v>79</v>
      </c>
      <c r="B59" s="211">
        <v>50</v>
      </c>
      <c r="C59" s="187"/>
      <c r="D59" s="268" t="s">
        <v>80</v>
      </c>
      <c r="E59" s="269" t="s">
        <v>52</v>
      </c>
      <c r="F59" s="269" t="s">
        <v>53</v>
      </c>
      <c r="G59" s="269" t="s">
        <v>81</v>
      </c>
      <c r="H59" s="214" t="s">
        <v>82</v>
      </c>
      <c r="L59" s="200"/>
    </row>
    <row r="60" spans="1:12" s="3" customFormat="1" ht="26.25" customHeight="1">
      <c r="A60" s="212" t="s">
        <v>83</v>
      </c>
      <c r="B60" s="213">
        <v>10</v>
      </c>
      <c r="C60" s="567" t="s">
        <v>84</v>
      </c>
      <c r="D60" s="570">
        <f>Lopinavir!D60</f>
        <v>1576.1</v>
      </c>
      <c r="E60" s="270">
        <v>1</v>
      </c>
      <c r="F60" s="271">
        <v>13926212</v>
      </c>
      <c r="G60" s="357">
        <f>IF(ISBLANK(F60),"-",(F60/$D$50*$D$47*$B$68)*($B$57/$D$60))</f>
        <v>48.099408714722898</v>
      </c>
      <c r="H60" s="272">
        <f t="shared" ref="H60:H71" si="0">IF(ISBLANK(F60),"-",G60/$B$56)</f>
        <v>0.96198817429445793</v>
      </c>
      <c r="L60" s="200"/>
    </row>
    <row r="61" spans="1:12" s="3" customFormat="1" ht="26.25" customHeight="1">
      <c r="A61" s="212" t="s">
        <v>85</v>
      </c>
      <c r="B61" s="213">
        <v>50</v>
      </c>
      <c r="C61" s="568"/>
      <c r="D61" s="571"/>
      <c r="E61" s="273">
        <v>2</v>
      </c>
      <c r="F61" s="225">
        <v>13921088</v>
      </c>
      <c r="G61" s="358">
        <f>IF(ISBLANK(F61),"-",(F61/$D$50*$D$47*$B$68)*($B$57/$D$60))</f>
        <v>48.081711054350194</v>
      </c>
      <c r="H61" s="274">
        <f t="shared" si="0"/>
        <v>0.96163422108700392</v>
      </c>
      <c r="L61" s="200"/>
    </row>
    <row r="62" spans="1:12" s="3" customFormat="1" ht="26.25" customHeight="1">
      <c r="A62" s="212" t="s">
        <v>86</v>
      </c>
      <c r="B62" s="213">
        <v>1</v>
      </c>
      <c r="C62" s="568"/>
      <c r="D62" s="571"/>
      <c r="E62" s="273">
        <v>3</v>
      </c>
      <c r="F62" s="275">
        <v>13924384</v>
      </c>
      <c r="G62" s="358">
        <f>IF(ISBLANK(F62),"-",(F62/$D$50*$D$47*$B$68)*($B$57/$D$60))</f>
        <v>48.093095029484545</v>
      </c>
      <c r="H62" s="274">
        <f t="shared" si="0"/>
        <v>0.9618619005896909</v>
      </c>
      <c r="L62" s="200"/>
    </row>
    <row r="63" spans="1:12" ht="27" customHeight="1">
      <c r="A63" s="212" t="s">
        <v>87</v>
      </c>
      <c r="B63" s="213">
        <v>1</v>
      </c>
      <c r="C63" s="569"/>
      <c r="D63" s="572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>
      <c r="A64" s="212" t="s">
        <v>88</v>
      </c>
      <c r="B64" s="213">
        <v>1</v>
      </c>
      <c r="C64" s="567" t="s">
        <v>89</v>
      </c>
      <c r="D64" s="570">
        <f>Lopinavir!D64</f>
        <v>1678.78</v>
      </c>
      <c r="E64" s="270">
        <v>1</v>
      </c>
      <c r="F64" s="271">
        <v>14846578</v>
      </c>
      <c r="G64" s="359">
        <f>IF(ISBLANK(F64),"-",(F64/$D$50*$D$47*$B$68)*($B$57/$D$64))</f>
        <v>48.141884003857321</v>
      </c>
      <c r="H64" s="278">
        <f t="shared" si="0"/>
        <v>0.96283768007714643</v>
      </c>
    </row>
    <row r="65" spans="1:8" ht="26.25" customHeight="1">
      <c r="A65" s="212" t="s">
        <v>90</v>
      </c>
      <c r="B65" s="213">
        <v>1</v>
      </c>
      <c r="C65" s="568"/>
      <c r="D65" s="571"/>
      <c r="E65" s="273">
        <v>2</v>
      </c>
      <c r="F65" s="225">
        <v>14822912</v>
      </c>
      <c r="G65" s="360">
        <f>IF(ISBLANK(F65),"-",(F65/$D$50*$D$47*$B$68)*($B$57/$D$64))</f>
        <v>48.065144042174879</v>
      </c>
      <c r="H65" s="279">
        <f t="shared" si="0"/>
        <v>0.96130288084349758</v>
      </c>
    </row>
    <row r="66" spans="1:8" ht="26.25" customHeight="1">
      <c r="A66" s="212" t="s">
        <v>91</v>
      </c>
      <c r="B66" s="213">
        <v>1</v>
      </c>
      <c r="C66" s="568"/>
      <c r="D66" s="571"/>
      <c r="E66" s="273">
        <v>3</v>
      </c>
      <c r="F66" s="225">
        <v>14833727</v>
      </c>
      <c r="G66" s="360">
        <f>IF(ISBLANK(F66),"-",(F66/$D$50*$D$47*$B$68)*($B$57/$D$64))</f>
        <v>48.100213030833523</v>
      </c>
      <c r="H66" s="279">
        <f t="shared" si="0"/>
        <v>0.96200426061667044</v>
      </c>
    </row>
    <row r="67" spans="1:8" ht="27" customHeight="1">
      <c r="A67" s="212" t="s">
        <v>92</v>
      </c>
      <c r="B67" s="213">
        <v>1</v>
      </c>
      <c r="C67" s="569"/>
      <c r="D67" s="572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>
      <c r="A68" s="212" t="s">
        <v>93</v>
      </c>
      <c r="B68" s="281">
        <f>(B67/B66)*(B65/B64)*(B63/B62)*(B61/B60)*B59</f>
        <v>250</v>
      </c>
      <c r="C68" s="567" t="s">
        <v>94</v>
      </c>
      <c r="D68" s="570">
        <f>Lopinavir!D68</f>
        <v>1690.16</v>
      </c>
      <c r="E68" s="270">
        <v>1</v>
      </c>
      <c r="F68" s="271">
        <v>15189719</v>
      </c>
      <c r="G68" s="359">
        <f>IF(ISBLANK(F68),"-",(F68/$D$50*$D$47*$B$68)*($B$57/$D$68))</f>
        <v>48.922926152669191</v>
      </c>
      <c r="H68" s="274">
        <f t="shared" si="0"/>
        <v>0.97845852305338388</v>
      </c>
    </row>
    <row r="69" spans="1:8" ht="27" customHeight="1">
      <c r="A69" s="260" t="s">
        <v>95</v>
      </c>
      <c r="B69" s="282">
        <f>(D47*B68)/B56*B57</f>
        <v>1572.3643749999999</v>
      </c>
      <c r="C69" s="568"/>
      <c r="D69" s="571"/>
      <c r="E69" s="273">
        <v>2</v>
      </c>
      <c r="F69" s="225">
        <v>15157765</v>
      </c>
      <c r="G69" s="360">
        <f>IF(ISBLANK(F69),"-",(F69/$D$50*$D$47*$B$68)*($B$57/$D$68))</f>
        <v>48.820008963596607</v>
      </c>
      <c r="H69" s="274">
        <f t="shared" si="0"/>
        <v>0.97640017927193212</v>
      </c>
    </row>
    <row r="70" spans="1:8" ht="26.25" customHeight="1">
      <c r="A70" s="580" t="s">
        <v>68</v>
      </c>
      <c r="B70" s="581"/>
      <c r="C70" s="568"/>
      <c r="D70" s="571"/>
      <c r="E70" s="273">
        <v>3</v>
      </c>
      <c r="F70" s="225">
        <v>15156699</v>
      </c>
      <c r="G70" s="360">
        <f>IF(ISBLANK(F70),"-",(F70/$D$50*$D$47*$B$68)*($B$57/$D$68))</f>
        <v>48.816575599274422</v>
      </c>
      <c r="H70" s="274">
        <f t="shared" si="0"/>
        <v>0.9763315119854884</v>
      </c>
    </row>
    <row r="71" spans="1:8" ht="27" customHeight="1">
      <c r="A71" s="582"/>
      <c r="B71" s="583"/>
      <c r="C71" s="579"/>
      <c r="D71" s="572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>
      <c r="A72" s="284"/>
      <c r="B72" s="284"/>
      <c r="C72" s="284"/>
      <c r="D72" s="284"/>
      <c r="E72" s="284"/>
      <c r="F72" s="286" t="s">
        <v>61</v>
      </c>
      <c r="G72" s="366">
        <f>AVERAGE(G60:G71)</f>
        <v>48.348996287884837</v>
      </c>
      <c r="H72" s="287">
        <f>AVERAGE(H60:H71)</f>
        <v>0.96697992575769676</v>
      </c>
    </row>
    <row r="73" spans="1:8" ht="26.25" customHeight="1">
      <c r="C73" s="284"/>
      <c r="D73" s="284"/>
      <c r="E73" s="284"/>
      <c r="F73" s="288" t="s">
        <v>74</v>
      </c>
      <c r="G73" s="362">
        <f>STDEV(G60:G71)/G72</f>
        <v>7.8570054688787208E-3</v>
      </c>
      <c r="H73" s="362">
        <f>STDEV(H60:H71)/H72</f>
        <v>7.8570054688786202E-3</v>
      </c>
    </row>
    <row r="74" spans="1:8" ht="27" customHeight="1">
      <c r="A74" s="284"/>
      <c r="B74" s="284"/>
      <c r="C74" s="285"/>
      <c r="D74" s="285"/>
      <c r="E74" s="289"/>
      <c r="F74" s="290" t="s">
        <v>20</v>
      </c>
      <c r="G74" s="291">
        <f>COUNT(G60:G71)</f>
        <v>9</v>
      </c>
      <c r="H74" s="291">
        <f>COUNT(H60:H71)</f>
        <v>9</v>
      </c>
    </row>
    <row r="76" spans="1:8" ht="26.25" customHeight="1">
      <c r="A76" s="196" t="s">
        <v>96</v>
      </c>
      <c r="B76" s="292" t="s">
        <v>97</v>
      </c>
      <c r="C76" s="575" t="str">
        <f>B20</f>
        <v>Lopinavir 200mg &amp; Ritonavir 50mg</v>
      </c>
      <c r="D76" s="575"/>
      <c r="E76" s="293" t="s">
        <v>98</v>
      </c>
      <c r="F76" s="293"/>
      <c r="G76" s="294">
        <f>H72</f>
        <v>0.96697992575769676</v>
      </c>
      <c r="H76" s="295"/>
    </row>
    <row r="77" spans="1:8" ht="18.75">
      <c r="A77" s="195" t="s">
        <v>99</v>
      </c>
      <c r="B77" s="195" t="s">
        <v>100</v>
      </c>
    </row>
    <row r="78" spans="1:8" ht="18.75">
      <c r="A78" s="195"/>
      <c r="B78" s="195"/>
    </row>
    <row r="79" spans="1:8" ht="26.25" customHeight="1">
      <c r="A79" s="196" t="s">
        <v>4</v>
      </c>
      <c r="B79" s="561" t="str">
        <f>B26</f>
        <v>Ritonavir USP</v>
      </c>
      <c r="C79" s="561"/>
    </row>
    <row r="80" spans="1:8" ht="26.25" customHeight="1">
      <c r="A80" s="197" t="s">
        <v>38</v>
      </c>
      <c r="B80" s="561" t="str">
        <f>B27</f>
        <v>G0L143</v>
      </c>
      <c r="C80" s="561"/>
    </row>
    <row r="81" spans="1:12" ht="27" customHeight="1">
      <c r="A81" s="197" t="s">
        <v>6</v>
      </c>
      <c r="B81" s="296">
        <v>99.4</v>
      </c>
    </row>
    <row r="82" spans="1:12" s="3" customFormat="1" ht="27" customHeight="1">
      <c r="A82" s="197" t="s">
        <v>39</v>
      </c>
      <c r="B82" s="199">
        <v>0</v>
      </c>
      <c r="C82" s="552" t="s">
        <v>40</v>
      </c>
      <c r="D82" s="553"/>
      <c r="E82" s="553"/>
      <c r="F82" s="553"/>
      <c r="G82" s="554"/>
      <c r="I82" s="200"/>
      <c r="J82" s="200"/>
      <c r="K82" s="200"/>
      <c r="L82" s="200"/>
    </row>
    <row r="83" spans="1:12" s="3" customFormat="1" ht="19.5" customHeight="1">
      <c r="A83" s="197" t="s">
        <v>41</v>
      </c>
      <c r="B83" s="201">
        <f>B81-B82</f>
        <v>99.4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3" customFormat="1" ht="27" customHeight="1">
      <c r="A84" s="197" t="s">
        <v>42</v>
      </c>
      <c r="B84" s="204">
        <v>1</v>
      </c>
      <c r="C84" s="555" t="s">
        <v>101</v>
      </c>
      <c r="D84" s="556"/>
      <c r="E84" s="556"/>
      <c r="F84" s="556"/>
      <c r="G84" s="556"/>
      <c r="H84" s="557"/>
      <c r="I84" s="200"/>
      <c r="J84" s="200"/>
      <c r="K84" s="200"/>
      <c r="L84" s="200"/>
    </row>
    <row r="85" spans="1:12" s="3" customFormat="1" ht="27" customHeight="1">
      <c r="A85" s="197" t="s">
        <v>44</v>
      </c>
      <c r="B85" s="204">
        <v>1</v>
      </c>
      <c r="C85" s="555" t="s">
        <v>102</v>
      </c>
      <c r="D85" s="556"/>
      <c r="E85" s="556"/>
      <c r="F85" s="556"/>
      <c r="G85" s="556"/>
      <c r="H85" s="557"/>
      <c r="I85" s="200"/>
      <c r="J85" s="200"/>
      <c r="K85" s="200"/>
      <c r="L85" s="200"/>
    </row>
    <row r="86" spans="1:12" s="3" customFormat="1" ht="18.75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3" customFormat="1" ht="18.75">
      <c r="A87" s="197" t="s">
        <v>46</v>
      </c>
      <c r="B87" s="209">
        <f>B84/B85</f>
        <v>1</v>
      </c>
      <c r="C87" s="187" t="s">
        <v>47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>
      <c r="A88" s="195"/>
      <c r="B88" s="195"/>
    </row>
    <row r="89" spans="1:12" ht="27" customHeight="1">
      <c r="A89" s="210" t="s">
        <v>48</v>
      </c>
      <c r="B89" s="211">
        <v>25</v>
      </c>
      <c r="D89" s="297" t="s">
        <v>49</v>
      </c>
      <c r="E89" s="298"/>
      <c r="F89" s="558" t="s">
        <v>50</v>
      </c>
      <c r="G89" s="560"/>
    </row>
    <row r="90" spans="1:12" ht="27" customHeight="1">
      <c r="A90" s="212" t="s">
        <v>51</v>
      </c>
      <c r="B90" s="213">
        <v>10</v>
      </c>
      <c r="C90" s="299" t="s">
        <v>52</v>
      </c>
      <c r="D90" s="215" t="s">
        <v>53</v>
      </c>
      <c r="E90" s="216" t="s">
        <v>54</v>
      </c>
      <c r="F90" s="215" t="s">
        <v>53</v>
      </c>
      <c r="G90" s="300" t="s">
        <v>54</v>
      </c>
      <c r="I90" s="218" t="s">
        <v>55</v>
      </c>
    </row>
    <row r="91" spans="1:12" ht="26.25" customHeight="1">
      <c r="A91" s="212" t="s">
        <v>56</v>
      </c>
      <c r="B91" s="213">
        <v>25</v>
      </c>
      <c r="C91" s="301">
        <v>1</v>
      </c>
      <c r="D91" s="220">
        <v>2563451</v>
      </c>
      <c r="E91" s="221">
        <f>IF(ISBLANK(D91),"-",$D$101/$D$98*D91)</f>
        <v>2846344.2856048485</v>
      </c>
      <c r="F91" s="220">
        <v>2508358</v>
      </c>
      <c r="G91" s="222">
        <f>IF(ISBLANK(F91),"-",$D$101/$F$98*F91)</f>
        <v>2880390.9548311858</v>
      </c>
      <c r="I91" s="223"/>
    </row>
    <row r="92" spans="1:12" ht="26.25" customHeight="1">
      <c r="A92" s="212" t="s">
        <v>57</v>
      </c>
      <c r="B92" s="213">
        <v>5</v>
      </c>
      <c r="C92" s="285">
        <v>2</v>
      </c>
      <c r="D92" s="225">
        <v>2557179</v>
      </c>
      <c r="E92" s="226">
        <f>IF(ISBLANK(D92),"-",$D$101/$D$98*D92)</f>
        <v>2839380.1301131644</v>
      </c>
      <c r="F92" s="225">
        <v>2518148</v>
      </c>
      <c r="G92" s="227">
        <f>IF(ISBLANK(F92),"-",$D$101/$F$98*F92)</f>
        <v>2891632.9814668563</v>
      </c>
      <c r="I92" s="562">
        <f>ABS((F96/D96*D95)-F95)/D95</f>
        <v>1.5522913053133389E-2</v>
      </c>
    </row>
    <row r="93" spans="1:12" ht="26.25" customHeight="1">
      <c r="A93" s="212" t="s">
        <v>58</v>
      </c>
      <c r="B93" s="213">
        <v>25</v>
      </c>
      <c r="C93" s="285">
        <v>3</v>
      </c>
      <c r="D93" s="225">
        <v>2556500</v>
      </c>
      <c r="E93" s="226">
        <f>IF(ISBLANK(D93),"-",$D$101/$D$98*D93)</f>
        <v>2838626.1981012295</v>
      </c>
      <c r="F93" s="225">
        <v>2516006</v>
      </c>
      <c r="G93" s="227">
        <f>IF(ISBLANK(F93),"-",$D$101/$F$98*F93)</f>
        <v>2889173.2857514722</v>
      </c>
      <c r="I93" s="562"/>
    </row>
    <row r="94" spans="1:12" ht="27" customHeight="1">
      <c r="A94" s="212" t="s">
        <v>59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>
      <c r="A95" s="212" t="s">
        <v>60</v>
      </c>
      <c r="B95" s="213">
        <v>1</v>
      </c>
      <c r="C95" s="304" t="s">
        <v>61</v>
      </c>
      <c r="D95" s="305">
        <f>AVERAGE(D91:D94)</f>
        <v>2559043.3333333335</v>
      </c>
      <c r="E95" s="236">
        <f>AVERAGE(E91:E94)</f>
        <v>2841450.2046064143</v>
      </c>
      <c r="F95" s="306">
        <f>AVERAGE(F91:F94)</f>
        <v>2514170.6666666665</v>
      </c>
      <c r="G95" s="307">
        <f>AVERAGE(G91:G94)</f>
        <v>2887065.7406831719</v>
      </c>
    </row>
    <row r="96" spans="1:12" ht="26.25" customHeight="1">
      <c r="A96" s="212" t="s">
        <v>62</v>
      </c>
      <c r="B96" s="198">
        <v>1</v>
      </c>
      <c r="C96" s="308" t="s">
        <v>103</v>
      </c>
      <c r="D96" s="309">
        <v>15.73</v>
      </c>
      <c r="E96" s="228"/>
      <c r="F96" s="240">
        <v>15.21</v>
      </c>
    </row>
    <row r="97" spans="1:10" ht="26.25" customHeight="1">
      <c r="A97" s="212" t="s">
        <v>64</v>
      </c>
      <c r="B97" s="198">
        <v>1</v>
      </c>
      <c r="C97" s="310" t="s">
        <v>104</v>
      </c>
      <c r="D97" s="311">
        <f>D96*$B$87</f>
        <v>15.73</v>
      </c>
      <c r="E97" s="243"/>
      <c r="F97" s="242">
        <f>F96*$B$87</f>
        <v>15.21</v>
      </c>
    </row>
    <row r="98" spans="1:10" ht="19.5" customHeight="1">
      <c r="A98" s="212" t="s">
        <v>66</v>
      </c>
      <c r="B98" s="312">
        <f>(B97/B96)*(B95/B94)*(B93/B92)*(B91/B90)*B89</f>
        <v>312.5</v>
      </c>
      <c r="C98" s="310" t="s">
        <v>105</v>
      </c>
      <c r="D98" s="313">
        <f>D97*$B$83/100</f>
        <v>15.635620000000001</v>
      </c>
      <c r="E98" s="246"/>
      <c r="F98" s="245">
        <f>F97*$B$83/100</f>
        <v>15.118740000000003</v>
      </c>
    </row>
    <row r="99" spans="1:10" ht="19.5" customHeight="1">
      <c r="A99" s="563" t="s">
        <v>68</v>
      </c>
      <c r="B99" s="577"/>
      <c r="C99" s="310" t="s">
        <v>106</v>
      </c>
      <c r="D99" s="314">
        <f>D98/$B$98</f>
        <v>5.0033984000000004E-2</v>
      </c>
      <c r="E99" s="246"/>
      <c r="F99" s="249">
        <f>F98/$B$98</f>
        <v>4.8379968000000009E-2</v>
      </c>
      <c r="G99" s="315"/>
      <c r="H99" s="238"/>
    </row>
    <row r="100" spans="1:10" ht="19.5" customHeight="1">
      <c r="A100" s="565"/>
      <c r="B100" s="578"/>
      <c r="C100" s="310" t="s">
        <v>70</v>
      </c>
      <c r="D100" s="316">
        <f>$B$56/$B$116</f>
        <v>5.5555555555555552E-2</v>
      </c>
      <c r="F100" s="254"/>
      <c r="G100" s="317"/>
      <c r="H100" s="238"/>
    </row>
    <row r="101" spans="1:10" ht="18.75">
      <c r="C101" s="310" t="s">
        <v>71</v>
      </c>
      <c r="D101" s="311">
        <f>D100*$B$98</f>
        <v>17.361111111111111</v>
      </c>
      <c r="F101" s="254"/>
      <c r="G101" s="315"/>
      <c r="H101" s="238"/>
    </row>
    <row r="102" spans="1:10" ht="19.5" customHeight="1">
      <c r="C102" s="318" t="s">
        <v>72</v>
      </c>
      <c r="D102" s="319">
        <f>D101/B34</f>
        <v>17.361111111111111</v>
      </c>
      <c r="F102" s="258"/>
      <c r="G102" s="315"/>
      <c r="H102" s="238"/>
      <c r="J102" s="320"/>
    </row>
    <row r="103" spans="1:10" ht="18.75">
      <c r="C103" s="321" t="s">
        <v>107</v>
      </c>
      <c r="D103" s="322">
        <f>AVERAGE(E91:E94,G91:G94)</f>
        <v>2864257.9726447929</v>
      </c>
      <c r="F103" s="258"/>
      <c r="G103" s="323"/>
      <c r="H103" s="238"/>
      <c r="J103" s="324"/>
    </row>
    <row r="104" spans="1:10" ht="18.75">
      <c r="C104" s="288" t="s">
        <v>74</v>
      </c>
      <c r="D104" s="325">
        <f>STDEV(E91:E94,G91:G94)/D103</f>
        <v>8.8698846246582259E-3</v>
      </c>
      <c r="F104" s="258"/>
      <c r="G104" s="315"/>
      <c r="H104" s="238"/>
      <c r="J104" s="324"/>
    </row>
    <row r="105" spans="1:10" ht="19.5" customHeight="1">
      <c r="C105" s="290" t="s">
        <v>20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>
      <c r="A106" s="262"/>
      <c r="B106" s="262"/>
      <c r="C106" s="262"/>
      <c r="D106" s="262"/>
      <c r="E106" s="262"/>
    </row>
    <row r="107" spans="1:10" ht="26.25" customHeight="1">
      <c r="A107" s="210" t="s">
        <v>108</v>
      </c>
      <c r="B107" s="211">
        <v>900</v>
      </c>
      <c r="C107" s="327" t="s">
        <v>109</v>
      </c>
      <c r="D107" s="328" t="s">
        <v>53</v>
      </c>
      <c r="E107" s="329" t="s">
        <v>110</v>
      </c>
      <c r="F107" s="330" t="s">
        <v>111</v>
      </c>
    </row>
    <row r="108" spans="1:10" ht="26.25" customHeight="1">
      <c r="A108" s="212" t="s">
        <v>112</v>
      </c>
      <c r="B108" s="213">
        <v>1</v>
      </c>
      <c r="C108" s="331">
        <v>1</v>
      </c>
      <c r="D108" s="332">
        <v>2888322</v>
      </c>
      <c r="E108" s="363">
        <f t="shared" ref="E108:E113" si="1">IF(ISBLANK(D108),"-",D108/$D$103*$D$100*$B$116)</f>
        <v>50.420074371530632</v>
      </c>
      <c r="F108" s="333">
        <f t="shared" ref="F108:F113" si="2">IF(ISBLANK(D108), "-", E108/$B$56)</f>
        <v>1.0084014874306126</v>
      </c>
    </row>
    <row r="109" spans="1:10" ht="26.25" customHeight="1">
      <c r="A109" s="212" t="s">
        <v>85</v>
      </c>
      <c r="B109" s="213">
        <v>1</v>
      </c>
      <c r="C109" s="331">
        <v>2</v>
      </c>
      <c r="D109" s="332">
        <v>2851219</v>
      </c>
      <c r="E109" s="364">
        <f t="shared" si="1"/>
        <v>49.772384806652859</v>
      </c>
      <c r="F109" s="334">
        <f t="shared" si="2"/>
        <v>0.99544769613305717</v>
      </c>
    </row>
    <row r="110" spans="1:10" ht="26.25" customHeight="1">
      <c r="A110" s="212" t="s">
        <v>86</v>
      </c>
      <c r="B110" s="213">
        <v>1</v>
      </c>
      <c r="C110" s="331">
        <v>3</v>
      </c>
      <c r="D110" s="332">
        <v>2856436</v>
      </c>
      <c r="E110" s="364">
        <f t="shared" si="1"/>
        <v>49.863455514141933</v>
      </c>
      <c r="F110" s="334">
        <f t="shared" si="2"/>
        <v>0.9972691102828386</v>
      </c>
    </row>
    <row r="111" spans="1:10" ht="26.25" customHeight="1">
      <c r="A111" s="212" t="s">
        <v>87</v>
      </c>
      <c r="B111" s="213">
        <v>1</v>
      </c>
      <c r="C111" s="331">
        <v>4</v>
      </c>
      <c r="D111" s="332">
        <v>2839733</v>
      </c>
      <c r="E111" s="364">
        <f t="shared" si="1"/>
        <v>49.571879124034574</v>
      </c>
      <c r="F111" s="334">
        <f t="shared" si="2"/>
        <v>0.99143758248069147</v>
      </c>
    </row>
    <row r="112" spans="1:10" ht="26.25" customHeight="1">
      <c r="A112" s="212" t="s">
        <v>88</v>
      </c>
      <c r="B112" s="213">
        <v>1</v>
      </c>
      <c r="C112" s="331">
        <v>5</v>
      </c>
      <c r="D112" s="332">
        <v>2852857</v>
      </c>
      <c r="E112" s="364">
        <f t="shared" si="1"/>
        <v>49.800978599803543</v>
      </c>
      <c r="F112" s="334">
        <f t="shared" si="2"/>
        <v>0.99601957199607083</v>
      </c>
    </row>
    <row r="113" spans="1:10" ht="26.25" customHeight="1">
      <c r="A113" s="212" t="s">
        <v>90</v>
      </c>
      <c r="B113" s="213">
        <v>1</v>
      </c>
      <c r="C113" s="335">
        <v>6</v>
      </c>
      <c r="D113" s="336">
        <v>2854788</v>
      </c>
      <c r="E113" s="365">
        <f t="shared" si="1"/>
        <v>49.834687155709496</v>
      </c>
      <c r="F113" s="337">
        <f t="shared" si="2"/>
        <v>0.9966937431141899</v>
      </c>
    </row>
    <row r="114" spans="1:10" ht="26.25" customHeight="1">
      <c r="A114" s="212" t="s">
        <v>91</v>
      </c>
      <c r="B114" s="213">
        <v>1</v>
      </c>
      <c r="C114" s="331"/>
      <c r="D114" s="285"/>
      <c r="E114" s="186"/>
      <c r="F114" s="338"/>
    </row>
    <row r="115" spans="1:10" ht="26.25" customHeight="1">
      <c r="A115" s="212" t="s">
        <v>92</v>
      </c>
      <c r="B115" s="213">
        <v>1</v>
      </c>
      <c r="C115" s="331"/>
      <c r="D115" s="339" t="s">
        <v>61</v>
      </c>
      <c r="E115" s="367">
        <f>AVERAGE(E108:E113)</f>
        <v>49.87724326197884</v>
      </c>
      <c r="F115" s="340">
        <f>AVERAGE(F108:F113)</f>
        <v>0.99754486523957686</v>
      </c>
    </row>
    <row r="116" spans="1:10" ht="27" customHeight="1">
      <c r="A116" s="212" t="s">
        <v>93</v>
      </c>
      <c r="B116" s="244">
        <f>(B115/B114)*(B113/B112)*(B111/B110)*(B109/B108)*B107</f>
        <v>900</v>
      </c>
      <c r="C116" s="341"/>
      <c r="D116" s="304" t="s">
        <v>74</v>
      </c>
      <c r="E116" s="342">
        <f>STDEV(E108:E113)/E115</f>
        <v>5.7182521806150291E-3</v>
      </c>
      <c r="F116" s="342">
        <f>STDEV(F108:F113)/F115</f>
        <v>5.7182521806323876E-3</v>
      </c>
      <c r="I116" s="186"/>
    </row>
    <row r="117" spans="1:10" ht="27" customHeight="1">
      <c r="A117" s="563" t="s">
        <v>68</v>
      </c>
      <c r="B117" s="564"/>
      <c r="C117" s="343"/>
      <c r="D117" s="344" t="s">
        <v>20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>
      <c r="A118" s="565"/>
      <c r="B118" s="566"/>
      <c r="C118" s="186"/>
      <c r="D118" s="186"/>
      <c r="E118" s="186"/>
      <c r="F118" s="285"/>
      <c r="G118" s="186"/>
      <c r="H118" s="186"/>
      <c r="I118" s="186"/>
    </row>
    <row r="119" spans="1:10" ht="18.75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>
      <c r="A120" s="196" t="s">
        <v>96</v>
      </c>
      <c r="B120" s="292" t="s">
        <v>113</v>
      </c>
      <c r="C120" s="575" t="str">
        <f>B20</f>
        <v>Lopinavir 200mg &amp; Ritonavir 50mg</v>
      </c>
      <c r="D120" s="575"/>
      <c r="E120" s="293" t="s">
        <v>114</v>
      </c>
      <c r="F120" s="293"/>
      <c r="G120" s="294">
        <f>F115</f>
        <v>0.99754486523957686</v>
      </c>
      <c r="H120" s="186"/>
      <c r="I120" s="186"/>
    </row>
    <row r="121" spans="1:10" ht="19.5" customHeight="1">
      <c r="A121" s="346"/>
      <c r="B121" s="346"/>
      <c r="C121" s="347"/>
      <c r="D121" s="347"/>
      <c r="E121" s="347"/>
      <c r="F121" s="347"/>
      <c r="G121" s="347"/>
      <c r="H121" s="347"/>
    </row>
    <row r="122" spans="1:10" ht="18.75">
      <c r="B122" s="576" t="s">
        <v>23</v>
      </c>
      <c r="C122" s="576"/>
      <c r="E122" s="299" t="s">
        <v>24</v>
      </c>
      <c r="F122" s="348"/>
      <c r="G122" s="576" t="s">
        <v>25</v>
      </c>
      <c r="H122" s="576"/>
    </row>
    <row r="123" spans="1:10" ht="69.95" customHeight="1">
      <c r="A123" s="349" t="s">
        <v>26</v>
      </c>
      <c r="B123" s="350"/>
      <c r="C123" s="350"/>
      <c r="E123" s="350"/>
      <c r="F123" s="186"/>
      <c r="G123" s="351"/>
      <c r="H123" s="351"/>
    </row>
    <row r="124" spans="1:10" ht="69.95" customHeight="1">
      <c r="A124" s="349" t="s">
        <v>27</v>
      </c>
      <c r="B124" s="352"/>
      <c r="C124" s="352"/>
      <c r="E124" s="352"/>
      <c r="F124" s="186"/>
      <c r="G124" s="353"/>
      <c r="H124" s="353"/>
    </row>
    <row r="125" spans="1:10" ht="18.75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SST(Assay)</vt:lpstr>
      <vt:lpstr>SST(Diss.)</vt:lpstr>
      <vt:lpstr>Uniformity</vt:lpstr>
      <vt:lpstr>Lopinavir</vt:lpstr>
      <vt:lpstr>Ritonavir</vt:lpstr>
      <vt:lpstr>'SST(Assay)'!Print_Area</vt:lpstr>
      <vt:lpstr>'SST(Diss.)'!Print_Area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 Ongas</cp:lastModifiedBy>
  <cp:lastPrinted>2016-06-24T11:34:01Z</cp:lastPrinted>
  <dcterms:created xsi:type="dcterms:W3CDTF">2005-07-05T10:19:27Z</dcterms:created>
  <dcterms:modified xsi:type="dcterms:W3CDTF">2016-06-30T09:05:19Z</dcterms:modified>
</cp:coreProperties>
</file>