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 ABACAVIR" sheetId="1" r:id="rId1"/>
    <sheet name="Uniformity" sheetId="2" r:id="rId2"/>
    <sheet name="Lamivudine" sheetId="3" r:id="rId3"/>
    <sheet name="Abacavir" sheetId="4" r:id="rId4"/>
    <sheet name="SST LAMIVUDINE" sheetId="5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B42" i="1"/>
  <c r="B21" i="1"/>
  <c r="C120" i="4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D102" i="4" s="1"/>
  <c r="I39" i="4"/>
  <c r="F44" i="4"/>
  <c r="F45" i="4" s="1"/>
  <c r="F46" i="4" s="1"/>
  <c r="D45" i="4"/>
  <c r="D46" i="4" s="1"/>
  <c r="I92" i="3"/>
  <c r="D101" i="3"/>
  <c r="D102" i="3" s="1"/>
  <c r="B69" i="3"/>
  <c r="I39" i="3"/>
  <c r="F44" i="3"/>
  <c r="F45" i="3" s="1"/>
  <c r="D45" i="3"/>
  <c r="D46" i="3" s="1"/>
  <c r="D49" i="3"/>
  <c r="F98" i="3"/>
  <c r="F99" i="3" s="1"/>
  <c r="D49" i="4"/>
  <c r="F98" i="4"/>
  <c r="F99" i="4" s="1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G92" i="4" l="1"/>
  <c r="G91" i="4"/>
  <c r="G40" i="4"/>
  <c r="G39" i="4"/>
  <c r="G41" i="4"/>
  <c r="G38" i="4"/>
  <c r="E41" i="4"/>
  <c r="E40" i="4"/>
  <c r="E39" i="4"/>
  <c r="E38" i="4"/>
  <c r="E93" i="3"/>
  <c r="F46" i="3"/>
  <c r="G40" i="3"/>
  <c r="E39" i="3"/>
  <c r="E41" i="3"/>
  <c r="G38" i="3"/>
  <c r="E38" i="3"/>
  <c r="E40" i="3"/>
  <c r="E94" i="3"/>
  <c r="G39" i="3"/>
  <c r="G41" i="3"/>
  <c r="E94" i="4"/>
  <c r="E93" i="4"/>
  <c r="E91" i="3"/>
  <c r="E92" i="3"/>
  <c r="E91" i="4"/>
  <c r="E92" i="4"/>
  <c r="G94" i="3"/>
  <c r="G93" i="3"/>
  <c r="G94" i="4"/>
  <c r="G93" i="4"/>
  <c r="G92" i="3"/>
  <c r="G91" i="3"/>
  <c r="G95" i="4" l="1"/>
  <c r="E42" i="4"/>
  <c r="G42" i="4"/>
  <c r="D50" i="4"/>
  <c r="G66" i="4" s="1"/>
  <c r="H66" i="4" s="1"/>
  <c r="D52" i="4"/>
  <c r="G95" i="3"/>
  <c r="D52" i="3"/>
  <c r="E42" i="3"/>
  <c r="G42" i="3"/>
  <c r="D50" i="3"/>
  <c r="G68" i="3" s="1"/>
  <c r="H68" i="3" s="1"/>
  <c r="E95" i="3"/>
  <c r="D105" i="3"/>
  <c r="D103" i="3"/>
  <c r="E95" i="4"/>
  <c r="D105" i="4"/>
  <c r="D103" i="4"/>
  <c r="G62" i="4" l="1"/>
  <c r="H62" i="4" s="1"/>
  <c r="G65" i="4"/>
  <c r="H65" i="4" s="1"/>
  <c r="G69" i="4"/>
  <c r="H69" i="4" s="1"/>
  <c r="G67" i="4"/>
  <c r="H67" i="4" s="1"/>
  <c r="G71" i="4"/>
  <c r="H71" i="4" s="1"/>
  <c r="G60" i="4"/>
  <c r="H60" i="4" s="1"/>
  <c r="G61" i="4"/>
  <c r="H61" i="4" s="1"/>
  <c r="G70" i="4"/>
  <c r="H70" i="4" s="1"/>
  <c r="G64" i="4"/>
  <c r="H64" i="4" s="1"/>
  <c r="G68" i="4"/>
  <c r="H68" i="4" s="1"/>
  <c r="G63" i="4"/>
  <c r="H63" i="4" s="1"/>
  <c r="D51" i="4"/>
  <c r="G62" i="3"/>
  <c r="H62" i="3" s="1"/>
  <c r="G67" i="3"/>
  <c r="H67" i="3" s="1"/>
  <c r="D51" i="3"/>
  <c r="G63" i="3"/>
  <c r="H63" i="3" s="1"/>
  <c r="G66" i="3"/>
  <c r="H66" i="3" s="1"/>
  <c r="G71" i="3"/>
  <c r="H71" i="3" s="1"/>
  <c r="G65" i="3"/>
  <c r="H65" i="3" s="1"/>
  <c r="G60" i="3"/>
  <c r="H60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G72" i="4"/>
  <c r="G73" i="4" s="1"/>
  <c r="G72" i="3"/>
  <c r="G73" i="3" s="1"/>
  <c r="G74" i="3"/>
  <c r="E115" i="4"/>
  <c r="E116" i="4" s="1"/>
  <c r="E117" i="4"/>
  <c r="F108" i="4"/>
  <c r="H74" i="4"/>
  <c r="H72" i="4"/>
  <c r="E115" i="3"/>
  <c r="E116" i="3" s="1"/>
  <c r="E117" i="3"/>
  <c r="F108" i="3"/>
  <c r="H74" i="3"/>
  <c r="H72" i="3"/>
  <c r="F117" i="4" l="1"/>
  <c r="F115" i="4"/>
  <c r="G76" i="3"/>
  <c r="H73" i="3"/>
  <c r="G76" i="4"/>
  <c r="H73" i="4"/>
  <c r="F117" i="3"/>
  <c r="F115" i="3"/>
  <c r="G120" i="4" l="1"/>
  <c r="F116" i="4"/>
  <c r="G120" i="3"/>
  <c r="F116" i="3"/>
</calcChain>
</file>

<file path=xl/sharedStrings.xml><?xml version="1.0" encoding="utf-8"?>
<sst xmlns="http://schemas.openxmlformats.org/spreadsheetml/2006/main" count="443" uniqueCount="132">
  <si>
    <t>HPLC System Suitability Report</t>
  </si>
  <si>
    <t>Analysis Data</t>
  </si>
  <si>
    <t>Assay</t>
  </si>
  <si>
    <t>Sample(s)</t>
  </si>
  <si>
    <t>Reference Substance:</t>
  </si>
  <si>
    <t>ABACAVIR SULFATE 60 MG &amp; LAMIVUDINE 30 MG TABLETS</t>
  </si>
  <si>
    <t>% age Purity:</t>
  </si>
  <si>
    <t>NDQD2016061026</t>
  </si>
  <si>
    <t>Weight (mg):</t>
  </si>
  <si>
    <t>ABACAVIR SULFATE &amp; LAMIVUDINE TABLETS</t>
  </si>
  <si>
    <t>Standard Conc (mg/mL):</t>
  </si>
  <si>
    <t>ABACAVIR SULFATE 60mg &amp; LAMIVUDINE 30mg TABLETS</t>
  </si>
  <si>
    <t>2016-06-10 12:31:09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</si>
  <si>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</si>
  <si>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</si>
  <si>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</si>
  <si>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</si>
  <si>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</si>
  <si>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</si>
  <si>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</si>
  <si>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</si>
  <si>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</si>
  <si>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</si>
  <si>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</si>
  <si>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</si>
  <si>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</si>
  <si>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</si>
  <si>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</si>
  <si>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</si>
  <si>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</si>
  <si>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</si>
  <si>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</si>
  <si>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</si>
  <si>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</si>
  <si>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</si>
  <si>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</si>
  <si>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</si>
  <si>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</si>
  <si>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</si>
  <si>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</si>
  <si>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</si>
  <si>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</si>
  <si>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</si>
  <si>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</si>
  <si>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</si>
  <si>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</si>
  <si>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</si>
  <si>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</si>
  <si>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</si>
  <si>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</si>
  <si>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</si>
  <si>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</si>
  <si>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</si>
  <si>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</si>
  <si>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</si>
  <si>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</si>
  <si>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</si>
  <si>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</si>
  <si>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</si>
  <si>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</si>
  <si>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</si>
  <si>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</si>
  <si>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</si>
  <si>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</si>
  <si>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</si>
  <si>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</si>
  <si>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</si>
  <si>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</si>
  <si>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</si>
  <si>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</si>
  <si>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</si>
  <si>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</si>
  <si>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</si>
  <si>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</si>
  <si>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</si>
  <si>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</si>
  <si>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</si>
  <si>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</si>
  <si>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</si>
  <si>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</si>
  <si>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</si>
  <si>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</si>
  <si>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</si>
  <si>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</si>
  <si>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</si>
  <si>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</si>
  <si>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</si>
  <si>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</si>
  <si>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</si>
  <si>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</si>
  <si>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</si>
  <si>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</si>
  <si>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</si>
  <si>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</si>
  <si>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</si>
  <si>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</si>
  <si>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</si>
  <si>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</si>
  <si>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</si>
  <si>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</si>
  <si>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</si>
  <si>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</si>
  <si>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</si>
  <si>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</si>
  <si>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</si>
  <si>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</si>
  <si>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</si>
  <si>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</si>
  <si>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</si>
  <si>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</si>
  <si>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</si>
  <si>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</si>
  <si>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</si>
  <si>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</si>
  <si>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</si>
  <si>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</si>
  <si>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</si>
  <si>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</si>
  <si>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</si>
  <si>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</si>
  <si>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</si>
  <si>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</si>
  <si>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</si>
  <si>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</si>
  <si>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</si>
  <si>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ABACAVIR SULFATE 60 MG </t>
  </si>
  <si>
    <t>LAMIVUDINE 30MG</t>
  </si>
  <si>
    <t>Lamivudine</t>
  </si>
  <si>
    <t>L3-7</t>
  </si>
  <si>
    <t>ABACAVIR</t>
  </si>
  <si>
    <t>A12-3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</si>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</sst>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9" workbookViewId="0">
      <selection activeCell="B56" sqref="B5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125</v>
      </c>
      <c r="D17" s="9"/>
      <c r="E17" s="10"/>
    </row>
    <row r="18" spans="1:6" ht="16.5" customHeight="1" x14ac:dyDescent="0.3">
      <c r="A18" s="11" t="s">
        <v>4</v>
      </c>
      <c r="B18" s="8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15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B20/50*5/10</f>
        <v>0.15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72247077</v>
      </c>
      <c r="C24" s="18">
        <v>10171.959999999999</v>
      </c>
      <c r="D24" s="19">
        <v>1.46</v>
      </c>
      <c r="E24" s="20">
        <v>8.99</v>
      </c>
    </row>
    <row r="25" spans="1:6" ht="16.5" customHeight="1" x14ac:dyDescent="0.3">
      <c r="A25" s="17">
        <v>2</v>
      </c>
      <c r="B25" s="18">
        <v>72222282</v>
      </c>
      <c r="C25" s="18">
        <v>10170.99</v>
      </c>
      <c r="D25" s="19">
        <v>1.43</v>
      </c>
      <c r="E25" s="19">
        <v>8.99</v>
      </c>
    </row>
    <row r="26" spans="1:6" ht="16.5" customHeight="1" x14ac:dyDescent="0.3">
      <c r="A26" s="17">
        <v>3</v>
      </c>
      <c r="B26" s="18">
        <v>72093459</v>
      </c>
      <c r="C26" s="18">
        <v>10142.74</v>
      </c>
      <c r="D26" s="19">
        <v>1.42</v>
      </c>
      <c r="E26" s="19">
        <v>8.99</v>
      </c>
    </row>
    <row r="27" spans="1:6" ht="16.5" customHeight="1" x14ac:dyDescent="0.3">
      <c r="A27" s="17">
        <v>4</v>
      </c>
      <c r="B27" s="18">
        <v>71769089</v>
      </c>
      <c r="C27" s="18">
        <v>10152.040000000001</v>
      </c>
      <c r="D27" s="19">
        <v>1.45</v>
      </c>
      <c r="E27" s="19">
        <v>8.99</v>
      </c>
    </row>
    <row r="28" spans="1:6" ht="16.5" customHeight="1" x14ac:dyDescent="0.3">
      <c r="A28" s="17">
        <v>5</v>
      </c>
      <c r="B28" s="18">
        <v>71775962</v>
      </c>
      <c r="C28" s="18">
        <v>10152.1</v>
      </c>
      <c r="D28" s="19">
        <v>1.44</v>
      </c>
      <c r="E28" s="19">
        <v>8.99</v>
      </c>
    </row>
    <row r="29" spans="1:6" ht="16.5" customHeight="1" x14ac:dyDescent="0.3">
      <c r="A29" s="17">
        <v>6</v>
      </c>
      <c r="B29" s="21">
        <v>71777976</v>
      </c>
      <c r="C29" s="21">
        <v>10136.9</v>
      </c>
      <c r="D29" s="22">
        <v>1.44</v>
      </c>
      <c r="E29" s="22">
        <v>8.99</v>
      </c>
    </row>
    <row r="30" spans="1:6" ht="16.5" customHeight="1" x14ac:dyDescent="0.3">
      <c r="A30" s="23" t="s">
        <v>18</v>
      </c>
      <c r="B30" s="24">
        <f>AVERAGE(B24:B29)</f>
        <v>71980974.166666672</v>
      </c>
      <c r="C30" s="25">
        <f>AVERAGE(C24:C29)</f>
        <v>10154.455</v>
      </c>
      <c r="D30" s="26">
        <f>AVERAGE(D24:D29)</f>
        <v>1.4399999999999997</v>
      </c>
      <c r="E30" s="26">
        <f>AVERAGE(E24:E29)</f>
        <v>8.99</v>
      </c>
    </row>
    <row r="31" spans="1:6" ht="16.5" customHeight="1" x14ac:dyDescent="0.3">
      <c r="A31" s="27" t="s">
        <v>19</v>
      </c>
      <c r="B31" s="28">
        <f>(STDEV(B24:B29)/B30)</f>
        <v>3.2273023454597455E-3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99.5</v>
      </c>
      <c r="C40" s="10"/>
      <c r="D40" s="10"/>
      <c r="E40" s="10"/>
    </row>
    <row r="41" spans="1:6" ht="16.5" customHeight="1" x14ac:dyDescent="0.3">
      <c r="A41" s="7" t="s">
        <v>8</v>
      </c>
      <c r="B41" s="12">
        <v>30</v>
      </c>
      <c r="C41" s="10"/>
      <c r="D41" s="10"/>
      <c r="E41" s="10"/>
    </row>
    <row r="42" spans="1:6" ht="16.5" customHeight="1" x14ac:dyDescent="0.3">
      <c r="A42" s="7" t="s">
        <v>10</v>
      </c>
      <c r="B42" s="13">
        <f>30/50*5/10*10/100</f>
        <v>0.03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72247077</v>
      </c>
      <c r="C45" s="18">
        <v>10171.959999999999</v>
      </c>
      <c r="D45" s="19">
        <v>1.46</v>
      </c>
      <c r="E45" s="20">
        <v>8.99</v>
      </c>
    </row>
    <row r="46" spans="1:6" ht="16.5" customHeight="1" x14ac:dyDescent="0.3">
      <c r="A46" s="17">
        <v>2</v>
      </c>
      <c r="B46" s="18">
        <v>72222282</v>
      </c>
      <c r="C46" s="18">
        <v>10170.99</v>
      </c>
      <c r="D46" s="19">
        <v>1.43</v>
      </c>
      <c r="E46" s="19">
        <v>8.99</v>
      </c>
    </row>
    <row r="47" spans="1:6" ht="16.5" customHeight="1" x14ac:dyDescent="0.3">
      <c r="A47" s="17">
        <v>3</v>
      </c>
      <c r="B47" s="18">
        <v>72093459</v>
      </c>
      <c r="C47" s="18">
        <v>10142.74</v>
      </c>
      <c r="D47" s="19">
        <v>1.42</v>
      </c>
      <c r="E47" s="19">
        <v>8.99</v>
      </c>
    </row>
    <row r="48" spans="1:6" ht="16.5" customHeight="1" x14ac:dyDescent="0.3">
      <c r="A48" s="17">
        <v>4</v>
      </c>
      <c r="B48" s="18">
        <v>71769089</v>
      </c>
      <c r="C48" s="18">
        <v>10152.040000000001</v>
      </c>
      <c r="D48" s="19">
        <v>1.45</v>
      </c>
      <c r="E48" s="19">
        <v>8.99</v>
      </c>
    </row>
    <row r="49" spans="1:7" ht="16.5" customHeight="1" x14ac:dyDescent="0.3">
      <c r="A49" s="17">
        <v>5</v>
      </c>
      <c r="B49" s="18">
        <v>71775962</v>
      </c>
      <c r="C49" s="18">
        <v>10152.1</v>
      </c>
      <c r="D49" s="19">
        <v>1.44</v>
      </c>
      <c r="E49" s="19">
        <v>8.99</v>
      </c>
    </row>
    <row r="50" spans="1:7" ht="16.5" customHeight="1" x14ac:dyDescent="0.3">
      <c r="A50" s="17">
        <v>6</v>
      </c>
      <c r="B50" s="21">
        <v>71777976</v>
      </c>
      <c r="C50" s="21">
        <v>10136.9</v>
      </c>
      <c r="D50" s="22">
        <v>1.44</v>
      </c>
      <c r="E50" s="22">
        <v>8.99</v>
      </c>
    </row>
    <row r="51" spans="1:7" ht="16.5" customHeight="1" x14ac:dyDescent="0.3">
      <c r="A51" s="23" t="s">
        <v>18</v>
      </c>
      <c r="B51" s="24">
        <f>AVERAGE(B45:B50)</f>
        <v>71980974.166666672</v>
      </c>
      <c r="C51" s="25">
        <f>AVERAGE(C45:C50)</f>
        <v>10154.455</v>
      </c>
      <c r="D51" s="26">
        <f>AVERAGE(D45:D50)</f>
        <v>1.4399999999999997</v>
      </c>
      <c r="E51" s="26">
        <f>AVERAGE(E45:E50)</f>
        <v>8.99</v>
      </c>
    </row>
    <row r="52" spans="1:7" ht="16.5" customHeight="1" x14ac:dyDescent="0.3">
      <c r="A52" s="27" t="s">
        <v>19</v>
      </c>
      <c r="B52" s="28">
        <f>(STDEV(B45:B50)/B51)</f>
        <v>3.2273023454597455E-3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D49" sqref="D4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9" t="s">
        <v>31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32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33</v>
      </c>
      <c r="B14" s="473"/>
      <c r="C14" s="60" t="s">
        <v>5</v>
      </c>
    </row>
    <row r="15" spans="1:7" ht="16.5" customHeight="1" x14ac:dyDescent="0.3">
      <c r="A15" s="473" t="s">
        <v>34</v>
      </c>
      <c r="B15" s="473"/>
      <c r="C15" s="60" t="s">
        <v>7</v>
      </c>
    </row>
    <row r="16" spans="1:7" ht="16.5" customHeight="1" x14ac:dyDescent="0.3">
      <c r="A16" s="473" t="s">
        <v>35</v>
      </c>
      <c r="B16" s="473"/>
      <c r="C16" s="60" t="s">
        <v>9</v>
      </c>
    </row>
    <row r="17" spans="1:5" ht="16.5" customHeight="1" x14ac:dyDescent="0.3">
      <c r="A17" s="473" t="s">
        <v>36</v>
      </c>
      <c r="B17" s="473"/>
      <c r="C17" s="60" t="s">
        <v>11</v>
      </c>
    </row>
    <row r="18" spans="1:5" ht="16.5" customHeight="1" x14ac:dyDescent="0.3">
      <c r="A18" s="473" t="s">
        <v>37</v>
      </c>
      <c r="B18" s="473"/>
      <c r="C18" s="97" t="s">
        <v>12</v>
      </c>
    </row>
    <row r="19" spans="1:5" ht="16.5" customHeight="1" x14ac:dyDescent="0.3">
      <c r="A19" s="473" t="s">
        <v>38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39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149.04</v>
      </c>
      <c r="D24" s="87">
        <f t="shared" ref="D24:D43" si="0">(C24-$C$46)/$C$46</f>
        <v>1.4032760116344143E-2</v>
      </c>
      <c r="E24" s="53"/>
    </row>
    <row r="25" spans="1:5" ht="15.75" customHeight="1" x14ac:dyDescent="0.3">
      <c r="C25" s="95">
        <v>146.18</v>
      </c>
      <c r="D25" s="88">
        <f t="shared" si="0"/>
        <v>-5.4260005783199027E-3</v>
      </c>
      <c r="E25" s="53"/>
    </row>
    <row r="26" spans="1:5" ht="15.75" customHeight="1" x14ac:dyDescent="0.3">
      <c r="C26" s="95">
        <v>148.31</v>
      </c>
      <c r="D26" s="88">
        <f t="shared" si="0"/>
        <v>9.0660135054683993E-3</v>
      </c>
      <c r="E26" s="53"/>
    </row>
    <row r="27" spans="1:5" ht="15.75" customHeight="1" x14ac:dyDescent="0.3">
      <c r="C27" s="95">
        <v>145.37</v>
      </c>
      <c r="D27" s="88">
        <f t="shared" si="0"/>
        <v>-1.0937048187647876E-2</v>
      </c>
      <c r="E27" s="53"/>
    </row>
    <row r="28" spans="1:5" ht="15.75" customHeight="1" x14ac:dyDescent="0.3">
      <c r="C28" s="95">
        <v>145.08000000000001</v>
      </c>
      <c r="D28" s="88">
        <f t="shared" si="0"/>
        <v>-1.2910139307036843E-2</v>
      </c>
      <c r="E28" s="53"/>
    </row>
    <row r="29" spans="1:5" ht="15.75" customHeight="1" x14ac:dyDescent="0.3">
      <c r="C29" s="95">
        <v>149.47999999999999</v>
      </c>
      <c r="D29" s="88">
        <f t="shared" si="0"/>
        <v>1.7026415607830921E-2</v>
      </c>
      <c r="E29" s="53"/>
    </row>
    <row r="30" spans="1:5" ht="15.75" customHeight="1" x14ac:dyDescent="0.3">
      <c r="C30" s="95">
        <v>146.05000000000001</v>
      </c>
      <c r="D30" s="88">
        <f t="shared" si="0"/>
        <v>-6.310489700804606E-3</v>
      </c>
      <c r="E30" s="53"/>
    </row>
    <row r="31" spans="1:5" ht="15.75" customHeight="1" x14ac:dyDescent="0.3">
      <c r="C31" s="95">
        <v>149.03</v>
      </c>
      <c r="D31" s="88">
        <f t="shared" si="0"/>
        <v>1.3964722491537686E-2</v>
      </c>
      <c r="E31" s="53"/>
    </row>
    <row r="32" spans="1:5" ht="15.75" customHeight="1" x14ac:dyDescent="0.3">
      <c r="C32" s="95">
        <v>150.84</v>
      </c>
      <c r="D32" s="88">
        <f t="shared" si="0"/>
        <v>2.627953258151746E-2</v>
      </c>
      <c r="E32" s="53"/>
    </row>
    <row r="33" spans="1:7" ht="15.75" customHeight="1" x14ac:dyDescent="0.3">
      <c r="C33" s="95">
        <v>144.01</v>
      </c>
      <c r="D33" s="88">
        <f t="shared" si="0"/>
        <v>-2.0190165161334418E-2</v>
      </c>
      <c r="E33" s="53"/>
    </row>
    <row r="34" spans="1:7" ht="15.75" customHeight="1" x14ac:dyDescent="0.3">
      <c r="C34" s="95">
        <v>148.35</v>
      </c>
      <c r="D34" s="88">
        <f t="shared" si="0"/>
        <v>9.3381640046944162E-3</v>
      </c>
      <c r="E34" s="53"/>
    </row>
    <row r="35" spans="1:7" ht="15.75" customHeight="1" x14ac:dyDescent="0.3">
      <c r="C35" s="95">
        <v>142.35</v>
      </c>
      <c r="D35" s="88">
        <f t="shared" si="0"/>
        <v>-3.1484410879216378E-2</v>
      </c>
      <c r="E35" s="53"/>
    </row>
    <row r="36" spans="1:7" ht="15.75" customHeight="1" x14ac:dyDescent="0.3">
      <c r="C36" s="95">
        <v>148.16</v>
      </c>
      <c r="D36" s="88">
        <f t="shared" si="0"/>
        <v>8.0454491333705903E-3</v>
      </c>
      <c r="E36" s="53"/>
    </row>
    <row r="37" spans="1:7" ht="15.75" customHeight="1" x14ac:dyDescent="0.3">
      <c r="C37" s="95">
        <v>148.09</v>
      </c>
      <c r="D37" s="88">
        <f t="shared" si="0"/>
        <v>7.5691857597250112E-3</v>
      </c>
      <c r="E37" s="53"/>
    </row>
    <row r="38" spans="1:7" ht="15.75" customHeight="1" x14ac:dyDescent="0.3">
      <c r="C38" s="95">
        <v>151.38999999999999</v>
      </c>
      <c r="D38" s="88">
        <f t="shared" si="0"/>
        <v>3.0021601945875834E-2</v>
      </c>
      <c r="E38" s="53"/>
    </row>
    <row r="39" spans="1:7" ht="15.75" customHeight="1" x14ac:dyDescent="0.3">
      <c r="C39" s="95">
        <v>146.25</v>
      </c>
      <c r="D39" s="88">
        <f t="shared" si="0"/>
        <v>-4.9497372046743236E-3</v>
      </c>
      <c r="E39" s="53"/>
    </row>
    <row r="40" spans="1:7" ht="15.75" customHeight="1" x14ac:dyDescent="0.3">
      <c r="C40" s="95">
        <v>149.09</v>
      </c>
      <c r="D40" s="88">
        <f t="shared" si="0"/>
        <v>1.437294824037681E-2</v>
      </c>
      <c r="E40" s="53"/>
    </row>
    <row r="41" spans="1:7" ht="15.75" customHeight="1" x14ac:dyDescent="0.3">
      <c r="C41" s="95">
        <v>139.33000000000001</v>
      </c>
      <c r="D41" s="88">
        <f t="shared" si="0"/>
        <v>-5.2031773570784694E-2</v>
      </c>
      <c r="E41" s="53"/>
    </row>
    <row r="42" spans="1:7" ht="15.75" customHeight="1" x14ac:dyDescent="0.3">
      <c r="C42" s="95">
        <v>148.38999999999999</v>
      </c>
      <c r="D42" s="88">
        <f t="shared" si="0"/>
        <v>9.6103145039204349E-3</v>
      </c>
      <c r="E42" s="53"/>
    </row>
    <row r="43" spans="1:7" ht="16.5" customHeight="1" x14ac:dyDescent="0.3">
      <c r="C43" s="96">
        <v>144.76</v>
      </c>
      <c r="D43" s="89">
        <f t="shared" si="0"/>
        <v>-1.5087343300845567E-2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2939.55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146.97750000000002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6">
        <f>C46</f>
        <v>146.97750000000002</v>
      </c>
      <c r="C49" s="93">
        <f>-IF(C46&lt;=80,10%,IF(C46&lt;250,7.5%,5%))</f>
        <v>-7.4999999999999997E-2</v>
      </c>
      <c r="D49" s="81">
        <f>IF(C46&lt;=80,C46*0.9,IF(C46&lt;250,C46*0.925,C46*0.95))</f>
        <v>135.95418750000002</v>
      </c>
    </row>
    <row r="50" spans="1:6" ht="17.25" customHeight="1" x14ac:dyDescent="0.3">
      <c r="B50" s="467"/>
      <c r="C50" s="94">
        <f>IF(C46&lt;=80, 10%, IF(C46&lt;250, 7.5%, 5%))</f>
        <v>7.4999999999999997E-2</v>
      </c>
      <c r="D50" s="81">
        <f>IF(C46&lt;=80, C46*1.1, IF(C46&lt;250, C46*1.075, C46*1.05))</f>
        <v>158.00081250000002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0" zoomScale="46" zoomScaleNormal="40" zoomScalePageLayoutView="46" workbookViewId="0">
      <selection activeCell="A109" sqref="A10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45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46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98"/>
    </row>
    <row r="16" spans="1:9" ht="19.5" customHeight="1" x14ac:dyDescent="0.3">
      <c r="A16" s="508" t="s">
        <v>31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47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100" t="s">
        <v>33</v>
      </c>
      <c r="B18" s="507" t="s">
        <v>5</v>
      </c>
      <c r="C18" s="507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2" t="s">
        <v>9</v>
      </c>
      <c r="C20" s="51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2" t="s">
        <v>11</v>
      </c>
      <c r="C21" s="512"/>
      <c r="D21" s="512"/>
      <c r="E21" s="512"/>
      <c r="F21" s="512"/>
      <c r="G21" s="512"/>
      <c r="H21" s="51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7" t="s">
        <v>127</v>
      </c>
      <c r="C26" s="507"/>
    </row>
    <row r="27" spans="1:14" ht="26.25" customHeight="1" x14ac:dyDescent="0.4">
      <c r="A27" s="109" t="s">
        <v>48</v>
      </c>
      <c r="B27" s="505" t="s">
        <v>128</v>
      </c>
      <c r="C27" s="505"/>
    </row>
    <row r="28" spans="1:14" ht="27" customHeight="1" x14ac:dyDescent="0.4">
      <c r="A28" s="109" t="s">
        <v>6</v>
      </c>
      <c r="B28" s="110">
        <v>84.06</v>
      </c>
    </row>
    <row r="29" spans="1:14" s="14" customFormat="1" ht="27" customHeight="1" x14ac:dyDescent="0.4">
      <c r="A29" s="109" t="s">
        <v>49</v>
      </c>
      <c r="B29" s="111">
        <v>0</v>
      </c>
      <c r="C29" s="482" t="s">
        <v>50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84.06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5" t="s">
        <v>53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5" t="s">
        <v>55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88" t="s">
        <v>59</v>
      </c>
      <c r="E36" s="506"/>
      <c r="F36" s="488" t="s">
        <v>60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133684685</v>
      </c>
      <c r="E38" s="133">
        <f>IF(ISBLANK(D38),"-",$D$48/$D$45*D38)</f>
        <v>121338889.78443679</v>
      </c>
      <c r="F38" s="132">
        <v>112388440</v>
      </c>
      <c r="G38" s="134">
        <f>IF(ISBLANK(F38),"-",$D$48/$F$45*F38)</f>
        <v>120162008.73381118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133204593</v>
      </c>
      <c r="E39" s="138">
        <f>IF(ISBLANK(D39),"-",$D$48/$D$45*D39)</f>
        <v>120903134.33291002</v>
      </c>
      <c r="F39" s="137">
        <v>112450757</v>
      </c>
      <c r="G39" s="139">
        <f>IF(ISBLANK(F39),"-",$D$48/$F$45*F39)</f>
        <v>120228636.01236638</v>
      </c>
      <c r="I39" s="490">
        <f>ABS((F43/D43*D42)-F42)/D42</f>
        <v>6.764751076625471E-3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133200349</v>
      </c>
      <c r="E40" s="138">
        <f>IF(ISBLANK(D40),"-",$D$48/$D$45*D40)</f>
        <v>120899282.26677212</v>
      </c>
      <c r="F40" s="137">
        <v>112103120</v>
      </c>
      <c r="G40" s="139">
        <f>IF(ISBLANK(F40),"-",$D$48/$F$45*F40)</f>
        <v>119856954.01170692</v>
      </c>
      <c r="I40" s="49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133363209</v>
      </c>
      <c r="E42" s="148">
        <f>AVERAGE(E38:E41)</f>
        <v>121047102.12803964</v>
      </c>
      <c r="F42" s="147">
        <f>AVERAGE(F38:F41)</f>
        <v>112314105.66666667</v>
      </c>
      <c r="G42" s="149">
        <f>AVERAGE(G38:G41)</f>
        <v>120082532.91929483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19.66</v>
      </c>
      <c r="E43" s="140"/>
      <c r="F43" s="152">
        <v>16.690000000000001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19.66</v>
      </c>
      <c r="E44" s="155"/>
      <c r="F44" s="154">
        <f>F43*$B$34</f>
        <v>16.690000000000001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16.526195999999999</v>
      </c>
      <c r="E45" s="158"/>
      <c r="F45" s="157">
        <f>F44*$B$30/100</f>
        <v>14.029614000000002</v>
      </c>
      <c r="H45" s="150"/>
    </row>
    <row r="46" spans="1:14" ht="19.5" customHeight="1" x14ac:dyDescent="0.3">
      <c r="A46" s="476" t="s">
        <v>78</v>
      </c>
      <c r="B46" s="477"/>
      <c r="C46" s="153" t="s">
        <v>79</v>
      </c>
      <c r="D46" s="159">
        <f>D45/$B$45</f>
        <v>0.16526195999999999</v>
      </c>
      <c r="E46" s="160"/>
      <c r="F46" s="161">
        <f>F45/$B$45</f>
        <v>0.14029614000000001</v>
      </c>
      <c r="H46" s="150"/>
    </row>
    <row r="47" spans="1:14" ht="27" customHeight="1" x14ac:dyDescent="0.4">
      <c r="A47" s="478"/>
      <c r="B47" s="479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120564817.52366723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4.6946822694066788E-3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ABACAVIR SULFATE 60mg &amp; LAMIVUDINE 30mg TABLETS</v>
      </c>
    </row>
    <row r="56" spans="1:12" ht="26.25" customHeight="1" x14ac:dyDescent="0.4">
      <c r="A56" s="177" t="s">
        <v>87</v>
      </c>
      <c r="B56" s="178">
        <v>30</v>
      </c>
      <c r="C56" s="99" t="str">
        <f>B20</f>
        <v>ABACAVIR SULFATE &amp; LAMIVUDINE TABLETS</v>
      </c>
      <c r="H56" s="179"/>
    </row>
    <row r="57" spans="1:12" ht="18.75" x14ac:dyDescent="0.3">
      <c r="A57" s="176" t="s">
        <v>88</v>
      </c>
      <c r="B57" s="268">
        <f>Uniformity!C46</f>
        <v>146.97750000000002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493" t="s">
        <v>94</v>
      </c>
      <c r="D60" s="496">
        <v>146.41999999999999</v>
      </c>
      <c r="E60" s="182">
        <v>1</v>
      </c>
      <c r="F60" s="183">
        <v>116000843</v>
      </c>
      <c r="G60" s="269">
        <f>IF(ISBLANK(F60),"-",(F60/$D$50*$D$47*$B$68)*($B$57/$D$60))</f>
        <v>28.974253825294664</v>
      </c>
      <c r="H60" s="184">
        <f t="shared" ref="H60:H71" si="0">IF(ISBLANK(F60),"-",G60/$B$56)</f>
        <v>0.96580846084315541</v>
      </c>
      <c r="L60" s="112"/>
    </row>
    <row r="61" spans="1:12" s="14" customFormat="1" ht="26.25" customHeight="1" x14ac:dyDescent="0.4">
      <c r="A61" s="124" t="s">
        <v>95</v>
      </c>
      <c r="B61" s="125">
        <v>10</v>
      </c>
      <c r="C61" s="494"/>
      <c r="D61" s="497"/>
      <c r="E61" s="185">
        <v>2</v>
      </c>
      <c r="F61" s="137">
        <v>116152081</v>
      </c>
      <c r="G61" s="270">
        <f>IF(ISBLANK(F61),"-",(F61/$D$50*$D$47*$B$68)*($B$57/$D$60))</f>
        <v>29.012029483528718</v>
      </c>
      <c r="H61" s="186">
        <f t="shared" si="0"/>
        <v>0.96706764945095725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4"/>
      <c r="D62" s="497"/>
      <c r="E62" s="185">
        <v>3</v>
      </c>
      <c r="F62" s="187">
        <v>115758277</v>
      </c>
      <c r="G62" s="270">
        <f>IF(ISBLANK(F62),"-",(F62/$D$50*$D$47*$B$68)*($B$57/$D$60))</f>
        <v>28.913666603067441</v>
      </c>
      <c r="H62" s="186">
        <f t="shared" si="0"/>
        <v>0.96378888676891472</v>
      </c>
      <c r="L62" s="112"/>
    </row>
    <row r="63" spans="1:12" ht="27" customHeight="1" x14ac:dyDescent="0.4">
      <c r="A63" s="124" t="s">
        <v>97</v>
      </c>
      <c r="B63" s="125">
        <v>1</v>
      </c>
      <c r="C63" s="504"/>
      <c r="D63" s="498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3" t="s">
        <v>99</v>
      </c>
      <c r="D64" s="496">
        <v>145.5</v>
      </c>
      <c r="E64" s="182">
        <v>1</v>
      </c>
      <c r="F64" s="183">
        <v>116130858</v>
      </c>
      <c r="G64" s="271">
        <f>IF(ISBLANK(F64),"-",(F64/$D$50*$D$47*$B$68)*($B$57/$D$64))</f>
        <v>29.190138724443745</v>
      </c>
      <c r="H64" s="190">
        <f t="shared" si="0"/>
        <v>0.97300462414812483</v>
      </c>
    </row>
    <row r="65" spans="1:8" ht="26.25" customHeight="1" x14ac:dyDescent="0.4">
      <c r="A65" s="124" t="s">
        <v>100</v>
      </c>
      <c r="B65" s="125">
        <v>1</v>
      </c>
      <c r="C65" s="494"/>
      <c r="D65" s="497"/>
      <c r="E65" s="185">
        <v>2</v>
      </c>
      <c r="F65" s="137">
        <v>116364166</v>
      </c>
      <c r="G65" s="272">
        <f>IF(ISBLANK(F65),"-",(F65/$D$50*$D$47*$B$68)*($B$57/$D$64))</f>
        <v>29.248781991210297</v>
      </c>
      <c r="H65" s="191">
        <f t="shared" si="0"/>
        <v>0.97495939970700995</v>
      </c>
    </row>
    <row r="66" spans="1:8" ht="26.25" customHeight="1" x14ac:dyDescent="0.4">
      <c r="A66" s="124" t="s">
        <v>101</v>
      </c>
      <c r="B66" s="125">
        <v>1</v>
      </c>
      <c r="C66" s="494"/>
      <c r="D66" s="497"/>
      <c r="E66" s="185">
        <v>3</v>
      </c>
      <c r="F66" s="137">
        <v>116803580</v>
      </c>
      <c r="G66" s="272">
        <f>IF(ISBLANK(F66),"-",(F66/$D$50*$D$47*$B$68)*($B$57/$D$64))</f>
        <v>29.359231150360252</v>
      </c>
      <c r="H66" s="191">
        <f t="shared" si="0"/>
        <v>0.97864103834534177</v>
      </c>
    </row>
    <row r="67" spans="1:8" ht="27" customHeight="1" x14ac:dyDescent="0.4">
      <c r="A67" s="124" t="s">
        <v>102</v>
      </c>
      <c r="B67" s="125">
        <v>1</v>
      </c>
      <c r="C67" s="504"/>
      <c r="D67" s="498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200</v>
      </c>
      <c r="C68" s="493" t="s">
        <v>104</v>
      </c>
      <c r="D68" s="496">
        <v>147.30000000000001</v>
      </c>
      <c r="E68" s="182">
        <v>1</v>
      </c>
      <c r="F68" s="183">
        <v>118939494</v>
      </c>
      <c r="G68" s="271">
        <f>IF(ISBLANK(F68),"-",(F68/$D$50*$D$47*$B$68)*($B$57/$D$68))</f>
        <v>29.530775858613627</v>
      </c>
      <c r="H68" s="186">
        <f t="shared" si="0"/>
        <v>0.9843591952871209</v>
      </c>
    </row>
    <row r="69" spans="1:8" ht="27" customHeight="1" x14ac:dyDescent="0.4">
      <c r="A69" s="172" t="s">
        <v>105</v>
      </c>
      <c r="B69" s="194">
        <f>(D47*B68)/B56*B57</f>
        <v>146.97750000000002</v>
      </c>
      <c r="C69" s="494"/>
      <c r="D69" s="497"/>
      <c r="E69" s="185">
        <v>2</v>
      </c>
      <c r="F69" s="137">
        <v>118698337</v>
      </c>
      <c r="G69" s="272">
        <f>IF(ISBLANK(F69),"-",(F69/$D$50*$D$47*$B$68)*($B$57/$D$68))</f>
        <v>29.470900428895249</v>
      </c>
      <c r="H69" s="186">
        <f t="shared" si="0"/>
        <v>0.98236334762984157</v>
      </c>
    </row>
    <row r="70" spans="1:8" ht="26.25" customHeight="1" x14ac:dyDescent="0.4">
      <c r="A70" s="499" t="s">
        <v>78</v>
      </c>
      <c r="B70" s="500"/>
      <c r="C70" s="494"/>
      <c r="D70" s="497"/>
      <c r="E70" s="185">
        <v>3</v>
      </c>
      <c r="F70" s="137">
        <v>119593004</v>
      </c>
      <c r="G70" s="272">
        <f>IF(ISBLANK(F70),"-",(F70/$D$50*$D$47*$B$68)*($B$57/$D$68))</f>
        <v>29.693031949356389</v>
      </c>
      <c r="H70" s="186">
        <f t="shared" si="0"/>
        <v>0.98976773164521292</v>
      </c>
    </row>
    <row r="71" spans="1:8" ht="27" customHeight="1" x14ac:dyDescent="0.4">
      <c r="A71" s="501"/>
      <c r="B71" s="502"/>
      <c r="C71" s="495"/>
      <c r="D71" s="498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29.265867779418929</v>
      </c>
      <c r="H72" s="199">
        <f>AVERAGE(H60:H71)</f>
        <v>0.97552892598063101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9.2237526208152985E-3</v>
      </c>
      <c r="H73" s="274">
        <f>STDEV(H60:H71)/H72</f>
        <v>9.2237526208152915E-3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480" t="str">
        <f>B20</f>
        <v>ABACAVIR SULFATE &amp; LAMIVUDINE TABLETS</v>
      </c>
      <c r="D76" s="480"/>
      <c r="E76" s="205" t="s">
        <v>108</v>
      </c>
      <c r="F76" s="205"/>
      <c r="G76" s="206">
        <f>H72</f>
        <v>0.97552892598063101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3" t="str">
        <f>B26</f>
        <v>Lamivudine</v>
      </c>
      <c r="C79" s="503"/>
    </row>
    <row r="80" spans="1:8" ht="26.25" customHeight="1" x14ac:dyDescent="0.4">
      <c r="A80" s="109" t="s">
        <v>48</v>
      </c>
      <c r="B80" s="503" t="str">
        <f>B27</f>
        <v>L3-7</v>
      </c>
      <c r="C80" s="503"/>
    </row>
    <row r="81" spans="1:12" ht="27" customHeight="1" x14ac:dyDescent="0.4">
      <c r="A81" s="109" t="s">
        <v>6</v>
      </c>
      <c r="B81" s="208">
        <f>B28</f>
        <v>84.06</v>
      </c>
    </row>
    <row r="82" spans="1:12" s="14" customFormat="1" ht="27" customHeight="1" x14ac:dyDescent="0.4">
      <c r="A82" s="109" t="s">
        <v>49</v>
      </c>
      <c r="B82" s="111">
        <v>0</v>
      </c>
      <c r="C82" s="482" t="s">
        <v>50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84.06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5" t="s">
        <v>111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5" t="s">
        <v>112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488" t="s">
        <v>60</v>
      </c>
      <c r="G89" s="489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132">
        <v>68064600</v>
      </c>
      <c r="E91" s="133">
        <f>IF(ISBLANK(D91),"-",$D$101/$D$98*D91)</f>
        <v>68643140.865568832</v>
      </c>
      <c r="F91" s="132">
        <v>56669732</v>
      </c>
      <c r="G91" s="134">
        <f>IF(ISBLANK(F91),"-",$D$101/$F$98*F91)</f>
        <v>67321562.32761167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69617812</v>
      </c>
      <c r="E92" s="138">
        <f>IF(ISBLANK(D92),"-",$D$101/$D$98*D92)</f>
        <v>70209554.979661807</v>
      </c>
      <c r="F92" s="137">
        <v>56463841</v>
      </c>
      <c r="G92" s="139">
        <f>IF(ISBLANK(F92),"-",$D$101/$F$98*F92)</f>
        <v>67076971.374028295</v>
      </c>
      <c r="I92" s="490">
        <f>ABS((F96/D96*D95)-F95)/D95</f>
        <v>1.8675156670869855E-2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67793544</v>
      </c>
      <c r="E93" s="138">
        <f>IF(ISBLANK(D93),"-",$D$101/$D$98*D93)</f>
        <v>68369780.922361091</v>
      </c>
      <c r="F93" s="137">
        <v>57464213</v>
      </c>
      <c r="G93" s="139">
        <f>IF(ISBLANK(F93),"-",$D$101/$F$98*F93)</f>
        <v>68265376.605039403</v>
      </c>
      <c r="I93" s="490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68491985.333333328</v>
      </c>
      <c r="E95" s="148">
        <f>AVERAGE(E91:E94)</f>
        <v>69074158.922530577</v>
      </c>
      <c r="F95" s="218">
        <f>AVERAGE(F91:F94)</f>
        <v>56865928.666666664</v>
      </c>
      <c r="G95" s="219">
        <f>AVERAGE(G91:G94)</f>
        <v>67554636.768893123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19.66</v>
      </c>
      <c r="E96" s="140"/>
      <c r="F96" s="152">
        <v>16.690000000000001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19.66</v>
      </c>
      <c r="E97" s="155"/>
      <c r="F97" s="154">
        <f>F96*$B$87</f>
        <v>16.690000000000001</v>
      </c>
    </row>
    <row r="98" spans="1:10" ht="19.5" customHeight="1" x14ac:dyDescent="0.3">
      <c r="A98" s="124" t="s">
        <v>76</v>
      </c>
      <c r="B98" s="224">
        <f>(B97/B96)*(B95/B94)*(B93/B92)*(B91/B90)*B89</f>
        <v>500</v>
      </c>
      <c r="C98" s="222" t="s">
        <v>115</v>
      </c>
      <c r="D98" s="225">
        <f>D97*$B$83/100</f>
        <v>16.526195999999999</v>
      </c>
      <c r="E98" s="158"/>
      <c r="F98" s="157">
        <f>F97*$B$83/100</f>
        <v>14.029614000000002</v>
      </c>
    </row>
    <row r="99" spans="1:10" ht="19.5" customHeight="1" x14ac:dyDescent="0.3">
      <c r="A99" s="476" t="s">
        <v>78</v>
      </c>
      <c r="B99" s="491"/>
      <c r="C99" s="222" t="s">
        <v>116</v>
      </c>
      <c r="D99" s="226">
        <f>D98/$B$98</f>
        <v>3.3052392E-2</v>
      </c>
      <c r="E99" s="158"/>
      <c r="F99" s="161">
        <f>F98/$B$98</f>
        <v>2.8059228000000005E-2</v>
      </c>
      <c r="G99" s="227"/>
      <c r="H99" s="150"/>
    </row>
    <row r="100" spans="1:10" ht="19.5" customHeight="1" x14ac:dyDescent="0.3">
      <c r="A100" s="478"/>
      <c r="B100" s="492"/>
      <c r="C100" s="222" t="s">
        <v>80</v>
      </c>
      <c r="D100" s="228">
        <f>$B$56/$B$116</f>
        <v>3.3333333333333333E-2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16.666666666666668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16.666666666666668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68314397.845711857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1.6329450836674746E-2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59356036</v>
      </c>
      <c r="E108" s="275">
        <f t="shared" ref="E108:E113" si="1">IF(ISBLANK(D108),"-",D108/$D$103*$D$100*$B$116)</f>
        <v>26.06597051505409</v>
      </c>
      <c r="F108" s="245">
        <f t="shared" ref="F108:F113" si="2">IF(ISBLANK(D108), "-", E108/$B$56)</f>
        <v>0.86886568383513629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58431059</v>
      </c>
      <c r="E109" s="276">
        <f t="shared" si="1"/>
        <v>25.659770491705107</v>
      </c>
      <c r="F109" s="246">
        <f t="shared" si="2"/>
        <v>0.85532568305683687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58078931</v>
      </c>
      <c r="E110" s="276">
        <f t="shared" si="1"/>
        <v>25.505134860957714</v>
      </c>
      <c r="F110" s="246">
        <f t="shared" si="2"/>
        <v>0.85017116203192378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58204369</v>
      </c>
      <c r="E111" s="276">
        <f t="shared" si="1"/>
        <v>25.560220466901267</v>
      </c>
      <c r="F111" s="246">
        <f t="shared" si="2"/>
        <v>0.85200734889670893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58733756</v>
      </c>
      <c r="E112" s="276">
        <f t="shared" si="1"/>
        <v>25.792698692587582</v>
      </c>
      <c r="F112" s="246">
        <f t="shared" si="2"/>
        <v>0.85975662308625267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58237919</v>
      </c>
      <c r="E113" s="277">
        <f t="shared" si="1"/>
        <v>25.574953817874704</v>
      </c>
      <c r="F113" s="249">
        <f t="shared" si="2"/>
        <v>0.85249846059582346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25.69312480751341</v>
      </c>
      <c r="F115" s="252">
        <f>AVERAGE(F108:F113)</f>
        <v>0.8564374935837803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8.1084436265144895E-3</v>
      </c>
      <c r="F116" s="254">
        <f>STDEV(F108:F113)/F115</f>
        <v>8.1084436265144687E-3</v>
      </c>
      <c r="I116" s="98"/>
    </row>
    <row r="117" spans="1:10" ht="27" customHeight="1" x14ac:dyDescent="0.4">
      <c r="A117" s="476" t="s">
        <v>78</v>
      </c>
      <c r="B117" s="477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78"/>
      <c r="B118" s="479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480" t="str">
        <f>B20</f>
        <v>ABACAVIR SULFATE &amp; LAMIVUDINE TABLETS</v>
      </c>
      <c r="D120" s="480"/>
      <c r="E120" s="205" t="s">
        <v>124</v>
      </c>
      <c r="F120" s="205"/>
      <c r="G120" s="206">
        <f>F115</f>
        <v>0.8564374935837803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1" t="s">
        <v>26</v>
      </c>
      <c r="C122" s="481"/>
      <c r="E122" s="211" t="s">
        <v>27</v>
      </c>
      <c r="F122" s="260"/>
      <c r="G122" s="481" t="s">
        <v>28</v>
      </c>
      <c r="H122" s="481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7" zoomScale="46" zoomScaleNormal="40" zoomScalePageLayoutView="46" workbookViewId="0">
      <selection activeCell="A121" sqref="A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45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46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281"/>
    </row>
    <row r="16" spans="1:9" ht="19.5" customHeight="1" x14ac:dyDescent="0.3">
      <c r="A16" s="508" t="s">
        <v>31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47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283" t="s">
        <v>33</v>
      </c>
      <c r="B18" s="507" t="s">
        <v>5</v>
      </c>
      <c r="C18" s="507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512" t="s">
        <v>9</v>
      </c>
      <c r="C20" s="512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512" t="s">
        <v>11</v>
      </c>
      <c r="C21" s="512"/>
      <c r="D21" s="512"/>
      <c r="E21" s="512"/>
      <c r="F21" s="512"/>
      <c r="G21" s="512"/>
      <c r="H21" s="512"/>
      <c r="I21" s="287"/>
    </row>
    <row r="22" spans="1:14" ht="26.25" customHeight="1" x14ac:dyDescent="0.4">
      <c r="A22" s="283" t="s">
        <v>37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7" t="s">
        <v>129</v>
      </c>
      <c r="C26" s="507"/>
    </row>
    <row r="27" spans="1:14" ht="26.25" customHeight="1" x14ac:dyDescent="0.4">
      <c r="A27" s="292" t="s">
        <v>48</v>
      </c>
      <c r="B27" s="505" t="s">
        <v>130</v>
      </c>
      <c r="C27" s="505"/>
    </row>
    <row r="28" spans="1:14" ht="27" customHeight="1" x14ac:dyDescent="0.4">
      <c r="A28" s="292" t="s">
        <v>6</v>
      </c>
      <c r="B28" s="293">
        <v>99.5</v>
      </c>
    </row>
    <row r="29" spans="1:14" s="14" customFormat="1" ht="27" customHeight="1" x14ac:dyDescent="0.4">
      <c r="A29" s="292" t="s">
        <v>49</v>
      </c>
      <c r="B29" s="294">
        <v>0</v>
      </c>
      <c r="C29" s="482" t="s">
        <v>50</v>
      </c>
      <c r="D29" s="483"/>
      <c r="E29" s="483"/>
      <c r="F29" s="483"/>
      <c r="G29" s="484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99.5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572.66</v>
      </c>
      <c r="C31" s="485" t="s">
        <v>53</v>
      </c>
      <c r="D31" s="486"/>
      <c r="E31" s="486"/>
      <c r="F31" s="486"/>
      <c r="G31" s="486"/>
      <c r="H31" s="487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670.74</v>
      </c>
      <c r="C32" s="485" t="s">
        <v>55</v>
      </c>
      <c r="D32" s="486"/>
      <c r="E32" s="486"/>
      <c r="F32" s="486"/>
      <c r="G32" s="486"/>
      <c r="H32" s="487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0.8537734442555982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50</v>
      </c>
      <c r="C36" s="282"/>
      <c r="D36" s="488" t="s">
        <v>59</v>
      </c>
      <c r="E36" s="506"/>
      <c r="F36" s="488" t="s">
        <v>60</v>
      </c>
      <c r="G36" s="489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5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10</v>
      </c>
      <c r="C38" s="314">
        <v>1</v>
      </c>
      <c r="D38" s="315">
        <v>72062066</v>
      </c>
      <c r="E38" s="316">
        <f>IF(ISBLANK(D38),"-",$D$48/$D$45*D38)</f>
        <v>85714055.327964187</v>
      </c>
      <c r="F38" s="315">
        <v>74392384</v>
      </c>
      <c r="G38" s="317">
        <f>IF(ISBLANK(F38),"-",$D$48/$F$45*F38)</f>
        <v>85994919.336132109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71769521</v>
      </c>
      <c r="E39" s="321">
        <f>IF(ISBLANK(D39),"-",$D$48/$D$45*D39)</f>
        <v>85366088.364098355</v>
      </c>
      <c r="F39" s="320">
        <v>74437178</v>
      </c>
      <c r="G39" s="322">
        <f>IF(ISBLANK(F39),"-",$D$48/$F$45*F39)</f>
        <v>86046699.588486195</v>
      </c>
      <c r="I39" s="490">
        <f>ABS((F43/D43*D42)-F42)/D42</f>
        <v>5.4952203724367796E-3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71783671</v>
      </c>
      <c r="E40" s="321">
        <f>IF(ISBLANK(D40),"-",$D$48/$D$45*D40)</f>
        <v>85382919.048398897</v>
      </c>
      <c r="F40" s="320">
        <v>74216057</v>
      </c>
      <c r="G40" s="322">
        <f>IF(ISBLANK(F40),"-",$D$48/$F$45*F40)</f>
        <v>85791091.668211386</v>
      </c>
      <c r="I40" s="490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71871752.666666672</v>
      </c>
      <c r="E42" s="331">
        <f>AVERAGE(E38:E41)</f>
        <v>85487687.580153823</v>
      </c>
      <c r="F42" s="330">
        <f>AVERAGE(F38:F41)</f>
        <v>74348539.666666672</v>
      </c>
      <c r="G42" s="332">
        <f>AVERAGE(G38:G41)</f>
        <v>85944236.864276573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29.69</v>
      </c>
      <c r="E43" s="323"/>
      <c r="F43" s="335">
        <v>30.55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25.348533559948713</v>
      </c>
      <c r="E44" s="338"/>
      <c r="F44" s="337">
        <f>F43*$B$34</f>
        <v>26.082778722008527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100</v>
      </c>
      <c r="C45" s="336" t="s">
        <v>77</v>
      </c>
      <c r="D45" s="340">
        <f>D44*$B$30/100</f>
        <v>25.22179089214897</v>
      </c>
      <c r="E45" s="341"/>
      <c r="F45" s="340">
        <f>F44*$B$30/100</f>
        <v>25.952364828398487</v>
      </c>
      <c r="H45" s="333"/>
    </row>
    <row r="46" spans="1:14" ht="19.5" customHeight="1" x14ac:dyDescent="0.3">
      <c r="A46" s="476" t="s">
        <v>78</v>
      </c>
      <c r="B46" s="477"/>
      <c r="C46" s="336" t="s">
        <v>79</v>
      </c>
      <c r="D46" s="342">
        <f>D45/$B$45</f>
        <v>0.25221790892148971</v>
      </c>
      <c r="E46" s="343"/>
      <c r="F46" s="344">
        <f>F45/$B$45</f>
        <v>0.25952364828398489</v>
      </c>
      <c r="H46" s="333"/>
    </row>
    <row r="47" spans="1:14" ht="27" customHeight="1" x14ac:dyDescent="0.4">
      <c r="A47" s="478"/>
      <c r="B47" s="479"/>
      <c r="C47" s="345" t="s">
        <v>80</v>
      </c>
      <c r="D47" s="346">
        <v>0.3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30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35.138127335591804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85715962.222215191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3.4060479090055932E-3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ABACAVIR SULFATE 60mg &amp; LAMIVUDINE 30mg TABLETS</v>
      </c>
    </row>
    <row r="56" spans="1:12" ht="26.25" customHeight="1" x14ac:dyDescent="0.4">
      <c r="A56" s="360" t="s">
        <v>87</v>
      </c>
      <c r="B56" s="361">
        <v>60</v>
      </c>
      <c r="C56" s="282" t="str">
        <f>B20</f>
        <v>ABACAVIR SULFATE &amp; LAMIVUDINE TABLETS</v>
      </c>
      <c r="H56" s="362"/>
    </row>
    <row r="57" spans="1:12" ht="18.75" x14ac:dyDescent="0.3">
      <c r="A57" s="359" t="s">
        <v>88</v>
      </c>
      <c r="B57" s="451">
        <f>Uniformity!C46</f>
        <v>146.97750000000002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5</v>
      </c>
      <c r="C60" s="493" t="s">
        <v>94</v>
      </c>
      <c r="D60" s="496">
        <v>146.41999999999999</v>
      </c>
      <c r="E60" s="365">
        <v>1</v>
      </c>
      <c r="F60" s="366">
        <v>84995829</v>
      </c>
      <c r="G60" s="452">
        <f>IF(ISBLANK(F60),"-",(F60/$D$50*$D$47*$B$68)*($B$57/$D$60))</f>
        <v>59.722449683490261</v>
      </c>
      <c r="H60" s="367">
        <f t="shared" ref="H60:H71" si="0">IF(ISBLANK(F60),"-",G60/$B$56)</f>
        <v>0.99537416139150436</v>
      </c>
      <c r="L60" s="295"/>
    </row>
    <row r="61" spans="1:12" s="14" customFormat="1" ht="26.25" customHeight="1" x14ac:dyDescent="0.4">
      <c r="A61" s="307" t="s">
        <v>95</v>
      </c>
      <c r="B61" s="308">
        <v>10</v>
      </c>
      <c r="C61" s="494"/>
      <c r="D61" s="497"/>
      <c r="E61" s="368">
        <v>2</v>
      </c>
      <c r="F61" s="320">
        <v>85742989</v>
      </c>
      <c r="G61" s="453">
        <f>IF(ISBLANK(F61),"-",(F61/$D$50*$D$47*$B$68)*($B$57/$D$60))</f>
        <v>60.247442804099933</v>
      </c>
      <c r="H61" s="369">
        <f t="shared" si="0"/>
        <v>1.0041240467349988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494"/>
      <c r="D62" s="497"/>
      <c r="E62" s="368">
        <v>3</v>
      </c>
      <c r="F62" s="370">
        <v>86116756</v>
      </c>
      <c r="G62" s="453">
        <f>IF(ISBLANK(F62),"-",(F62/$D$50*$D$47*$B$68)*($B$57/$D$60))</f>
        <v>60.510070760241746</v>
      </c>
      <c r="H62" s="369">
        <f t="shared" si="0"/>
        <v>1.0085011793373624</v>
      </c>
      <c r="L62" s="295"/>
    </row>
    <row r="63" spans="1:12" ht="27" customHeight="1" x14ac:dyDescent="0.4">
      <c r="A63" s="307" t="s">
        <v>97</v>
      </c>
      <c r="B63" s="308">
        <v>1</v>
      </c>
      <c r="C63" s="504"/>
      <c r="D63" s="498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493" t="s">
        <v>99</v>
      </c>
      <c r="D64" s="496">
        <v>145.5</v>
      </c>
      <c r="E64" s="365">
        <v>1</v>
      </c>
      <c r="F64" s="366">
        <v>83632965</v>
      </c>
      <c r="G64" s="454">
        <f>IF(ISBLANK(F64),"-",(F64/$D$50*$D$47*$B$68)*($B$57/$D$64))</f>
        <v>59.13640264368626</v>
      </c>
      <c r="H64" s="373">
        <f t="shared" si="0"/>
        <v>0.98560671072810435</v>
      </c>
    </row>
    <row r="65" spans="1:8" ht="26.25" customHeight="1" x14ac:dyDescent="0.4">
      <c r="A65" s="307" t="s">
        <v>100</v>
      </c>
      <c r="B65" s="308">
        <v>1</v>
      </c>
      <c r="C65" s="494"/>
      <c r="D65" s="497"/>
      <c r="E65" s="368">
        <v>2</v>
      </c>
      <c r="F65" s="320">
        <v>84221916</v>
      </c>
      <c r="G65" s="455">
        <f>IF(ISBLANK(F65),"-",(F65/$D$50*$D$47*$B$68)*($B$57/$D$64))</f>
        <v>59.552846607778662</v>
      </c>
      <c r="H65" s="374">
        <f t="shared" si="0"/>
        <v>0.99254744346297774</v>
      </c>
    </row>
    <row r="66" spans="1:8" ht="26.25" customHeight="1" x14ac:dyDescent="0.4">
      <c r="A66" s="307" t="s">
        <v>101</v>
      </c>
      <c r="B66" s="308">
        <v>1</v>
      </c>
      <c r="C66" s="494"/>
      <c r="D66" s="497"/>
      <c r="E66" s="368">
        <v>3</v>
      </c>
      <c r="F66" s="320">
        <v>85104876</v>
      </c>
      <c r="G66" s="455">
        <f>IF(ISBLANK(F66),"-",(F66/$D$50*$D$47*$B$68)*($B$57/$D$64))</f>
        <v>60.177182694371666</v>
      </c>
      <c r="H66" s="374">
        <f t="shared" si="0"/>
        <v>1.0029530449061945</v>
      </c>
    </row>
    <row r="67" spans="1:8" ht="27" customHeight="1" x14ac:dyDescent="0.4">
      <c r="A67" s="307" t="s">
        <v>102</v>
      </c>
      <c r="B67" s="308">
        <v>1</v>
      </c>
      <c r="C67" s="504"/>
      <c r="D67" s="498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200</v>
      </c>
      <c r="C68" s="493" t="s">
        <v>104</v>
      </c>
      <c r="D68" s="496">
        <v>147.30000000000001</v>
      </c>
      <c r="E68" s="365">
        <v>1</v>
      </c>
      <c r="F68" s="366">
        <v>85280034</v>
      </c>
      <c r="G68" s="454">
        <f>IF(ISBLANK(F68),"-",(F68/$D$50*$D$47*$B$68)*($B$57/$D$68))</f>
        <v>59.564159735384052</v>
      </c>
      <c r="H68" s="369">
        <f t="shared" si="0"/>
        <v>0.99273599558973424</v>
      </c>
    </row>
    <row r="69" spans="1:8" ht="27" customHeight="1" x14ac:dyDescent="0.4">
      <c r="A69" s="355" t="s">
        <v>105</v>
      </c>
      <c r="B69" s="377">
        <f>(D47*B68)/B56*B57</f>
        <v>146.97750000000002</v>
      </c>
      <c r="C69" s="494"/>
      <c r="D69" s="497"/>
      <c r="E69" s="368">
        <v>2</v>
      </c>
      <c r="F69" s="320">
        <v>84939148</v>
      </c>
      <c r="G69" s="455">
        <f>IF(ISBLANK(F69),"-",(F69/$D$50*$D$47*$B$68)*($B$57/$D$68))</f>
        <v>59.326066629610246</v>
      </c>
      <c r="H69" s="369">
        <f t="shared" si="0"/>
        <v>0.98876777716017072</v>
      </c>
    </row>
    <row r="70" spans="1:8" ht="26.25" customHeight="1" x14ac:dyDescent="0.4">
      <c r="A70" s="499" t="s">
        <v>78</v>
      </c>
      <c r="B70" s="500"/>
      <c r="C70" s="494"/>
      <c r="D70" s="497"/>
      <c r="E70" s="368">
        <v>3</v>
      </c>
      <c r="F70" s="320">
        <v>84880944</v>
      </c>
      <c r="G70" s="455">
        <f>IF(ISBLANK(F70),"-",(F70/$D$50*$D$47*$B$68)*($B$57/$D$68))</f>
        <v>59.285413827416967</v>
      </c>
      <c r="H70" s="369">
        <f t="shared" si="0"/>
        <v>0.98809023045694944</v>
      </c>
    </row>
    <row r="71" spans="1:8" ht="27" customHeight="1" x14ac:dyDescent="0.4">
      <c r="A71" s="501"/>
      <c r="B71" s="502"/>
      <c r="C71" s="495"/>
      <c r="D71" s="498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59.724670598453308</v>
      </c>
      <c r="H72" s="382">
        <f>AVERAGE(H60:H71)</f>
        <v>0.99541117664088852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8.0475431642040469E-3</v>
      </c>
      <c r="H73" s="457">
        <f>STDEV(H60:H71)/H72</f>
        <v>8.0475431642040331E-3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106</v>
      </c>
      <c r="B76" s="387" t="s">
        <v>107</v>
      </c>
      <c r="C76" s="480" t="str">
        <f>B20</f>
        <v>ABACAVIR SULFATE &amp; LAMIVUDINE TABLETS</v>
      </c>
      <c r="D76" s="480"/>
      <c r="E76" s="388" t="s">
        <v>108</v>
      </c>
      <c r="F76" s="388"/>
      <c r="G76" s="389">
        <f>H72</f>
        <v>0.99541117664088852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3" t="str">
        <f>B26</f>
        <v>ABACAVIR</v>
      </c>
      <c r="C79" s="503"/>
    </row>
    <row r="80" spans="1:8" ht="26.25" customHeight="1" x14ac:dyDescent="0.4">
      <c r="A80" s="292" t="s">
        <v>48</v>
      </c>
      <c r="B80" s="503" t="str">
        <f>B27</f>
        <v>A12-3</v>
      </c>
      <c r="C80" s="503"/>
    </row>
    <row r="81" spans="1:12" ht="27" customHeight="1" x14ac:dyDescent="0.4">
      <c r="A81" s="292" t="s">
        <v>6</v>
      </c>
      <c r="B81" s="391">
        <f>B28</f>
        <v>99.5</v>
      </c>
    </row>
    <row r="82" spans="1:12" s="14" customFormat="1" ht="27" customHeight="1" x14ac:dyDescent="0.4">
      <c r="A82" s="292" t="s">
        <v>49</v>
      </c>
      <c r="B82" s="294">
        <v>0</v>
      </c>
      <c r="C82" s="482" t="s">
        <v>50</v>
      </c>
      <c r="D82" s="483"/>
      <c r="E82" s="483"/>
      <c r="F82" s="483"/>
      <c r="G82" s="484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99.5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572.66</v>
      </c>
      <c r="C84" s="485" t="s">
        <v>111</v>
      </c>
      <c r="D84" s="486"/>
      <c r="E84" s="486"/>
      <c r="F84" s="486"/>
      <c r="G84" s="486"/>
      <c r="H84" s="487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670.74</v>
      </c>
      <c r="C85" s="485" t="s">
        <v>112</v>
      </c>
      <c r="D85" s="486"/>
      <c r="E85" s="486"/>
      <c r="F85" s="486"/>
      <c r="G85" s="486"/>
      <c r="H85" s="487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0.8537734442555982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50</v>
      </c>
      <c r="D89" s="392" t="s">
        <v>59</v>
      </c>
      <c r="E89" s="393"/>
      <c r="F89" s="488" t="s">
        <v>60</v>
      </c>
      <c r="G89" s="489"/>
    </row>
    <row r="90" spans="1:12" ht="27" customHeight="1" x14ac:dyDescent="0.4">
      <c r="A90" s="307" t="s">
        <v>61</v>
      </c>
      <c r="B90" s="308">
        <v>5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50</v>
      </c>
      <c r="C91" s="396">
        <v>1</v>
      </c>
      <c r="D91" s="315">
        <v>35349390</v>
      </c>
      <c r="E91" s="316">
        <f>IF(ISBLANK(D91),"-",$D$101/$D$98*D91)</f>
        <v>46718054.441042282</v>
      </c>
      <c r="F91" s="315">
        <v>37408453</v>
      </c>
      <c r="G91" s="317">
        <f>IF(ISBLANK(F91),"-",$D$101/$F$98*F91)</f>
        <v>48047584.163461462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34669233</v>
      </c>
      <c r="E92" s="321">
        <f>IF(ISBLANK(D92),"-",$D$101/$D$98*D92)</f>
        <v>45819153.165674984</v>
      </c>
      <c r="F92" s="320">
        <v>36787270</v>
      </c>
      <c r="G92" s="322">
        <f>IF(ISBLANK(F92),"-",$D$101/$F$98*F92)</f>
        <v>47249733.942993604</v>
      </c>
      <c r="I92" s="490">
        <f>ABS((F96/D96*D95)-F95)/D95</f>
        <v>2.8554007823510731E-2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35557839</v>
      </c>
      <c r="E93" s="321">
        <f>IF(ISBLANK(D93),"-",$D$101/$D$98*D93)</f>
        <v>46993542.412126958</v>
      </c>
      <c r="F93" s="320">
        <v>37453496</v>
      </c>
      <c r="G93" s="322">
        <f>IF(ISBLANK(F93),"-",$D$101/$F$98*F93)</f>
        <v>48105437.593900695</v>
      </c>
      <c r="I93" s="490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35192154</v>
      </c>
      <c r="E95" s="331">
        <f>AVERAGE(E91:E94)</f>
        <v>46510250.006281406</v>
      </c>
      <c r="F95" s="401">
        <f>AVERAGE(F91:F94)</f>
        <v>37216406.333333336</v>
      </c>
      <c r="G95" s="402">
        <f>AVERAGE(G91:G94)</f>
        <v>47800918.566785254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29.69</v>
      </c>
      <c r="E96" s="323"/>
      <c r="F96" s="335">
        <v>30.55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25.348533559948713</v>
      </c>
      <c r="E97" s="338"/>
      <c r="F97" s="337">
        <f>F96*$B$87</f>
        <v>26.082778722008527</v>
      </c>
    </row>
    <row r="98" spans="1:10" ht="19.5" customHeight="1" x14ac:dyDescent="0.3">
      <c r="A98" s="307" t="s">
        <v>76</v>
      </c>
      <c r="B98" s="407">
        <f>(B97/B96)*(B95/B94)*(B93/B92)*(B91/B90)*B89</f>
        <v>500</v>
      </c>
      <c r="C98" s="405" t="s">
        <v>115</v>
      </c>
      <c r="D98" s="408">
        <f>D97*$B$83/100</f>
        <v>25.22179089214897</v>
      </c>
      <c r="E98" s="341"/>
      <c r="F98" s="340">
        <f>F97*$B$83/100</f>
        <v>25.952364828398487</v>
      </c>
    </row>
    <row r="99" spans="1:10" ht="19.5" customHeight="1" x14ac:dyDescent="0.3">
      <c r="A99" s="476" t="s">
        <v>78</v>
      </c>
      <c r="B99" s="491"/>
      <c r="C99" s="405" t="s">
        <v>116</v>
      </c>
      <c r="D99" s="409">
        <f>D98/$B$98</f>
        <v>5.044358178429794E-2</v>
      </c>
      <c r="E99" s="341"/>
      <c r="F99" s="344">
        <f>F98/$B$98</f>
        <v>5.1904729656796975E-2</v>
      </c>
      <c r="G99" s="410"/>
      <c r="H99" s="333"/>
    </row>
    <row r="100" spans="1:10" ht="19.5" customHeight="1" x14ac:dyDescent="0.3">
      <c r="A100" s="478"/>
      <c r="B100" s="492"/>
      <c r="C100" s="405" t="s">
        <v>80</v>
      </c>
      <c r="D100" s="411">
        <f>$B$56/$B$116</f>
        <v>6.6666666666666666E-2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33.333333333333336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39.042363706213116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47155584.286533333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1.8268266700376647E-2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42813441</v>
      </c>
      <c r="E108" s="458">
        <f t="shared" ref="E108:E113" si="1">IF(ISBLANK(D108),"-",D108/$D$103*$D$100*$B$116)</f>
        <v>54.475127365426339</v>
      </c>
      <c r="F108" s="428">
        <f t="shared" ref="F108:F113" si="2">IF(ISBLANK(D108), "-", E108/$B$56)</f>
        <v>0.90791878942377235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42021196</v>
      </c>
      <c r="E109" s="459">
        <f t="shared" si="1"/>
        <v>53.467087687428425</v>
      </c>
      <c r="F109" s="429">
        <f t="shared" si="2"/>
        <v>0.89111812812380709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41874704</v>
      </c>
      <c r="E110" s="459">
        <f t="shared" si="1"/>
        <v>53.28069364453858</v>
      </c>
      <c r="F110" s="429">
        <f t="shared" si="2"/>
        <v>0.88801156074230969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42223390</v>
      </c>
      <c r="E111" s="459">
        <f t="shared" si="1"/>
        <v>53.724356050943641</v>
      </c>
      <c r="F111" s="429">
        <f t="shared" si="2"/>
        <v>0.895405934182394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42288910</v>
      </c>
      <c r="E112" s="459">
        <f t="shared" si="1"/>
        <v>53.807722635399742</v>
      </c>
      <c r="F112" s="429">
        <f t="shared" si="2"/>
        <v>0.89679537725666236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42029136</v>
      </c>
      <c r="E113" s="460">
        <f t="shared" si="1"/>
        <v>53.477190414543536</v>
      </c>
      <c r="F113" s="432">
        <f t="shared" si="2"/>
        <v>0.89128650690905897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53.705362966380044</v>
      </c>
      <c r="F115" s="435">
        <f>AVERAGE(F108:F113)</f>
        <v>0.89508938277300054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7.8671132264135704E-3</v>
      </c>
      <c r="F116" s="437">
        <f>STDEV(F108:F113)/F115</f>
        <v>7.8671132264135791E-3</v>
      </c>
      <c r="I116" s="281"/>
    </row>
    <row r="117" spans="1:10" ht="27" customHeight="1" x14ac:dyDescent="0.4">
      <c r="A117" s="476" t="s">
        <v>78</v>
      </c>
      <c r="B117" s="477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78"/>
      <c r="B118" s="479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480" t="str">
        <f>B20</f>
        <v>ABACAVIR SULFATE &amp; LAMIVUDINE TABLETS</v>
      </c>
      <c r="D120" s="480"/>
      <c r="E120" s="388" t="s">
        <v>124</v>
      </c>
      <c r="F120" s="388"/>
      <c r="G120" s="389">
        <f>F115</f>
        <v>0.89508938277300054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81" t="s">
        <v>26</v>
      </c>
      <c r="C122" s="481"/>
      <c r="E122" s="394" t="s">
        <v>27</v>
      </c>
      <c r="F122" s="443"/>
      <c r="G122" s="481" t="s">
        <v>28</v>
      </c>
      <c r="H122" s="481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C49" sqref="C49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131</v>
      </c>
      <c r="D17" s="9"/>
      <c r="E17" s="72"/>
    </row>
    <row r="18" spans="1:5" ht="16.5" customHeight="1" x14ac:dyDescent="0.3">
      <c r="A18" s="75" t="s">
        <v>4</v>
      </c>
      <c r="B18" s="8" t="s">
        <v>7</v>
      </c>
      <c r="C18" s="72"/>
      <c r="D18" s="72"/>
      <c r="E18" s="72"/>
    </row>
    <row r="19" spans="1:5" ht="16.5" customHeight="1" x14ac:dyDescent="0.3">
      <c r="A19" s="75" t="s">
        <v>6</v>
      </c>
      <c r="B19" s="12">
        <v>84.06</v>
      </c>
      <c r="C19" s="72"/>
      <c r="D19" s="72"/>
      <c r="E19" s="72"/>
    </row>
    <row r="20" spans="1:5" ht="16.5" customHeight="1" x14ac:dyDescent="0.3">
      <c r="A20" s="8" t="s">
        <v>8</v>
      </c>
      <c r="B20" s="12">
        <v>29.69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B20/50*5/10</f>
        <v>0.2969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134010614</v>
      </c>
      <c r="C24" s="18">
        <v>7926.23</v>
      </c>
      <c r="D24" s="19">
        <v>1.1299999999999999</v>
      </c>
      <c r="E24" s="20">
        <v>2.39</v>
      </c>
    </row>
    <row r="25" spans="1:5" ht="16.5" customHeight="1" x14ac:dyDescent="0.3">
      <c r="A25" s="17">
        <v>2</v>
      </c>
      <c r="B25" s="18">
        <v>133948456</v>
      </c>
      <c r="C25" s="18">
        <v>7909.38</v>
      </c>
      <c r="D25" s="19">
        <v>1.1299999999999999</v>
      </c>
      <c r="E25" s="19">
        <v>2.39</v>
      </c>
    </row>
    <row r="26" spans="1:5" ht="16.5" customHeight="1" x14ac:dyDescent="0.3">
      <c r="A26" s="17">
        <v>3</v>
      </c>
      <c r="B26" s="18">
        <v>133761271</v>
      </c>
      <c r="C26" s="18">
        <v>7933.97</v>
      </c>
      <c r="D26" s="19">
        <v>1.1299999999999999</v>
      </c>
      <c r="E26" s="19">
        <v>2.39</v>
      </c>
    </row>
    <row r="27" spans="1:5" ht="16.5" customHeight="1" x14ac:dyDescent="0.3">
      <c r="A27" s="17">
        <v>4</v>
      </c>
      <c r="B27" s="18">
        <v>133205227</v>
      </c>
      <c r="C27" s="18">
        <v>7906.23</v>
      </c>
      <c r="D27" s="19">
        <v>1.1299999999999999</v>
      </c>
      <c r="E27" s="19">
        <v>2.39</v>
      </c>
    </row>
    <row r="28" spans="1:5" ht="16.5" customHeight="1" x14ac:dyDescent="0.3">
      <c r="A28" s="17">
        <v>5</v>
      </c>
      <c r="B28" s="18">
        <v>133254796</v>
      </c>
      <c r="C28" s="18">
        <v>7922.99</v>
      </c>
      <c r="D28" s="19">
        <v>1.1299999999999999</v>
      </c>
      <c r="E28" s="19">
        <v>2.39</v>
      </c>
    </row>
    <row r="29" spans="1:5" ht="16.5" customHeight="1" x14ac:dyDescent="0.3">
      <c r="A29" s="17">
        <v>6</v>
      </c>
      <c r="B29" s="21">
        <v>133186167</v>
      </c>
      <c r="C29" s="21">
        <v>7917.29</v>
      </c>
      <c r="D29" s="22">
        <v>1.1299999999999999</v>
      </c>
      <c r="E29" s="22">
        <v>2.39</v>
      </c>
    </row>
    <row r="30" spans="1:5" ht="16.5" customHeight="1" x14ac:dyDescent="0.3">
      <c r="A30" s="23" t="s">
        <v>18</v>
      </c>
      <c r="B30" s="24">
        <f>AVERAGE(B24:B29)</f>
        <v>133561088.5</v>
      </c>
      <c r="C30" s="25">
        <f>AVERAGE(C24:C29)</f>
        <v>7919.3483333333343</v>
      </c>
      <c r="D30" s="26">
        <f>AVERAGE(D24:D29)</f>
        <v>1.1299999999999999</v>
      </c>
      <c r="E30" s="26">
        <f>AVERAGE(E24:E29)</f>
        <v>2.39</v>
      </c>
    </row>
    <row r="31" spans="1:5" ht="16.5" customHeight="1" x14ac:dyDescent="0.3">
      <c r="A31" s="27" t="s">
        <v>19</v>
      </c>
      <c r="B31" s="28">
        <f>(STDEV(B24:B29)/B30)</f>
        <v>2.905999363180816E-3</v>
      </c>
      <c r="C31" s="29"/>
      <c r="D31" s="29"/>
      <c r="E31" s="30"/>
    </row>
    <row r="32" spans="1:5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126</v>
      </c>
      <c r="C39" s="72"/>
      <c r="D39" s="72"/>
      <c r="E39" s="72"/>
    </row>
    <row r="40" spans="1:5" ht="16.5" customHeight="1" x14ac:dyDescent="0.3">
      <c r="A40" s="75" t="s">
        <v>6</v>
      </c>
      <c r="B40" s="12" t="s">
        <v>7</v>
      </c>
      <c r="C40" s="72"/>
      <c r="D40" s="72"/>
      <c r="E40" s="72"/>
    </row>
    <row r="41" spans="1:5" ht="16.5" customHeight="1" x14ac:dyDescent="0.3">
      <c r="A41" s="8" t="s">
        <v>8</v>
      </c>
      <c r="B41" s="12">
        <v>84.06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0.2969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134010614</v>
      </c>
      <c r="C45" s="18">
        <v>7926.23</v>
      </c>
      <c r="D45" s="19">
        <v>1.1299999999999999</v>
      </c>
      <c r="E45" s="20">
        <v>2.39</v>
      </c>
    </row>
    <row r="46" spans="1:5" ht="16.5" customHeight="1" x14ac:dyDescent="0.3">
      <c r="A46" s="17">
        <v>2</v>
      </c>
      <c r="B46" s="18">
        <v>133948456</v>
      </c>
      <c r="C46" s="18">
        <v>7909.38</v>
      </c>
      <c r="D46" s="19">
        <v>1.1299999999999999</v>
      </c>
      <c r="E46" s="19">
        <v>2.39</v>
      </c>
    </row>
    <row r="47" spans="1:5" ht="16.5" customHeight="1" x14ac:dyDescent="0.3">
      <c r="A47" s="17">
        <v>3</v>
      </c>
      <c r="B47" s="18">
        <v>133761271</v>
      </c>
      <c r="C47" s="18">
        <v>7933.97</v>
      </c>
      <c r="D47" s="19">
        <v>1.1299999999999999</v>
      </c>
      <c r="E47" s="19">
        <v>2.39</v>
      </c>
    </row>
    <row r="48" spans="1:5" ht="16.5" customHeight="1" x14ac:dyDescent="0.3">
      <c r="A48" s="17">
        <v>4</v>
      </c>
      <c r="B48" s="18">
        <v>133205227</v>
      </c>
      <c r="C48" s="18">
        <v>7906.23</v>
      </c>
      <c r="D48" s="19">
        <v>1.1299999999999999</v>
      </c>
      <c r="E48" s="19">
        <v>2.39</v>
      </c>
    </row>
    <row r="49" spans="1:7" ht="16.5" customHeight="1" x14ac:dyDescent="0.3">
      <c r="A49" s="17">
        <v>5</v>
      </c>
      <c r="B49" s="18">
        <v>133254796</v>
      </c>
      <c r="C49" s="18">
        <v>7922.99</v>
      </c>
      <c r="D49" s="19">
        <v>1.1299999999999999</v>
      </c>
      <c r="E49" s="19">
        <v>2.39</v>
      </c>
    </row>
    <row r="50" spans="1:7" ht="16.5" customHeight="1" x14ac:dyDescent="0.3">
      <c r="A50" s="17">
        <v>6</v>
      </c>
      <c r="B50" s="21">
        <v>133186167</v>
      </c>
      <c r="C50" s="21">
        <v>7917.29</v>
      </c>
      <c r="D50" s="22">
        <v>1.1299999999999999</v>
      </c>
      <c r="E50" s="22">
        <v>2.39</v>
      </c>
    </row>
    <row r="51" spans="1:7" ht="16.5" customHeight="1" x14ac:dyDescent="0.3">
      <c r="A51" s="23" t="s">
        <v>18</v>
      </c>
      <c r="B51" s="24">
        <f>AVERAGE(B45:B50)</f>
        <v>133561088.5</v>
      </c>
      <c r="C51" s="25">
        <f>AVERAGE(C45:C50)</f>
        <v>7919.3483333333343</v>
      </c>
      <c r="D51" s="26">
        <f>AVERAGE(D45:D50)</f>
        <v>1.1299999999999999</v>
      </c>
      <c r="E51" s="26">
        <f>AVERAGE(E45:E50)</f>
        <v>2.39</v>
      </c>
    </row>
    <row r="52" spans="1:7" ht="16.5" customHeight="1" x14ac:dyDescent="0.3">
      <c r="A52" s="27" t="s">
        <v>19</v>
      </c>
      <c r="B52" s="28">
        <f>(STDEV(B45:B50)/B51)</f>
        <v>2.905999363180816E-3</v>
      </c>
      <c r="C52" s="29"/>
      <c r="D52" s="29"/>
      <c r="E52" s="30"/>
    </row>
    <row r="53" spans="1:7" s="410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ABACAVIR</vt:lpstr>
      <vt:lpstr>Uniformity</vt:lpstr>
      <vt:lpstr>Lamivudine</vt:lpstr>
      <vt:lpstr>Abacavir</vt:lpstr>
      <vt:lpstr>SST LAMIVUDINE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2016-07-21T06:34:19Z</cp:lastPrinted>
  <dcterms:created xsi:type="dcterms:W3CDTF">2005-07-05T10:19:27Z</dcterms:created>
  <dcterms:modified xsi:type="dcterms:W3CDTF">2016-07-20T04:53:49Z</dcterms:modified>
</cp:coreProperties>
</file>