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Abacavir" sheetId="8" r:id="rId1"/>
    <sheet name="Lamivudine" sheetId="7" r:id="rId2"/>
    <sheet name="SST LAMIVUDINE" sheetId="6" r:id="rId3"/>
    <sheet name="SST ABACAVIR" sheetId="5" r:id="rId4"/>
    <sheet name="Uniformity" sheetId="2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8" l="1"/>
  <c r="B57" i="7"/>
  <c r="C120" i="8" l="1"/>
  <c r="B116" i="8"/>
  <c r="D100" i="8"/>
  <c r="B98" i="8"/>
  <c r="D101" i="8" s="1"/>
  <c r="F95" i="8"/>
  <c r="I92" i="8" s="1"/>
  <c r="D95" i="8"/>
  <c r="G94" i="8"/>
  <c r="E94" i="8"/>
  <c r="B87" i="8"/>
  <c r="F97" i="8" s="1"/>
  <c r="F98" i="8" s="1"/>
  <c r="F99" i="8" s="1"/>
  <c r="B81" i="8"/>
  <c r="B83" i="8" s="1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F44" i="8"/>
  <c r="F45" i="8" s="1"/>
  <c r="F46" i="8" s="1"/>
  <c r="F42" i="8"/>
  <c r="I39" i="8" s="1"/>
  <c r="D42" i="8"/>
  <c r="G41" i="8"/>
  <c r="E41" i="8"/>
  <c r="B34" i="8"/>
  <c r="D44" i="8" s="1"/>
  <c r="D45" i="8" s="1"/>
  <c r="D46" i="8" s="1"/>
  <c r="B30" i="8"/>
  <c r="C120" i="7"/>
  <c r="B116" i="7"/>
  <c r="D100" i="7" s="1"/>
  <c r="D101" i="7" s="1"/>
  <c r="B98" i="7"/>
  <c r="F97" i="7"/>
  <c r="D97" i="7"/>
  <c r="F95" i="7"/>
  <c r="D95" i="7"/>
  <c r="G94" i="7"/>
  <c r="E94" i="7"/>
  <c r="I92" i="7"/>
  <c r="B87" i="7"/>
  <c r="B81" i="7"/>
  <c r="B83" i="7" s="1"/>
  <c r="B80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2" i="7"/>
  <c r="I39" i="7" s="1"/>
  <c r="D42" i="7"/>
  <c r="G41" i="7"/>
  <c r="E41" i="7"/>
  <c r="B34" i="7"/>
  <c r="D44" i="7" s="1"/>
  <c r="D45" i="7" s="1"/>
  <c r="D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69" i="8" l="1"/>
  <c r="D49" i="8"/>
  <c r="E40" i="8"/>
  <c r="G38" i="8"/>
  <c r="G39" i="8"/>
  <c r="G40" i="8"/>
  <c r="E38" i="8"/>
  <c r="E39" i="8"/>
  <c r="D102" i="8"/>
  <c r="G93" i="8"/>
  <c r="G92" i="8"/>
  <c r="E93" i="8"/>
  <c r="G91" i="8"/>
  <c r="G95" i="8" s="1"/>
  <c r="D97" i="8"/>
  <c r="D98" i="8" s="1"/>
  <c r="D99" i="8" s="1"/>
  <c r="D49" i="7"/>
  <c r="E40" i="7"/>
  <c r="E38" i="7"/>
  <c r="E39" i="7"/>
  <c r="E92" i="7"/>
  <c r="E93" i="7"/>
  <c r="G92" i="7"/>
  <c r="D102" i="7"/>
  <c r="G91" i="7"/>
  <c r="E91" i="7"/>
  <c r="D98" i="7"/>
  <c r="D99" i="7" s="1"/>
  <c r="F98" i="7"/>
  <c r="F99" i="7" s="1"/>
  <c r="F44" i="7"/>
  <c r="F45" i="7" s="1"/>
  <c r="F46" i="7" s="1"/>
  <c r="C50" i="2"/>
  <c r="D26" i="2"/>
  <c r="D30" i="2"/>
  <c r="D34" i="2"/>
  <c r="D38" i="2"/>
  <c r="D42" i="2"/>
  <c r="B49" i="2"/>
  <c r="G42" i="8" l="1"/>
  <c r="E91" i="8"/>
  <c r="E92" i="8"/>
  <c r="D52" i="8"/>
  <c r="E42" i="8"/>
  <c r="D50" i="8"/>
  <c r="E95" i="7"/>
  <c r="D105" i="7"/>
  <c r="G95" i="7"/>
  <c r="G93" i="7"/>
  <c r="D103" i="7" s="1"/>
  <c r="G39" i="7"/>
  <c r="D50" i="7" s="1"/>
  <c r="G38" i="7"/>
  <c r="E42" i="7"/>
  <c r="D52" i="7"/>
  <c r="G40" i="7"/>
  <c r="G68" i="8" l="1"/>
  <c r="H68" i="8" s="1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E95" i="8"/>
  <c r="D105" i="8"/>
  <c r="D103" i="8"/>
  <c r="D51" i="7"/>
  <c r="G60" i="7"/>
  <c r="G70" i="7"/>
  <c r="H70" i="7" s="1"/>
  <c r="G65" i="7"/>
  <c r="H65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E112" i="7"/>
  <c r="F112" i="7" s="1"/>
  <c r="E113" i="7"/>
  <c r="F113" i="7" s="1"/>
  <c r="D104" i="7"/>
  <c r="E110" i="7"/>
  <c r="F110" i="7" s="1"/>
  <c r="E108" i="7"/>
  <c r="E111" i="7"/>
  <c r="F111" i="7" s="1"/>
  <c r="E109" i="7"/>
  <c r="F109" i="7" s="1"/>
  <c r="G42" i="7"/>
  <c r="H60" i="8" l="1"/>
  <c r="G72" i="8"/>
  <c r="G73" i="8" s="1"/>
  <c r="G74" i="8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E115" i="7"/>
  <c r="E116" i="7" s="1"/>
  <c r="E117" i="7"/>
  <c r="F108" i="7"/>
  <c r="G74" i="7"/>
  <c r="G72" i="7"/>
  <c r="G73" i="7" s="1"/>
  <c r="H60" i="7"/>
  <c r="E115" i="8" l="1"/>
  <c r="E116" i="8" s="1"/>
  <c r="E117" i="8"/>
  <c r="F108" i="8"/>
  <c r="H74" i="8"/>
  <c r="H72" i="8"/>
  <c r="F115" i="7"/>
  <c r="F117" i="7"/>
  <c r="H74" i="7"/>
  <c r="H72" i="7"/>
  <c r="F117" i="8" l="1"/>
  <c r="F115" i="8"/>
  <c r="G76" i="8"/>
  <c r="H73" i="8"/>
  <c r="G120" i="7"/>
  <c r="F116" i="7"/>
  <c r="H73" i="7"/>
  <c r="G76" i="7"/>
  <c r="G120" i="8" l="1"/>
  <c r="F116" i="8"/>
</calcChain>
</file>

<file path=xl/sharedStrings.xml><?xml version="1.0" encoding="utf-8"?>
<sst xmlns="http://schemas.openxmlformats.org/spreadsheetml/2006/main" count="443" uniqueCount="133">
  <si>
    <t>HPLC System Suitability Report</t>
  </si>
  <si>
    <t>Analysis Data</t>
  </si>
  <si>
    <t>Assay</t>
  </si>
  <si>
    <t>Sample(s)</t>
  </si>
  <si>
    <t>Reference Substance:</t>
  </si>
  <si>
    <t>ABACAVIR SULFATE 60 MG &amp; LAMIVUDINE 30 MG TABLETS</t>
  </si>
  <si>
    <t>% age Purity:</t>
  </si>
  <si>
    <t>NDQD2016061028</t>
  </si>
  <si>
    <t>Weight (mg):</t>
  </si>
  <si>
    <t>ABACAVIR SULFATE &amp; LAMIVUDINE TABLETS</t>
  </si>
  <si>
    <t>Standard Conc (mg/mL):</t>
  </si>
  <si>
    <t>ABACAVIR SULFATE 60mg &amp; LAMIVUDINE 30mg TABLETS</t>
  </si>
  <si>
    <t>2016-06-10 12:37:33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</si>
  <si>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</si>
  <si>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</si>
  <si>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</si>
  <si>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</si>
  <si>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</si>
  <si>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</si>
  <si>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</si>
  <si>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</si>
  <si>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</si>
  <si>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</si>
  <si>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</si>
  <si>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</si>
  <si>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</si>
  <si>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</si>
  <si>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</si>
  <si>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</si>
  <si>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</si>
  <si>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</si>
  <si>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</si>
  <si>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</si>
  <si>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</si>
  <si>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</si>
  <si>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</si>
  <si>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</si>
  <si>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</si>
  <si>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</si>
  <si>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</si>
  <si>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</si>
  <si>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</si>
  <si>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</si>
  <si>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</si>
  <si>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</si>
  <si>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</si>
  <si>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</si>
  <si>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</si>
  <si>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</si>
  <si>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</si>
  <si>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</si>
  <si>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</si>
  <si>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</si>
  <si>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</si>
  <si>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</si>
  <si>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</si>
  <si>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</si>
  <si>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</si>
  <si>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</si>
  <si>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</si>
  <si>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</si>
  <si>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</si>
  <si>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</si>
  <si>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</si>
  <si>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</si>
  <si>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</si>
  <si>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</si>
  <si>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</si>
  <si>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</si>
  <si>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</si>
  <si>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</si>
  <si>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</si>
  <si>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</si>
  <si>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</si>
  <si>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</si>
  <si>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</si>
  <si>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</si>
  <si>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</si>
  <si>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</si>
  <si>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</si>
  <si>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</si>
  <si>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</si>
  <si>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</si>
  <si>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</si>
  <si>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</si>
  <si>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</si>
  <si>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</si>
  <si>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</si>
  <si>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</si>
  <si>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</si>
  <si>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</si>
  <si>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</si>
  <si>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</si>
  <si>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</si>
  <si>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</si>
  <si>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</si>
  <si>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</si>
  <si>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</si>
  <si>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</si>
  <si>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</si>
  <si>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</si>
  <si>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</si>
  <si>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</si>
  <si>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</si>
  <si>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</si>
  <si>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</si>
  <si>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</si>
  <si>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</si>
  <si>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</si>
  <si>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</si>
  <si>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</si>
  <si>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</si>
  <si>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</si>
  <si>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</si>
  <si>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</si>
  <si>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</si>
  <si>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</si>
  <si>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</si>
  <si>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</si>
  <si>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</si>
  <si>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</si>
  <si>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</si>
  <si>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</si>
  <si>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</si>
  <si>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</si>
  <si>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60 MG </t>
  </si>
  <si>
    <t>2016-06-10 12:31:09</t>
  </si>
  <si>
    <t>LAMIVUDINE</t>
  </si>
  <si>
    <t>LAMIVUDINE 30MG</t>
  </si>
  <si>
    <t>Lamivudine</t>
  </si>
  <si>
    <t>L3-7</t>
  </si>
  <si>
    <t>ABACAVIR</t>
  </si>
  <si>
    <t>A12-3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</si>
</sst>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2" borderId="0" xfId="4" applyFont="1" applyFill="1"/>
    <xf numFmtId="0" fontId="11" fillId="2" borderId="0" xfId="4" applyFont="1" applyFill="1"/>
    <xf numFmtId="0" fontId="24" fillId="2" borderId="0" xfId="4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4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68" fontId="14" fillId="3" borderId="0" xfId="4" applyNumberFormat="1" applyFont="1" applyFill="1" applyAlignment="1" applyProtection="1">
      <alignment horizontal="center"/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166" fontId="11" fillId="6" borderId="27" xfId="4" applyNumberFormat="1" applyFont="1" applyFill="1" applyBorder="1" applyAlignment="1">
      <alignment horizontal="center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10" fontId="15" fillId="2" borderId="14" xfId="4" applyNumberFormat="1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10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12" fillId="2" borderId="47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 applyProtection="1">
      <alignment horizontal="center" vertical="center"/>
      <protection locked="0"/>
    </xf>
    <xf numFmtId="2" fontId="13" fillId="3" borderId="14" xfId="4" applyNumberFormat="1" applyFont="1" applyFill="1" applyBorder="1" applyAlignment="1" applyProtection="1">
      <alignment horizontal="center" vertical="center"/>
      <protection locked="0"/>
    </xf>
    <xf numFmtId="2" fontId="13" fillId="3" borderId="15" xfId="4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40" xfId="4" applyFont="1" applyFill="1" applyBorder="1" applyAlignment="1">
      <alignment horizontal="center"/>
    </xf>
    <xf numFmtId="0" fontId="14" fillId="3" borderId="0" xfId="4" applyFont="1" applyFill="1" applyAlignment="1" applyProtection="1">
      <alignment horizontal="left" wrapText="1"/>
      <protection locked="0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5" zoomScale="46" zoomScaleNormal="40" zoomScalePageLayoutView="46" workbookViewId="0">
      <selection activeCell="B58" sqref="B58"/>
    </sheetView>
  </sheetViews>
  <sheetFormatPr defaultColWidth="9.140625" defaultRowHeight="13.5" x14ac:dyDescent="0.25"/>
  <cols>
    <col min="1" max="1" width="55.42578125" style="302" customWidth="1"/>
    <col min="2" max="2" width="33.7109375" style="302" customWidth="1"/>
    <col min="3" max="3" width="42.28515625" style="302" customWidth="1"/>
    <col min="4" max="4" width="30.5703125" style="302" customWidth="1"/>
    <col min="5" max="5" width="39.85546875" style="302" customWidth="1"/>
    <col min="6" max="6" width="30.7109375" style="302" customWidth="1"/>
    <col min="7" max="7" width="39.85546875" style="302" customWidth="1"/>
    <col min="8" max="8" width="30" style="302" customWidth="1"/>
    <col min="9" max="9" width="30.28515625" style="302" hidden="1" customWidth="1"/>
    <col min="10" max="10" width="30.42578125" style="302" customWidth="1"/>
    <col min="11" max="11" width="21.28515625" style="302" customWidth="1"/>
    <col min="12" max="12" width="9.140625" style="302"/>
    <col min="13" max="16384" width="9.140625" style="304"/>
  </cols>
  <sheetData>
    <row r="1" spans="1:9" ht="18.75" customHeight="1" x14ac:dyDescent="0.25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thickBot="1" x14ac:dyDescent="0.35">
      <c r="A15" s="303"/>
    </row>
    <row r="16" spans="1:9" ht="19.5" customHeight="1" thickBot="1" x14ac:dyDescent="0.35">
      <c r="A16" s="503" t="s">
        <v>31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47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305" t="s">
        <v>33</v>
      </c>
      <c r="B18" s="499" t="s">
        <v>5</v>
      </c>
      <c r="C18" s="499"/>
      <c r="D18" s="306"/>
      <c r="E18" s="307"/>
      <c r="F18" s="308"/>
      <c r="G18" s="308"/>
      <c r="H18" s="308"/>
    </row>
    <row r="19" spans="1:14" ht="26.25" customHeight="1" x14ac:dyDescent="0.4">
      <c r="A19" s="305" t="s">
        <v>34</v>
      </c>
      <c r="B19" s="309" t="s">
        <v>7</v>
      </c>
      <c r="C19" s="308">
        <v>29</v>
      </c>
      <c r="D19" s="308"/>
      <c r="E19" s="308"/>
      <c r="F19" s="308"/>
      <c r="G19" s="308"/>
      <c r="H19" s="308"/>
    </row>
    <row r="20" spans="1:14" ht="26.25" customHeight="1" x14ac:dyDescent="0.4">
      <c r="A20" s="305" t="s">
        <v>35</v>
      </c>
      <c r="B20" s="498" t="s">
        <v>9</v>
      </c>
      <c r="C20" s="498"/>
      <c r="D20" s="308"/>
      <c r="E20" s="308"/>
      <c r="F20" s="308"/>
      <c r="G20" s="308"/>
      <c r="H20" s="308"/>
    </row>
    <row r="21" spans="1:14" ht="26.25" customHeight="1" x14ac:dyDescent="0.4">
      <c r="A21" s="305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310"/>
    </row>
    <row r="22" spans="1:14" ht="26.25" customHeight="1" x14ac:dyDescent="0.4">
      <c r="A22" s="305" t="s">
        <v>37</v>
      </c>
      <c r="B22" s="311" t="s">
        <v>126</v>
      </c>
      <c r="C22" s="308"/>
      <c r="D22" s="308"/>
      <c r="E22" s="308"/>
      <c r="F22" s="308"/>
      <c r="G22" s="308"/>
      <c r="H22" s="308"/>
    </row>
    <row r="23" spans="1:14" ht="26.25" customHeight="1" x14ac:dyDescent="0.4">
      <c r="A23" s="305" t="s">
        <v>38</v>
      </c>
      <c r="B23" s="311"/>
      <c r="C23" s="308"/>
      <c r="D23" s="308"/>
      <c r="E23" s="308"/>
      <c r="F23" s="308"/>
      <c r="G23" s="308"/>
      <c r="H23" s="308"/>
    </row>
    <row r="24" spans="1:14" ht="18.75" x14ac:dyDescent="0.3">
      <c r="A24" s="305"/>
      <c r="B24" s="312"/>
    </row>
    <row r="25" spans="1:14" ht="18.75" x14ac:dyDescent="0.3">
      <c r="A25" s="313" t="s">
        <v>1</v>
      </c>
      <c r="B25" s="312"/>
    </row>
    <row r="26" spans="1:14" ht="26.25" customHeight="1" x14ac:dyDescent="0.4">
      <c r="A26" s="314" t="s">
        <v>4</v>
      </c>
      <c r="B26" s="499" t="s">
        <v>131</v>
      </c>
      <c r="C26" s="499"/>
    </row>
    <row r="27" spans="1:14" ht="26.25" customHeight="1" x14ac:dyDescent="0.4">
      <c r="A27" s="315" t="s">
        <v>48</v>
      </c>
      <c r="B27" s="500" t="s">
        <v>132</v>
      </c>
      <c r="C27" s="500"/>
    </row>
    <row r="28" spans="1:14" ht="27" customHeight="1" thickBot="1" x14ac:dyDescent="0.45">
      <c r="A28" s="315" t="s">
        <v>6</v>
      </c>
      <c r="B28" s="316">
        <v>99.5</v>
      </c>
    </row>
    <row r="29" spans="1:14" s="318" customFormat="1" ht="27" customHeight="1" thickBot="1" x14ac:dyDescent="0.45">
      <c r="A29" s="315" t="s">
        <v>49</v>
      </c>
      <c r="B29" s="317">
        <v>0</v>
      </c>
      <c r="C29" s="478" t="s">
        <v>50</v>
      </c>
      <c r="D29" s="479"/>
      <c r="E29" s="479"/>
      <c r="F29" s="479"/>
      <c r="G29" s="480"/>
      <c r="I29" s="319"/>
      <c r="J29" s="319"/>
      <c r="K29" s="319"/>
      <c r="L29" s="319"/>
    </row>
    <row r="30" spans="1:14" s="318" customFormat="1" ht="19.5" customHeight="1" thickBot="1" x14ac:dyDescent="0.35">
      <c r="A30" s="315" t="s">
        <v>51</v>
      </c>
      <c r="B30" s="320">
        <f>B28-B29</f>
        <v>99.5</v>
      </c>
      <c r="C30" s="321"/>
      <c r="D30" s="321"/>
      <c r="E30" s="321"/>
      <c r="F30" s="321"/>
      <c r="G30" s="322"/>
      <c r="I30" s="319"/>
      <c r="J30" s="319"/>
      <c r="K30" s="319"/>
      <c r="L30" s="319"/>
    </row>
    <row r="31" spans="1:14" s="318" customFormat="1" ht="27" customHeight="1" thickBot="1" x14ac:dyDescent="0.45">
      <c r="A31" s="315" t="s">
        <v>52</v>
      </c>
      <c r="B31" s="323">
        <v>572.66</v>
      </c>
      <c r="C31" s="481" t="s">
        <v>53</v>
      </c>
      <c r="D31" s="482"/>
      <c r="E31" s="482"/>
      <c r="F31" s="482"/>
      <c r="G31" s="482"/>
      <c r="H31" s="483"/>
      <c r="I31" s="319"/>
      <c r="J31" s="319"/>
      <c r="K31" s="319"/>
      <c r="L31" s="319"/>
    </row>
    <row r="32" spans="1:14" s="318" customFormat="1" ht="27" customHeight="1" thickBot="1" x14ac:dyDescent="0.45">
      <c r="A32" s="315" t="s">
        <v>54</v>
      </c>
      <c r="B32" s="323">
        <v>670.74</v>
      </c>
      <c r="C32" s="481" t="s">
        <v>55</v>
      </c>
      <c r="D32" s="482"/>
      <c r="E32" s="482"/>
      <c r="F32" s="482"/>
      <c r="G32" s="482"/>
      <c r="H32" s="483"/>
      <c r="I32" s="319"/>
      <c r="J32" s="319"/>
      <c r="K32" s="319"/>
      <c r="L32" s="324"/>
      <c r="M32" s="324"/>
      <c r="N32" s="325"/>
    </row>
    <row r="33" spans="1:14" s="318" customFormat="1" ht="17.25" customHeight="1" x14ac:dyDescent="0.3">
      <c r="A33" s="315"/>
      <c r="B33" s="326"/>
      <c r="C33" s="327"/>
      <c r="D33" s="327"/>
      <c r="E33" s="327"/>
      <c r="F33" s="327"/>
      <c r="G33" s="327"/>
      <c r="H33" s="327"/>
      <c r="I33" s="319"/>
      <c r="J33" s="319"/>
      <c r="K33" s="319"/>
      <c r="L33" s="324"/>
      <c r="M33" s="324"/>
      <c r="N33" s="325"/>
    </row>
    <row r="34" spans="1:14" s="318" customFormat="1" ht="18.75" x14ac:dyDescent="0.3">
      <c r="A34" s="315" t="s">
        <v>56</v>
      </c>
      <c r="B34" s="328">
        <f>B31/B32</f>
        <v>0.8537734442555982</v>
      </c>
      <c r="C34" s="303" t="s">
        <v>57</v>
      </c>
      <c r="D34" s="303"/>
      <c r="E34" s="303"/>
      <c r="F34" s="303"/>
      <c r="G34" s="303"/>
      <c r="I34" s="319"/>
      <c r="J34" s="319"/>
      <c r="K34" s="319"/>
      <c r="L34" s="324"/>
      <c r="M34" s="324"/>
      <c r="N34" s="325"/>
    </row>
    <row r="35" spans="1:14" s="318" customFormat="1" ht="19.5" customHeight="1" thickBot="1" x14ac:dyDescent="0.35">
      <c r="A35" s="315"/>
      <c r="B35" s="320"/>
      <c r="G35" s="303"/>
      <c r="I35" s="319"/>
      <c r="J35" s="319"/>
      <c r="K35" s="319"/>
      <c r="L35" s="324"/>
      <c r="M35" s="324"/>
      <c r="N35" s="325"/>
    </row>
    <row r="36" spans="1:14" s="318" customFormat="1" ht="27" customHeight="1" thickBot="1" x14ac:dyDescent="0.45">
      <c r="A36" s="329" t="s">
        <v>58</v>
      </c>
      <c r="B36" s="330">
        <v>50</v>
      </c>
      <c r="C36" s="303"/>
      <c r="D36" s="484" t="s">
        <v>59</v>
      </c>
      <c r="E36" s="497"/>
      <c r="F36" s="484" t="s">
        <v>60</v>
      </c>
      <c r="G36" s="485"/>
      <c r="J36" s="319"/>
      <c r="K36" s="319"/>
      <c r="L36" s="324"/>
      <c r="M36" s="324"/>
      <c r="N36" s="325"/>
    </row>
    <row r="37" spans="1:14" s="318" customFormat="1" ht="27" customHeight="1" thickBot="1" x14ac:dyDescent="0.45">
      <c r="A37" s="331" t="s">
        <v>61</v>
      </c>
      <c r="B37" s="332">
        <v>5</v>
      </c>
      <c r="C37" s="333" t="s">
        <v>62</v>
      </c>
      <c r="D37" s="334" t="s">
        <v>63</v>
      </c>
      <c r="E37" s="335" t="s">
        <v>64</v>
      </c>
      <c r="F37" s="334" t="s">
        <v>63</v>
      </c>
      <c r="G37" s="336" t="s">
        <v>64</v>
      </c>
      <c r="I37" s="337" t="s">
        <v>65</v>
      </c>
      <c r="J37" s="319"/>
      <c r="K37" s="319"/>
      <c r="L37" s="324"/>
      <c r="M37" s="324"/>
      <c r="N37" s="325"/>
    </row>
    <row r="38" spans="1:14" s="318" customFormat="1" ht="26.25" customHeight="1" x14ac:dyDescent="0.4">
      <c r="A38" s="331" t="s">
        <v>66</v>
      </c>
      <c r="B38" s="332">
        <v>10</v>
      </c>
      <c r="C38" s="338">
        <v>1</v>
      </c>
      <c r="D38" s="339">
        <v>72062066</v>
      </c>
      <c r="E38" s="340">
        <f>IF(ISBLANK(D38),"-",$D$48/$D$45*D38)</f>
        <v>85714055.327964187</v>
      </c>
      <c r="F38" s="339">
        <v>74392384</v>
      </c>
      <c r="G38" s="341">
        <f>IF(ISBLANK(F38),"-",$D$48/$F$45*F38)</f>
        <v>85994919.336132109</v>
      </c>
      <c r="I38" s="342"/>
      <c r="J38" s="319"/>
      <c r="K38" s="319"/>
      <c r="L38" s="324"/>
      <c r="M38" s="324"/>
      <c r="N38" s="325"/>
    </row>
    <row r="39" spans="1:14" s="318" customFormat="1" ht="26.25" customHeight="1" x14ac:dyDescent="0.4">
      <c r="A39" s="331" t="s">
        <v>67</v>
      </c>
      <c r="B39" s="332">
        <v>1</v>
      </c>
      <c r="C39" s="343">
        <v>2</v>
      </c>
      <c r="D39" s="344">
        <v>71769521</v>
      </c>
      <c r="E39" s="345">
        <f>IF(ISBLANK(D39),"-",$D$48/$D$45*D39)</f>
        <v>85366088.364098355</v>
      </c>
      <c r="F39" s="344">
        <v>74437178</v>
      </c>
      <c r="G39" s="346">
        <f>IF(ISBLANK(F39),"-",$D$48/$F$45*F39)</f>
        <v>86046699.588486195</v>
      </c>
      <c r="I39" s="468">
        <f>ABS((F43/D43*D42)-F42)/D42</f>
        <v>5.4952203724367796E-3</v>
      </c>
      <c r="J39" s="319"/>
      <c r="K39" s="319"/>
      <c r="L39" s="324"/>
      <c r="M39" s="324"/>
      <c r="N39" s="325"/>
    </row>
    <row r="40" spans="1:14" ht="26.25" customHeight="1" x14ac:dyDescent="0.4">
      <c r="A40" s="331" t="s">
        <v>68</v>
      </c>
      <c r="B40" s="332">
        <v>1</v>
      </c>
      <c r="C40" s="343">
        <v>3</v>
      </c>
      <c r="D40" s="344">
        <v>71783671</v>
      </c>
      <c r="E40" s="345">
        <f>IF(ISBLANK(D40),"-",$D$48/$D$45*D40)</f>
        <v>85382919.048398897</v>
      </c>
      <c r="F40" s="344">
        <v>74216057</v>
      </c>
      <c r="G40" s="346">
        <f>IF(ISBLANK(F40),"-",$D$48/$F$45*F40)</f>
        <v>85791091.668211386</v>
      </c>
      <c r="I40" s="468"/>
      <c r="L40" s="324"/>
      <c r="M40" s="324"/>
      <c r="N40" s="303"/>
    </row>
    <row r="41" spans="1:14" ht="27" customHeight="1" thickBot="1" x14ac:dyDescent="0.45">
      <c r="A41" s="331" t="s">
        <v>69</v>
      </c>
      <c r="B41" s="332">
        <v>1</v>
      </c>
      <c r="C41" s="347">
        <v>4</v>
      </c>
      <c r="D41" s="348"/>
      <c r="E41" s="349" t="str">
        <f>IF(ISBLANK(D41),"-",$D$48/$D$45*D41)</f>
        <v>-</v>
      </c>
      <c r="F41" s="348"/>
      <c r="G41" s="350" t="str">
        <f>IF(ISBLANK(F41),"-",$D$48/$F$45*F41)</f>
        <v>-</v>
      </c>
      <c r="I41" s="351"/>
      <c r="L41" s="324"/>
      <c r="M41" s="324"/>
      <c r="N41" s="303"/>
    </row>
    <row r="42" spans="1:14" ht="27" customHeight="1" thickBot="1" x14ac:dyDescent="0.45">
      <c r="A42" s="331" t="s">
        <v>70</v>
      </c>
      <c r="B42" s="332">
        <v>1</v>
      </c>
      <c r="C42" s="352" t="s">
        <v>71</v>
      </c>
      <c r="D42" s="353">
        <f>AVERAGE(D38:D41)</f>
        <v>71871752.666666672</v>
      </c>
      <c r="E42" s="354">
        <f>AVERAGE(E38:E41)</f>
        <v>85487687.580153823</v>
      </c>
      <c r="F42" s="353">
        <f>AVERAGE(F38:F41)</f>
        <v>74348539.666666672</v>
      </c>
      <c r="G42" s="355">
        <f>AVERAGE(G38:G41)</f>
        <v>85944236.864276573</v>
      </c>
      <c r="H42" s="356"/>
    </row>
    <row r="43" spans="1:14" ht="26.25" customHeight="1" x14ac:dyDescent="0.4">
      <c r="A43" s="331" t="s">
        <v>72</v>
      </c>
      <c r="B43" s="332">
        <v>1</v>
      </c>
      <c r="C43" s="357" t="s">
        <v>73</v>
      </c>
      <c r="D43" s="358">
        <v>29.69</v>
      </c>
      <c r="E43" s="303"/>
      <c r="F43" s="358">
        <v>30.55</v>
      </c>
      <c r="H43" s="356"/>
    </row>
    <row r="44" spans="1:14" ht="26.25" customHeight="1" x14ac:dyDescent="0.4">
      <c r="A44" s="331" t="s">
        <v>74</v>
      </c>
      <c r="B44" s="332">
        <v>1</v>
      </c>
      <c r="C44" s="359" t="s">
        <v>75</v>
      </c>
      <c r="D44" s="360">
        <f>D43*$B$34</f>
        <v>25.348533559948713</v>
      </c>
      <c r="E44" s="361"/>
      <c r="F44" s="360">
        <f>F43*$B$34</f>
        <v>26.082778722008527</v>
      </c>
      <c r="H44" s="356"/>
    </row>
    <row r="45" spans="1:14" ht="19.5" customHeight="1" thickBot="1" x14ac:dyDescent="0.35">
      <c r="A45" s="331" t="s">
        <v>76</v>
      </c>
      <c r="B45" s="343">
        <f>(B44/B43)*(B42/B41)*(B40/B39)*(B38/B37)*B36</f>
        <v>100</v>
      </c>
      <c r="C45" s="359" t="s">
        <v>77</v>
      </c>
      <c r="D45" s="362">
        <f>D44*$B$30/100</f>
        <v>25.22179089214897</v>
      </c>
      <c r="E45" s="363"/>
      <c r="F45" s="362">
        <f>F44*$B$30/100</f>
        <v>25.952364828398487</v>
      </c>
      <c r="H45" s="356"/>
    </row>
    <row r="46" spans="1:14" ht="19.5" customHeight="1" thickBot="1" x14ac:dyDescent="0.35">
      <c r="A46" s="469" t="s">
        <v>78</v>
      </c>
      <c r="B46" s="473"/>
      <c r="C46" s="359" t="s">
        <v>79</v>
      </c>
      <c r="D46" s="364">
        <f>D45/$B$45</f>
        <v>0.25221790892148971</v>
      </c>
      <c r="E46" s="365"/>
      <c r="F46" s="366">
        <f>F45/$B$45</f>
        <v>0.25952364828398489</v>
      </c>
      <c r="H46" s="356"/>
    </row>
    <row r="47" spans="1:14" ht="27" customHeight="1" thickBot="1" x14ac:dyDescent="0.45">
      <c r="A47" s="471"/>
      <c r="B47" s="474"/>
      <c r="C47" s="367" t="s">
        <v>80</v>
      </c>
      <c r="D47" s="368">
        <v>0.3</v>
      </c>
      <c r="E47" s="369"/>
      <c r="F47" s="365"/>
      <c r="H47" s="356"/>
    </row>
    <row r="48" spans="1:14" ht="18.75" x14ac:dyDescent="0.3">
      <c r="C48" s="370" t="s">
        <v>81</v>
      </c>
      <c r="D48" s="362">
        <f>D47*$B$45</f>
        <v>30</v>
      </c>
      <c r="F48" s="371"/>
      <c r="H48" s="356"/>
    </row>
    <row r="49" spans="1:12" ht="19.5" customHeight="1" thickBot="1" x14ac:dyDescent="0.35">
      <c r="C49" s="372" t="s">
        <v>82</v>
      </c>
      <c r="D49" s="373">
        <f>D48/B34</f>
        <v>35.138127335591804</v>
      </c>
      <c r="F49" s="371"/>
      <c r="H49" s="356"/>
    </row>
    <row r="50" spans="1:12" ht="18.75" x14ac:dyDescent="0.3">
      <c r="C50" s="329" t="s">
        <v>83</v>
      </c>
      <c r="D50" s="374">
        <f>AVERAGE(E38:E41,G38:G41)</f>
        <v>85715962.222215191</v>
      </c>
      <c r="F50" s="375"/>
      <c r="H50" s="356"/>
    </row>
    <row r="51" spans="1:12" ht="18.75" x14ac:dyDescent="0.3">
      <c r="C51" s="331" t="s">
        <v>84</v>
      </c>
      <c r="D51" s="376">
        <f>STDEV(E38:E41,G38:G41)/D50</f>
        <v>3.4060479090055932E-3</v>
      </c>
      <c r="F51" s="375"/>
      <c r="H51" s="356"/>
    </row>
    <row r="52" spans="1:12" ht="19.5" customHeight="1" thickBot="1" x14ac:dyDescent="0.35">
      <c r="C52" s="377" t="s">
        <v>20</v>
      </c>
      <c r="D52" s="378">
        <f>COUNT(E38:E41,G38:G41)</f>
        <v>6</v>
      </c>
      <c r="F52" s="375"/>
    </row>
    <row r="54" spans="1:12" ht="18.75" x14ac:dyDescent="0.3">
      <c r="A54" s="379" t="s">
        <v>1</v>
      </c>
      <c r="B54" s="380" t="s">
        <v>85</v>
      </c>
    </row>
    <row r="55" spans="1:12" ht="18.75" x14ac:dyDescent="0.3">
      <c r="A55" s="303" t="s">
        <v>86</v>
      </c>
      <c r="B55" s="381" t="str">
        <f>B21</f>
        <v>ABACAVIR SULFATE 60mg &amp; LAMIVUDINE 30mg TABLETS</v>
      </c>
    </row>
    <row r="56" spans="1:12" ht="26.25" customHeight="1" x14ac:dyDescent="0.4">
      <c r="A56" s="381" t="s">
        <v>87</v>
      </c>
      <c r="B56" s="382">
        <v>60</v>
      </c>
      <c r="C56" s="303" t="str">
        <f>B20</f>
        <v>ABACAVIR SULFATE &amp; LAMIVUDINE TABLETS</v>
      </c>
      <c r="H56" s="361"/>
    </row>
    <row r="57" spans="1:12" ht="18.75" x14ac:dyDescent="0.3">
      <c r="A57" s="381" t="s">
        <v>88</v>
      </c>
      <c r="B57" s="383">
        <f>Uniformity!C46</f>
        <v>147.14699999999999</v>
      </c>
      <c r="H57" s="361"/>
    </row>
    <row r="58" spans="1:12" ht="19.5" customHeight="1" thickBot="1" x14ac:dyDescent="0.35">
      <c r="H58" s="361"/>
    </row>
    <row r="59" spans="1:12" s="318" customFormat="1" ht="27" customHeight="1" thickBot="1" x14ac:dyDescent="0.45">
      <c r="A59" s="329" t="s">
        <v>89</v>
      </c>
      <c r="B59" s="330">
        <v>100</v>
      </c>
      <c r="C59" s="303"/>
      <c r="D59" s="384" t="s">
        <v>90</v>
      </c>
      <c r="E59" s="385" t="s">
        <v>62</v>
      </c>
      <c r="F59" s="385" t="s">
        <v>63</v>
      </c>
      <c r="G59" s="385" t="s">
        <v>91</v>
      </c>
      <c r="H59" s="333" t="s">
        <v>92</v>
      </c>
      <c r="L59" s="319"/>
    </row>
    <row r="60" spans="1:12" s="318" customFormat="1" ht="26.25" customHeight="1" x14ac:dyDescent="0.4">
      <c r="A60" s="331" t="s">
        <v>93</v>
      </c>
      <c r="B60" s="332">
        <v>5</v>
      </c>
      <c r="C60" s="486" t="s">
        <v>94</v>
      </c>
      <c r="D60" s="489">
        <v>148.06</v>
      </c>
      <c r="E60" s="386">
        <v>1</v>
      </c>
      <c r="F60" s="387">
        <v>85787331</v>
      </c>
      <c r="G60" s="388">
        <f>IF(ISBLANK(F60),"-",(F60/$D$50*$D$47*$B$68)*($B$57/$D$60))</f>
        <v>59.679663969338456</v>
      </c>
      <c r="H60" s="389">
        <f t="shared" ref="H60:H71" si="0">IF(ISBLANK(F60),"-",G60/$B$56)</f>
        <v>0.99466106615564098</v>
      </c>
      <c r="L60" s="319"/>
    </row>
    <row r="61" spans="1:12" s="318" customFormat="1" ht="26.25" customHeight="1" x14ac:dyDescent="0.4">
      <c r="A61" s="331" t="s">
        <v>95</v>
      </c>
      <c r="B61" s="332">
        <v>10</v>
      </c>
      <c r="C61" s="487"/>
      <c r="D61" s="490"/>
      <c r="E61" s="390">
        <v>2</v>
      </c>
      <c r="F61" s="344">
        <v>86160664</v>
      </c>
      <c r="G61" s="391">
        <f>IF(ISBLANK(F61),"-",(F61/$D$50*$D$47*$B$68)*($B$57/$D$60))</f>
        <v>59.939380500077284</v>
      </c>
      <c r="H61" s="392">
        <f t="shared" si="0"/>
        <v>0.9989896750012881</v>
      </c>
      <c r="L61" s="319"/>
    </row>
    <row r="62" spans="1:12" s="318" customFormat="1" ht="26.25" customHeight="1" x14ac:dyDescent="0.4">
      <c r="A62" s="331" t="s">
        <v>96</v>
      </c>
      <c r="B62" s="332">
        <v>1</v>
      </c>
      <c r="C62" s="487"/>
      <c r="D62" s="490"/>
      <c r="E62" s="390">
        <v>3</v>
      </c>
      <c r="F62" s="393">
        <v>86124703</v>
      </c>
      <c r="G62" s="391">
        <f>IF(ISBLANK(F62),"-",(F62/$D$50*$D$47*$B$68)*($B$57/$D$60))</f>
        <v>59.914363514807043</v>
      </c>
      <c r="H62" s="392">
        <f t="shared" si="0"/>
        <v>0.99857272524678409</v>
      </c>
      <c r="L62" s="319"/>
    </row>
    <row r="63" spans="1:12" ht="27" customHeight="1" thickBot="1" x14ac:dyDescent="0.45">
      <c r="A63" s="331" t="s">
        <v>97</v>
      </c>
      <c r="B63" s="332">
        <v>1</v>
      </c>
      <c r="C63" s="488"/>
      <c r="D63" s="491"/>
      <c r="E63" s="394">
        <v>4</v>
      </c>
      <c r="F63" s="395"/>
      <c r="G63" s="391" t="str">
        <f>IF(ISBLANK(F63),"-",(F63/$D$50*$D$47*$B$68)*($B$57/$D$60))</f>
        <v>-</v>
      </c>
      <c r="H63" s="392" t="str">
        <f t="shared" si="0"/>
        <v>-</v>
      </c>
    </row>
    <row r="64" spans="1:12" ht="26.25" customHeight="1" x14ac:dyDescent="0.4">
      <c r="A64" s="331" t="s">
        <v>98</v>
      </c>
      <c r="B64" s="332">
        <v>1</v>
      </c>
      <c r="C64" s="486" t="s">
        <v>99</v>
      </c>
      <c r="D64" s="489">
        <v>147.35</v>
      </c>
      <c r="E64" s="386">
        <v>1</v>
      </c>
      <c r="F64" s="387">
        <v>84484078</v>
      </c>
      <c r="G64" s="396">
        <f>IF(ISBLANK(F64),"-",(F64/$D$50*$D$47*$B$68)*($B$57/$D$64))</f>
        <v>59.056225547522423</v>
      </c>
      <c r="H64" s="397">
        <f t="shared" si="0"/>
        <v>0.98427042579204038</v>
      </c>
    </row>
    <row r="65" spans="1:8" ht="26.25" customHeight="1" x14ac:dyDescent="0.4">
      <c r="A65" s="331" t="s">
        <v>100</v>
      </c>
      <c r="B65" s="332">
        <v>1</v>
      </c>
      <c r="C65" s="487"/>
      <c r="D65" s="490"/>
      <c r="E65" s="390">
        <v>2</v>
      </c>
      <c r="F65" s="344">
        <v>84734856</v>
      </c>
      <c r="G65" s="398">
        <f>IF(ISBLANK(F65),"-",(F65/$D$50*$D$47*$B$68)*($B$57/$D$64))</f>
        <v>59.231524875880559</v>
      </c>
      <c r="H65" s="399">
        <f t="shared" si="0"/>
        <v>0.98719208126467595</v>
      </c>
    </row>
    <row r="66" spans="1:8" ht="26.25" customHeight="1" x14ac:dyDescent="0.4">
      <c r="A66" s="331" t="s">
        <v>101</v>
      </c>
      <c r="B66" s="332">
        <v>1</v>
      </c>
      <c r="C66" s="487"/>
      <c r="D66" s="490"/>
      <c r="E66" s="390">
        <v>3</v>
      </c>
      <c r="F66" s="344">
        <v>84544021</v>
      </c>
      <c r="G66" s="398">
        <f>IF(ISBLANK(F66),"-",(F66/$D$50*$D$47*$B$68)*($B$57/$D$64))</f>
        <v>59.098127020696992</v>
      </c>
      <c r="H66" s="399">
        <f t="shared" si="0"/>
        <v>0.98496878367828322</v>
      </c>
    </row>
    <row r="67" spans="1:8" ht="27" customHeight="1" thickBot="1" x14ac:dyDescent="0.45">
      <c r="A67" s="331" t="s">
        <v>102</v>
      </c>
      <c r="B67" s="332">
        <v>1</v>
      </c>
      <c r="C67" s="488"/>
      <c r="D67" s="491"/>
      <c r="E67" s="394">
        <v>4</v>
      </c>
      <c r="F67" s="395"/>
      <c r="G67" s="400" t="str">
        <f>IF(ISBLANK(F67),"-",(F67/$D$50*$D$47*$B$68)*($B$57/$D$64))</f>
        <v>-</v>
      </c>
      <c r="H67" s="401" t="str">
        <f t="shared" si="0"/>
        <v>-</v>
      </c>
    </row>
    <row r="68" spans="1:8" ht="26.25" customHeight="1" x14ac:dyDescent="0.4">
      <c r="A68" s="331" t="s">
        <v>103</v>
      </c>
      <c r="B68" s="402">
        <f>(B67/B66)*(B65/B64)*(B63/B62)*(B61/B60)*B59</f>
        <v>200</v>
      </c>
      <c r="C68" s="486" t="s">
        <v>104</v>
      </c>
      <c r="D68" s="489">
        <v>146.5</v>
      </c>
      <c r="E68" s="386">
        <v>1</v>
      </c>
      <c r="F68" s="387">
        <v>84613146</v>
      </c>
      <c r="G68" s="396">
        <f>IF(ISBLANK(F68),"-",(F68/$D$50*$D$47*$B$68)*($B$57/$D$68))</f>
        <v>59.489617424583784</v>
      </c>
      <c r="H68" s="392">
        <f t="shared" si="0"/>
        <v>0.99149362374306305</v>
      </c>
    </row>
    <row r="69" spans="1:8" ht="27" customHeight="1" thickBot="1" x14ac:dyDescent="0.45">
      <c r="A69" s="377" t="s">
        <v>105</v>
      </c>
      <c r="B69" s="403">
        <f>(D47*B68)/B56*B57</f>
        <v>147.14699999999999</v>
      </c>
      <c r="C69" s="487"/>
      <c r="D69" s="490"/>
      <c r="E69" s="390">
        <v>2</v>
      </c>
      <c r="F69" s="344">
        <v>84888460</v>
      </c>
      <c r="G69" s="398">
        <f>IF(ISBLANK(F69),"-",(F69/$D$50*$D$47*$B$68)*($B$57/$D$68))</f>
        <v>59.683184562858379</v>
      </c>
      <c r="H69" s="392">
        <f t="shared" si="0"/>
        <v>0.9947197427143063</v>
      </c>
    </row>
    <row r="70" spans="1:8" ht="26.25" customHeight="1" x14ac:dyDescent="0.4">
      <c r="A70" s="493" t="s">
        <v>78</v>
      </c>
      <c r="B70" s="494"/>
      <c r="C70" s="487"/>
      <c r="D70" s="490"/>
      <c r="E70" s="390">
        <v>3</v>
      </c>
      <c r="F70" s="344">
        <v>84211514</v>
      </c>
      <c r="G70" s="398">
        <f>IF(ISBLANK(F70),"-",(F70/$D$50*$D$47*$B$68)*($B$57/$D$68))</f>
        <v>59.207238915392423</v>
      </c>
      <c r="H70" s="392">
        <f t="shared" si="0"/>
        <v>0.9867873152565404</v>
      </c>
    </row>
    <row r="71" spans="1:8" ht="27" customHeight="1" thickBot="1" x14ac:dyDescent="0.45">
      <c r="A71" s="495"/>
      <c r="B71" s="496"/>
      <c r="C71" s="492"/>
      <c r="D71" s="491"/>
      <c r="E71" s="394">
        <v>4</v>
      </c>
      <c r="F71" s="395"/>
      <c r="G71" s="400" t="str">
        <f>IF(ISBLANK(F71),"-",(F71/$D$50*$D$47*$B$68)*($B$57/$D$68))</f>
        <v>-</v>
      </c>
      <c r="H71" s="404" t="str">
        <f t="shared" si="0"/>
        <v>-</v>
      </c>
    </row>
    <row r="72" spans="1:8" ht="26.25" customHeight="1" x14ac:dyDescent="0.4">
      <c r="A72" s="361"/>
      <c r="B72" s="361"/>
      <c r="C72" s="361"/>
      <c r="D72" s="361"/>
      <c r="E72" s="361"/>
      <c r="F72" s="405" t="s">
        <v>71</v>
      </c>
      <c r="G72" s="406">
        <f>AVERAGE(G60:G71)</f>
        <v>59.477702925684156</v>
      </c>
      <c r="H72" s="407">
        <f>AVERAGE(H60:H71)</f>
        <v>0.9912950487614024</v>
      </c>
    </row>
    <row r="73" spans="1:8" ht="26.25" customHeight="1" x14ac:dyDescent="0.4">
      <c r="C73" s="361"/>
      <c r="D73" s="361"/>
      <c r="E73" s="361"/>
      <c r="F73" s="408" t="s">
        <v>84</v>
      </c>
      <c r="G73" s="409">
        <f>STDEV(G60:G71)/G72</f>
        <v>5.770710605004092E-3</v>
      </c>
      <c r="H73" s="409">
        <f>STDEV(H60:H71)/H72</f>
        <v>5.7707106050041068E-3</v>
      </c>
    </row>
    <row r="74" spans="1:8" ht="27" customHeight="1" thickBot="1" x14ac:dyDescent="0.45">
      <c r="A74" s="361"/>
      <c r="B74" s="361"/>
      <c r="C74" s="361"/>
      <c r="D74" s="361"/>
      <c r="E74" s="363"/>
      <c r="F74" s="410" t="s">
        <v>20</v>
      </c>
      <c r="G74" s="411">
        <f>COUNT(G60:G71)</f>
        <v>9</v>
      </c>
      <c r="H74" s="411">
        <f>COUNT(H60:H71)</f>
        <v>9</v>
      </c>
    </row>
    <row r="76" spans="1:8" ht="26.25" customHeight="1" x14ac:dyDescent="0.4">
      <c r="A76" s="314" t="s">
        <v>106</v>
      </c>
      <c r="B76" s="315" t="s">
        <v>107</v>
      </c>
      <c r="C76" s="475" t="str">
        <f>B20</f>
        <v>ABACAVIR SULFATE &amp; LAMIVUDINE TABLETS</v>
      </c>
      <c r="D76" s="475"/>
      <c r="E76" s="303" t="s">
        <v>108</v>
      </c>
      <c r="F76" s="303"/>
      <c r="G76" s="412">
        <f>H72</f>
        <v>0.9912950487614024</v>
      </c>
      <c r="H76" s="320"/>
    </row>
    <row r="77" spans="1:8" ht="18.75" x14ac:dyDescent="0.3">
      <c r="A77" s="313" t="s">
        <v>109</v>
      </c>
      <c r="B77" s="313" t="s">
        <v>110</v>
      </c>
    </row>
    <row r="78" spans="1:8" ht="18.75" x14ac:dyDescent="0.3">
      <c r="A78" s="313"/>
      <c r="B78" s="313"/>
    </row>
    <row r="79" spans="1:8" ht="26.25" customHeight="1" x14ac:dyDescent="0.4">
      <c r="A79" s="314" t="s">
        <v>4</v>
      </c>
      <c r="B79" s="477" t="str">
        <f>B26</f>
        <v>ABACAVIR</v>
      </c>
      <c r="C79" s="477"/>
    </row>
    <row r="80" spans="1:8" ht="26.25" customHeight="1" x14ac:dyDescent="0.4">
      <c r="A80" s="315" t="s">
        <v>48</v>
      </c>
      <c r="B80" s="477" t="str">
        <f>B27</f>
        <v>A12-3</v>
      </c>
      <c r="C80" s="477"/>
    </row>
    <row r="81" spans="1:12" ht="27" customHeight="1" thickBot="1" x14ac:dyDescent="0.45">
      <c r="A81" s="315" t="s">
        <v>6</v>
      </c>
      <c r="B81" s="316">
        <f>B28</f>
        <v>99.5</v>
      </c>
    </row>
    <row r="82" spans="1:12" s="318" customFormat="1" ht="27" customHeight="1" thickBot="1" x14ac:dyDescent="0.45">
      <c r="A82" s="315" t="s">
        <v>49</v>
      </c>
      <c r="B82" s="317">
        <v>0</v>
      </c>
      <c r="C82" s="478" t="s">
        <v>50</v>
      </c>
      <c r="D82" s="479"/>
      <c r="E82" s="479"/>
      <c r="F82" s="479"/>
      <c r="G82" s="480"/>
      <c r="I82" s="319"/>
      <c r="J82" s="319"/>
      <c r="K82" s="319"/>
      <c r="L82" s="319"/>
    </row>
    <row r="83" spans="1:12" s="318" customFormat="1" ht="19.5" customHeight="1" thickBot="1" x14ac:dyDescent="0.35">
      <c r="A83" s="315" t="s">
        <v>51</v>
      </c>
      <c r="B83" s="320">
        <f>B81-B82</f>
        <v>99.5</v>
      </c>
      <c r="C83" s="321"/>
      <c r="D83" s="321"/>
      <c r="E83" s="321"/>
      <c r="F83" s="321"/>
      <c r="G83" s="322"/>
      <c r="I83" s="319"/>
      <c r="J83" s="319"/>
      <c r="K83" s="319"/>
      <c r="L83" s="319"/>
    </row>
    <row r="84" spans="1:12" s="318" customFormat="1" ht="27" customHeight="1" thickBot="1" x14ac:dyDescent="0.45">
      <c r="A84" s="315" t="s">
        <v>52</v>
      </c>
      <c r="B84" s="323">
        <v>572.66</v>
      </c>
      <c r="C84" s="481" t="s">
        <v>111</v>
      </c>
      <c r="D84" s="482"/>
      <c r="E84" s="482"/>
      <c r="F84" s="482"/>
      <c r="G84" s="482"/>
      <c r="H84" s="483"/>
      <c r="I84" s="319"/>
      <c r="J84" s="319"/>
      <c r="K84" s="319"/>
      <c r="L84" s="319"/>
    </row>
    <row r="85" spans="1:12" s="318" customFormat="1" ht="27" customHeight="1" thickBot="1" x14ac:dyDescent="0.45">
      <c r="A85" s="315" t="s">
        <v>54</v>
      </c>
      <c r="B85" s="323">
        <v>670.74</v>
      </c>
      <c r="C85" s="481" t="s">
        <v>112</v>
      </c>
      <c r="D85" s="482"/>
      <c r="E85" s="482"/>
      <c r="F85" s="482"/>
      <c r="G85" s="482"/>
      <c r="H85" s="483"/>
      <c r="I85" s="319"/>
      <c r="J85" s="319"/>
      <c r="K85" s="319"/>
      <c r="L85" s="319"/>
    </row>
    <row r="86" spans="1:12" s="318" customFormat="1" ht="18.75" x14ac:dyDescent="0.3">
      <c r="A86" s="315"/>
      <c r="B86" s="326"/>
      <c r="C86" s="327"/>
      <c r="D86" s="327"/>
      <c r="E86" s="327"/>
      <c r="F86" s="327"/>
      <c r="G86" s="327"/>
      <c r="H86" s="327"/>
      <c r="I86" s="319"/>
      <c r="J86" s="319"/>
      <c r="K86" s="319"/>
      <c r="L86" s="319"/>
    </row>
    <row r="87" spans="1:12" s="318" customFormat="1" ht="18.75" x14ac:dyDescent="0.3">
      <c r="A87" s="315" t="s">
        <v>56</v>
      </c>
      <c r="B87" s="328">
        <f>B84/B85</f>
        <v>0.8537734442555982</v>
      </c>
      <c r="C87" s="303" t="s">
        <v>57</v>
      </c>
      <c r="D87" s="303"/>
      <c r="E87" s="303"/>
      <c r="F87" s="303"/>
      <c r="G87" s="303"/>
      <c r="I87" s="319"/>
      <c r="J87" s="319"/>
      <c r="K87" s="319"/>
      <c r="L87" s="319"/>
    </row>
    <row r="88" spans="1:12" ht="19.5" customHeight="1" thickBot="1" x14ac:dyDescent="0.35">
      <c r="A88" s="313"/>
      <c r="B88" s="313"/>
    </row>
    <row r="89" spans="1:12" ht="27" customHeight="1" thickBot="1" x14ac:dyDescent="0.45">
      <c r="A89" s="329" t="s">
        <v>58</v>
      </c>
      <c r="B89" s="330">
        <v>50</v>
      </c>
      <c r="D89" s="413" t="s">
        <v>59</v>
      </c>
      <c r="E89" s="414"/>
      <c r="F89" s="484" t="s">
        <v>60</v>
      </c>
      <c r="G89" s="485"/>
    </row>
    <row r="90" spans="1:12" ht="27" customHeight="1" thickBot="1" x14ac:dyDescent="0.45">
      <c r="A90" s="331" t="s">
        <v>61</v>
      </c>
      <c r="B90" s="332">
        <v>5</v>
      </c>
      <c r="C90" s="415" t="s">
        <v>62</v>
      </c>
      <c r="D90" s="334" t="s">
        <v>63</v>
      </c>
      <c r="E90" s="335" t="s">
        <v>64</v>
      </c>
      <c r="F90" s="334" t="s">
        <v>63</v>
      </c>
      <c r="G90" s="416" t="s">
        <v>64</v>
      </c>
      <c r="I90" s="337" t="s">
        <v>65</v>
      </c>
    </row>
    <row r="91" spans="1:12" ht="26.25" customHeight="1" x14ac:dyDescent="0.4">
      <c r="A91" s="331" t="s">
        <v>66</v>
      </c>
      <c r="B91" s="332">
        <v>50</v>
      </c>
      <c r="C91" s="417">
        <v>1</v>
      </c>
      <c r="D91" s="339">
        <v>35349390</v>
      </c>
      <c r="E91" s="340">
        <f>IF(ISBLANK(D91),"-",$D$101/$D$98*D91)</f>
        <v>46718054.441042282</v>
      </c>
      <c r="F91" s="339">
        <v>37408453</v>
      </c>
      <c r="G91" s="341">
        <f>IF(ISBLANK(F91),"-",$D$101/$F$98*F91)</f>
        <v>48047584.163461462</v>
      </c>
      <c r="I91" s="342"/>
    </row>
    <row r="92" spans="1:12" ht="26.25" customHeight="1" x14ac:dyDescent="0.4">
      <c r="A92" s="331" t="s">
        <v>67</v>
      </c>
      <c r="B92" s="332">
        <v>1</v>
      </c>
      <c r="C92" s="361">
        <v>2</v>
      </c>
      <c r="D92" s="344">
        <v>34669233</v>
      </c>
      <c r="E92" s="345">
        <f>IF(ISBLANK(D92),"-",$D$101/$D$98*D92)</f>
        <v>45819153.165674984</v>
      </c>
      <c r="F92" s="344">
        <v>36787270</v>
      </c>
      <c r="G92" s="346">
        <f>IF(ISBLANK(F92),"-",$D$101/$F$98*F92)</f>
        <v>47249733.942993604</v>
      </c>
      <c r="I92" s="468">
        <f>ABS((F96/D96*D95)-F95)/D95</f>
        <v>2.8554007823510731E-2</v>
      </c>
    </row>
    <row r="93" spans="1:12" ht="26.25" customHeight="1" x14ac:dyDescent="0.4">
      <c r="A93" s="331" t="s">
        <v>68</v>
      </c>
      <c r="B93" s="332">
        <v>1</v>
      </c>
      <c r="C93" s="361">
        <v>3</v>
      </c>
      <c r="D93" s="344">
        <v>35557839</v>
      </c>
      <c r="E93" s="345">
        <f>IF(ISBLANK(D93),"-",$D$101/$D$98*D93)</f>
        <v>46993542.412126958</v>
      </c>
      <c r="F93" s="344">
        <v>37453496</v>
      </c>
      <c r="G93" s="346">
        <f>IF(ISBLANK(F93),"-",$D$101/$F$98*F93)</f>
        <v>48105437.593900695</v>
      </c>
      <c r="I93" s="468"/>
    </row>
    <row r="94" spans="1:12" ht="27" customHeight="1" thickBot="1" x14ac:dyDescent="0.45">
      <c r="A94" s="331" t="s">
        <v>69</v>
      </c>
      <c r="B94" s="332">
        <v>1</v>
      </c>
      <c r="C94" s="418">
        <v>4</v>
      </c>
      <c r="D94" s="348"/>
      <c r="E94" s="349" t="str">
        <f>IF(ISBLANK(D94),"-",$D$101/$D$98*D94)</f>
        <v>-</v>
      </c>
      <c r="F94" s="419"/>
      <c r="G94" s="350" t="str">
        <f>IF(ISBLANK(F94),"-",$D$101/$F$98*F94)</f>
        <v>-</v>
      </c>
      <c r="I94" s="351"/>
    </row>
    <row r="95" spans="1:12" ht="27" customHeight="1" thickBot="1" x14ac:dyDescent="0.45">
      <c r="A95" s="331" t="s">
        <v>70</v>
      </c>
      <c r="B95" s="332">
        <v>1</v>
      </c>
      <c r="C95" s="315" t="s">
        <v>71</v>
      </c>
      <c r="D95" s="420">
        <f>AVERAGE(D91:D94)</f>
        <v>35192154</v>
      </c>
      <c r="E95" s="354">
        <f>AVERAGE(E91:E94)</f>
        <v>46510250.006281406</v>
      </c>
      <c r="F95" s="421">
        <f>AVERAGE(F91:F94)</f>
        <v>37216406.333333336</v>
      </c>
      <c r="G95" s="422">
        <f>AVERAGE(G91:G94)</f>
        <v>47800918.566785254</v>
      </c>
    </row>
    <row r="96" spans="1:12" ht="26.25" customHeight="1" x14ac:dyDescent="0.4">
      <c r="A96" s="331" t="s">
        <v>72</v>
      </c>
      <c r="B96" s="316">
        <v>1</v>
      </c>
      <c r="C96" s="423" t="s">
        <v>113</v>
      </c>
      <c r="D96" s="424">
        <v>29.69</v>
      </c>
      <c r="E96" s="303"/>
      <c r="F96" s="358">
        <v>30.55</v>
      </c>
    </row>
    <row r="97" spans="1:10" ht="26.25" customHeight="1" x14ac:dyDescent="0.4">
      <c r="A97" s="331" t="s">
        <v>74</v>
      </c>
      <c r="B97" s="316">
        <v>1</v>
      </c>
      <c r="C97" s="425" t="s">
        <v>114</v>
      </c>
      <c r="D97" s="426">
        <f>D96*$B$87</f>
        <v>25.348533559948713</v>
      </c>
      <c r="E97" s="361"/>
      <c r="F97" s="360">
        <f>F96*$B$87</f>
        <v>26.082778722008527</v>
      </c>
    </row>
    <row r="98" spans="1:10" ht="19.5" customHeight="1" thickBot="1" x14ac:dyDescent="0.35">
      <c r="A98" s="331" t="s">
        <v>76</v>
      </c>
      <c r="B98" s="361">
        <f>(B97/B96)*(B95/B94)*(B93/B92)*(B91/B90)*B89</f>
        <v>500</v>
      </c>
      <c r="C98" s="425" t="s">
        <v>115</v>
      </c>
      <c r="D98" s="427">
        <f>D97*$B$83/100</f>
        <v>25.22179089214897</v>
      </c>
      <c r="E98" s="363"/>
      <c r="F98" s="362">
        <f>F97*$B$83/100</f>
        <v>25.952364828398487</v>
      </c>
    </row>
    <row r="99" spans="1:10" ht="19.5" customHeight="1" thickBot="1" x14ac:dyDescent="0.35">
      <c r="A99" s="469" t="s">
        <v>78</v>
      </c>
      <c r="B99" s="470"/>
      <c r="C99" s="425" t="s">
        <v>116</v>
      </c>
      <c r="D99" s="428">
        <f>D98/$B$98</f>
        <v>5.044358178429794E-2</v>
      </c>
      <c r="E99" s="363"/>
      <c r="F99" s="366">
        <f>F98/$B$98</f>
        <v>5.1904729656796975E-2</v>
      </c>
      <c r="H99" s="356"/>
    </row>
    <row r="100" spans="1:10" ht="19.5" customHeight="1" thickBot="1" x14ac:dyDescent="0.35">
      <c r="A100" s="471"/>
      <c r="B100" s="472"/>
      <c r="C100" s="425" t="s">
        <v>80</v>
      </c>
      <c r="D100" s="429">
        <f>$B$56/$B$116</f>
        <v>6.6666666666666666E-2</v>
      </c>
      <c r="F100" s="371"/>
      <c r="G100" s="430"/>
      <c r="H100" s="356"/>
    </row>
    <row r="101" spans="1:10" ht="18.75" x14ac:dyDescent="0.3">
      <c r="C101" s="425" t="s">
        <v>81</v>
      </c>
      <c r="D101" s="426">
        <f>D100*$B$98</f>
        <v>33.333333333333336</v>
      </c>
      <c r="F101" s="371"/>
      <c r="H101" s="356"/>
    </row>
    <row r="102" spans="1:10" ht="19.5" customHeight="1" thickBot="1" x14ac:dyDescent="0.35">
      <c r="C102" s="431" t="s">
        <v>82</v>
      </c>
      <c r="D102" s="432">
        <f>D101/B34</f>
        <v>39.042363706213116</v>
      </c>
      <c r="F102" s="375"/>
      <c r="H102" s="356"/>
      <c r="J102" s="433"/>
    </row>
    <row r="103" spans="1:10" ht="18.75" x14ac:dyDescent="0.3">
      <c r="C103" s="434" t="s">
        <v>117</v>
      </c>
      <c r="D103" s="435">
        <f>AVERAGE(E91:E94,G91:G94)</f>
        <v>47155584.286533333</v>
      </c>
      <c r="F103" s="375"/>
      <c r="G103" s="430"/>
      <c r="H103" s="356"/>
      <c r="J103" s="436"/>
    </row>
    <row r="104" spans="1:10" ht="18.75" x14ac:dyDescent="0.3">
      <c r="C104" s="408" t="s">
        <v>84</v>
      </c>
      <c r="D104" s="437">
        <f>STDEV(E91:E94,G91:G94)/D103</f>
        <v>1.8268266700376647E-2</v>
      </c>
      <c r="F104" s="375"/>
      <c r="H104" s="356"/>
      <c r="J104" s="436"/>
    </row>
    <row r="105" spans="1:10" ht="19.5" customHeight="1" thickBot="1" x14ac:dyDescent="0.35">
      <c r="C105" s="410" t="s">
        <v>20</v>
      </c>
      <c r="D105" s="438">
        <f>COUNT(E91:E94,G91:G94)</f>
        <v>6</v>
      </c>
      <c r="F105" s="375"/>
      <c r="H105" s="356"/>
      <c r="J105" s="436"/>
    </row>
    <row r="106" spans="1:10" ht="19.5" customHeight="1" thickBot="1" x14ac:dyDescent="0.35">
      <c r="A106" s="379"/>
      <c r="B106" s="379"/>
      <c r="C106" s="379"/>
      <c r="D106" s="379"/>
      <c r="E106" s="379"/>
    </row>
    <row r="107" spans="1:10" ht="26.25" customHeight="1" x14ac:dyDescent="0.4">
      <c r="A107" s="329" t="s">
        <v>118</v>
      </c>
      <c r="B107" s="330">
        <v>900</v>
      </c>
      <c r="C107" s="413" t="s">
        <v>119</v>
      </c>
      <c r="D107" s="439" t="s">
        <v>63</v>
      </c>
      <c r="E107" s="440" t="s">
        <v>120</v>
      </c>
      <c r="F107" s="441" t="s">
        <v>121</v>
      </c>
    </row>
    <row r="108" spans="1:10" ht="26.25" customHeight="1" x14ac:dyDescent="0.4">
      <c r="A108" s="331" t="s">
        <v>122</v>
      </c>
      <c r="B108" s="332">
        <v>1</v>
      </c>
      <c r="C108" s="442">
        <v>1</v>
      </c>
      <c r="D108" s="443">
        <v>42244581</v>
      </c>
      <c r="E108" s="444">
        <f t="shared" ref="E108:E113" si="1">IF(ISBLANK(D108),"-",D108/$D$103*$D$100*$B$116)</f>
        <v>53.751319135363801</v>
      </c>
      <c r="F108" s="445">
        <f t="shared" ref="F108:F113" si="2">IF(ISBLANK(D108), "-", E108/$B$56)</f>
        <v>0.89585531892272996</v>
      </c>
    </row>
    <row r="109" spans="1:10" ht="26.25" customHeight="1" x14ac:dyDescent="0.4">
      <c r="A109" s="331" t="s">
        <v>95</v>
      </c>
      <c r="B109" s="332">
        <v>1</v>
      </c>
      <c r="C109" s="442">
        <v>2</v>
      </c>
      <c r="D109" s="443">
        <v>42428137</v>
      </c>
      <c r="E109" s="446">
        <f t="shared" si="1"/>
        <v>53.984872810217652</v>
      </c>
      <c r="F109" s="447">
        <f t="shared" si="2"/>
        <v>0.89974788017029417</v>
      </c>
    </row>
    <row r="110" spans="1:10" ht="26.25" customHeight="1" x14ac:dyDescent="0.4">
      <c r="A110" s="331" t="s">
        <v>96</v>
      </c>
      <c r="B110" s="332">
        <v>1</v>
      </c>
      <c r="C110" s="442">
        <v>3</v>
      </c>
      <c r="D110" s="443">
        <v>42501424</v>
      </c>
      <c r="E110" s="446">
        <f t="shared" si="1"/>
        <v>54.078121999397048</v>
      </c>
      <c r="F110" s="447">
        <f t="shared" si="2"/>
        <v>0.90130203332328418</v>
      </c>
    </row>
    <row r="111" spans="1:10" ht="26.25" customHeight="1" x14ac:dyDescent="0.4">
      <c r="A111" s="331" t="s">
        <v>97</v>
      </c>
      <c r="B111" s="332">
        <v>1</v>
      </c>
      <c r="C111" s="442">
        <v>4</v>
      </c>
      <c r="D111" s="443">
        <v>41569038</v>
      </c>
      <c r="E111" s="446">
        <f t="shared" si="1"/>
        <v>52.891769187817609</v>
      </c>
      <c r="F111" s="447">
        <f t="shared" si="2"/>
        <v>0.88152948646362683</v>
      </c>
    </row>
    <row r="112" spans="1:10" ht="26.25" customHeight="1" x14ac:dyDescent="0.4">
      <c r="A112" s="331" t="s">
        <v>98</v>
      </c>
      <c r="B112" s="332">
        <v>1</v>
      </c>
      <c r="C112" s="442">
        <v>5</v>
      </c>
      <c r="D112" s="443">
        <v>42682343</v>
      </c>
      <c r="E112" s="446">
        <f t="shared" si="1"/>
        <v>54.30832039825561</v>
      </c>
      <c r="F112" s="447">
        <f t="shared" si="2"/>
        <v>0.90513867330426012</v>
      </c>
    </row>
    <row r="113" spans="1:10" ht="26.25" customHeight="1" x14ac:dyDescent="0.4">
      <c r="A113" s="331" t="s">
        <v>100</v>
      </c>
      <c r="B113" s="332">
        <v>1</v>
      </c>
      <c r="C113" s="448">
        <v>6</v>
      </c>
      <c r="D113" s="449">
        <v>41861362</v>
      </c>
      <c r="E113" s="450">
        <f t="shared" si="1"/>
        <v>53.263717500310662</v>
      </c>
      <c r="F113" s="451">
        <f t="shared" si="2"/>
        <v>0.88772862500517769</v>
      </c>
    </row>
    <row r="114" spans="1:10" ht="26.25" customHeight="1" x14ac:dyDescent="0.4">
      <c r="A114" s="331" t="s">
        <v>101</v>
      </c>
      <c r="B114" s="332">
        <v>1</v>
      </c>
      <c r="C114" s="442"/>
      <c r="D114" s="361"/>
      <c r="E114" s="303"/>
      <c r="F114" s="452"/>
    </row>
    <row r="115" spans="1:10" ht="26.25" customHeight="1" x14ac:dyDescent="0.4">
      <c r="A115" s="331" t="s">
        <v>102</v>
      </c>
      <c r="B115" s="332">
        <v>1</v>
      </c>
      <c r="C115" s="442"/>
      <c r="D115" s="453" t="s">
        <v>71</v>
      </c>
      <c r="E115" s="454">
        <f>AVERAGE(E108:E113)</f>
        <v>53.713020171893731</v>
      </c>
      <c r="F115" s="455">
        <f>AVERAGE(F108:F113)</f>
        <v>0.89521700286489547</v>
      </c>
    </row>
    <row r="116" spans="1:10" ht="27" customHeight="1" thickBot="1" x14ac:dyDescent="0.45">
      <c r="A116" s="331" t="s">
        <v>103</v>
      </c>
      <c r="B116" s="343">
        <f>(B115/B114)*(B113/B112)*(B111/B110)*(B109/B108)*B107</f>
        <v>900</v>
      </c>
      <c r="C116" s="456"/>
      <c r="D116" s="315" t="s">
        <v>84</v>
      </c>
      <c r="E116" s="457">
        <f>STDEV(E108:E113)/E115</f>
        <v>9.9890209061291538E-3</v>
      </c>
      <c r="F116" s="457">
        <f>STDEV(F108:F113)/F115</f>
        <v>9.9890209061291382E-3</v>
      </c>
      <c r="I116" s="303"/>
    </row>
    <row r="117" spans="1:10" ht="27" customHeight="1" thickBot="1" x14ac:dyDescent="0.45">
      <c r="A117" s="469" t="s">
        <v>78</v>
      </c>
      <c r="B117" s="473"/>
      <c r="C117" s="458"/>
      <c r="D117" s="459" t="s">
        <v>20</v>
      </c>
      <c r="E117" s="460">
        <f>COUNT(E108:E113)</f>
        <v>6</v>
      </c>
      <c r="F117" s="460">
        <f>COUNT(F108:F113)</f>
        <v>6</v>
      </c>
      <c r="I117" s="303"/>
      <c r="J117" s="436"/>
    </row>
    <row r="118" spans="1:10" ht="19.5" customHeight="1" thickBot="1" x14ac:dyDescent="0.35">
      <c r="A118" s="471"/>
      <c r="B118" s="474"/>
      <c r="C118" s="303"/>
      <c r="D118" s="303"/>
      <c r="E118" s="303"/>
      <c r="F118" s="361"/>
      <c r="G118" s="303"/>
      <c r="H118" s="303"/>
      <c r="I118" s="303"/>
    </row>
    <row r="119" spans="1:10" ht="18.75" x14ac:dyDescent="0.3">
      <c r="A119" s="461"/>
      <c r="B119" s="327"/>
      <c r="C119" s="303"/>
      <c r="D119" s="303"/>
      <c r="E119" s="303"/>
      <c r="F119" s="361"/>
      <c r="G119" s="303"/>
      <c r="H119" s="303"/>
      <c r="I119" s="303"/>
    </row>
    <row r="120" spans="1:10" ht="26.25" customHeight="1" x14ac:dyDescent="0.4">
      <c r="A120" s="314" t="s">
        <v>106</v>
      </c>
      <c r="B120" s="315" t="s">
        <v>123</v>
      </c>
      <c r="C120" s="475" t="str">
        <f>B20</f>
        <v>ABACAVIR SULFATE &amp; LAMIVUDINE TABLETS</v>
      </c>
      <c r="D120" s="475"/>
      <c r="E120" s="303" t="s">
        <v>124</v>
      </c>
      <c r="F120" s="303"/>
      <c r="G120" s="412">
        <f>F115</f>
        <v>0.89521700286489547</v>
      </c>
      <c r="H120" s="303"/>
      <c r="I120" s="303"/>
    </row>
    <row r="121" spans="1:10" ht="19.5" customHeight="1" thickBot="1" x14ac:dyDescent="0.35">
      <c r="A121" s="462"/>
      <c r="B121" s="462"/>
      <c r="C121" s="463"/>
      <c r="D121" s="463"/>
      <c r="E121" s="463"/>
      <c r="F121" s="463"/>
      <c r="G121" s="463"/>
      <c r="H121" s="463"/>
    </row>
    <row r="122" spans="1:10" ht="18.75" x14ac:dyDescent="0.3">
      <c r="B122" s="476" t="s">
        <v>26</v>
      </c>
      <c r="C122" s="476"/>
      <c r="E122" s="415" t="s">
        <v>27</v>
      </c>
      <c r="F122" s="464"/>
      <c r="G122" s="476" t="s">
        <v>28</v>
      </c>
      <c r="H122" s="476"/>
    </row>
    <row r="123" spans="1:10" ht="69.95" customHeight="1" x14ac:dyDescent="0.3">
      <c r="A123" s="314" t="s">
        <v>29</v>
      </c>
      <c r="B123" s="465"/>
      <c r="C123" s="465"/>
      <c r="E123" s="465"/>
      <c r="F123" s="303"/>
      <c r="G123" s="465"/>
      <c r="H123" s="465"/>
    </row>
    <row r="124" spans="1:10" ht="69.95" customHeight="1" x14ac:dyDescent="0.3">
      <c r="A124" s="314" t="s">
        <v>30</v>
      </c>
      <c r="B124" s="466"/>
      <c r="C124" s="466"/>
      <c r="E124" s="466"/>
      <c r="F124" s="303"/>
      <c r="G124" s="467"/>
      <c r="H124" s="467"/>
    </row>
    <row r="125" spans="1:10" ht="18.75" x14ac:dyDescent="0.3">
      <c r="A125" s="361"/>
      <c r="B125" s="361"/>
      <c r="C125" s="361"/>
      <c r="D125" s="361"/>
      <c r="E125" s="361"/>
      <c r="F125" s="363"/>
      <c r="G125" s="361"/>
      <c r="H125" s="361"/>
      <c r="I125" s="303"/>
    </row>
    <row r="126" spans="1:10" ht="18.75" x14ac:dyDescent="0.3">
      <c r="A126" s="361"/>
      <c r="B126" s="361"/>
      <c r="C126" s="361"/>
      <c r="D126" s="361"/>
      <c r="E126" s="361"/>
      <c r="F126" s="363"/>
      <c r="G126" s="361"/>
      <c r="H126" s="361"/>
      <c r="I126" s="303"/>
    </row>
    <row r="127" spans="1:10" ht="18.75" x14ac:dyDescent="0.3">
      <c r="A127" s="361"/>
      <c r="B127" s="361"/>
      <c r="C127" s="361"/>
      <c r="D127" s="361"/>
      <c r="E127" s="361"/>
      <c r="F127" s="363"/>
      <c r="G127" s="361"/>
      <c r="H127" s="361"/>
      <c r="I127" s="303"/>
    </row>
    <row r="128" spans="1:10" ht="18.75" x14ac:dyDescent="0.3">
      <c r="A128" s="361"/>
      <c r="B128" s="361"/>
      <c r="C128" s="361"/>
      <c r="D128" s="361"/>
      <c r="E128" s="361"/>
      <c r="F128" s="363"/>
      <c r="G128" s="361"/>
      <c r="H128" s="361"/>
      <c r="I128" s="303"/>
    </row>
    <row r="129" spans="1:9" ht="18.75" x14ac:dyDescent="0.3">
      <c r="A129" s="361"/>
      <c r="B129" s="361"/>
      <c r="C129" s="361"/>
      <c r="D129" s="361"/>
      <c r="E129" s="361"/>
      <c r="F129" s="363"/>
      <c r="G129" s="361"/>
      <c r="H129" s="361"/>
      <c r="I129" s="303"/>
    </row>
    <row r="130" spans="1:9" ht="18.75" x14ac:dyDescent="0.3">
      <c r="A130" s="361"/>
      <c r="B130" s="361"/>
      <c r="C130" s="361"/>
      <c r="D130" s="361"/>
      <c r="E130" s="361"/>
      <c r="F130" s="363"/>
      <c r="G130" s="361"/>
      <c r="H130" s="361"/>
      <c r="I130" s="303"/>
    </row>
    <row r="131" spans="1:9" ht="18.75" x14ac:dyDescent="0.3">
      <c r="A131" s="361"/>
      <c r="B131" s="361"/>
      <c r="C131" s="361"/>
      <c r="D131" s="361"/>
      <c r="E131" s="361"/>
      <c r="F131" s="363"/>
      <c r="G131" s="361"/>
      <c r="H131" s="361"/>
      <c r="I131" s="303"/>
    </row>
    <row r="132" spans="1:9" ht="18.75" x14ac:dyDescent="0.3">
      <c r="A132" s="361"/>
      <c r="B132" s="361"/>
      <c r="C132" s="361"/>
      <c r="D132" s="361"/>
      <c r="E132" s="361"/>
      <c r="F132" s="363"/>
      <c r="G132" s="361"/>
      <c r="H132" s="361"/>
      <c r="I132" s="303"/>
    </row>
    <row r="133" spans="1:9" ht="18.75" x14ac:dyDescent="0.3">
      <c r="A133" s="361"/>
      <c r="B133" s="361"/>
      <c r="C133" s="361"/>
      <c r="D133" s="361"/>
      <c r="E133" s="361"/>
      <c r="F133" s="363"/>
      <c r="G133" s="361"/>
      <c r="H133" s="361"/>
      <c r="I133" s="303"/>
    </row>
    <row r="250" spans="1:1" x14ac:dyDescent="0.25">
      <c r="A250" s="30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2" zoomScale="46" zoomScaleNormal="40" zoomScalePageLayoutView="46" workbookViewId="0">
      <selection activeCell="B58" sqref="B58"/>
    </sheetView>
  </sheetViews>
  <sheetFormatPr defaultColWidth="9.140625" defaultRowHeight="13.5" x14ac:dyDescent="0.25"/>
  <cols>
    <col min="1" max="1" width="55.42578125" style="136" customWidth="1"/>
    <col min="2" max="2" width="33.7109375" style="136" customWidth="1"/>
    <col min="3" max="3" width="42.28515625" style="136" customWidth="1"/>
    <col min="4" max="4" width="30.5703125" style="136" customWidth="1"/>
    <col min="5" max="5" width="39.85546875" style="136" customWidth="1"/>
    <col min="6" max="6" width="30.7109375" style="136" customWidth="1"/>
    <col min="7" max="7" width="39.85546875" style="136" customWidth="1"/>
    <col min="8" max="8" width="30" style="136" customWidth="1"/>
    <col min="9" max="9" width="30.28515625" style="136" hidden="1" customWidth="1"/>
    <col min="10" max="10" width="30.42578125" style="136" customWidth="1"/>
    <col min="11" max="11" width="21.28515625" style="136" customWidth="1"/>
    <col min="12" max="12" width="9.140625" style="136"/>
    <col min="13" max="16384" width="9.140625" style="138"/>
  </cols>
  <sheetData>
    <row r="1" spans="1:9" ht="18.75" customHeight="1" x14ac:dyDescent="0.25">
      <c r="A1" s="540" t="s">
        <v>45</v>
      </c>
      <c r="B1" s="540"/>
      <c r="C1" s="540"/>
      <c r="D1" s="540"/>
      <c r="E1" s="540"/>
      <c r="F1" s="540"/>
      <c r="G1" s="540"/>
      <c r="H1" s="540"/>
      <c r="I1" s="540"/>
    </row>
    <row r="2" spans="1:9" ht="18.7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</row>
    <row r="3" spans="1:9" ht="18.7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</row>
    <row r="4" spans="1:9" ht="18.75" customHeight="1" x14ac:dyDescent="0.25">
      <c r="A4" s="540"/>
      <c r="B4" s="540"/>
      <c r="C4" s="540"/>
      <c r="D4" s="540"/>
      <c r="E4" s="540"/>
      <c r="F4" s="540"/>
      <c r="G4" s="540"/>
      <c r="H4" s="540"/>
      <c r="I4" s="540"/>
    </row>
    <row r="5" spans="1:9" ht="18.75" customHeight="1" x14ac:dyDescent="0.25">
      <c r="A5" s="540"/>
      <c r="B5" s="540"/>
      <c r="C5" s="540"/>
      <c r="D5" s="540"/>
      <c r="E5" s="540"/>
      <c r="F5" s="540"/>
      <c r="G5" s="540"/>
      <c r="H5" s="540"/>
      <c r="I5" s="540"/>
    </row>
    <row r="6" spans="1:9" ht="18.75" customHeight="1" x14ac:dyDescent="0.25">
      <c r="A6" s="540"/>
      <c r="B6" s="540"/>
      <c r="C6" s="540"/>
      <c r="D6" s="540"/>
      <c r="E6" s="540"/>
      <c r="F6" s="540"/>
      <c r="G6" s="540"/>
      <c r="H6" s="540"/>
      <c r="I6" s="540"/>
    </row>
    <row r="7" spans="1:9" ht="18.75" customHeight="1" x14ac:dyDescent="0.25">
      <c r="A7" s="540"/>
      <c r="B7" s="540"/>
      <c r="C7" s="540"/>
      <c r="D7" s="540"/>
      <c r="E7" s="540"/>
      <c r="F7" s="540"/>
      <c r="G7" s="540"/>
      <c r="H7" s="540"/>
      <c r="I7" s="540"/>
    </row>
    <row r="8" spans="1:9" x14ac:dyDescent="0.25">
      <c r="A8" s="541" t="s">
        <v>46</v>
      </c>
      <c r="B8" s="541"/>
      <c r="C8" s="541"/>
      <c r="D8" s="541"/>
      <c r="E8" s="541"/>
      <c r="F8" s="541"/>
      <c r="G8" s="541"/>
      <c r="H8" s="541"/>
      <c r="I8" s="541"/>
    </row>
    <row r="9" spans="1:9" x14ac:dyDescent="0.25">
      <c r="A9" s="541"/>
      <c r="B9" s="541"/>
      <c r="C9" s="541"/>
      <c r="D9" s="541"/>
      <c r="E9" s="541"/>
      <c r="F9" s="541"/>
      <c r="G9" s="541"/>
      <c r="H9" s="541"/>
      <c r="I9" s="541"/>
    </row>
    <row r="10" spans="1:9" x14ac:dyDescent="0.25">
      <c r="A10" s="541"/>
      <c r="B10" s="541"/>
      <c r="C10" s="541"/>
      <c r="D10" s="541"/>
      <c r="E10" s="541"/>
      <c r="F10" s="541"/>
      <c r="G10" s="541"/>
      <c r="H10" s="541"/>
      <c r="I10" s="541"/>
    </row>
    <row r="11" spans="1:9" x14ac:dyDescent="0.25">
      <c r="A11" s="541"/>
      <c r="B11" s="541"/>
      <c r="C11" s="541"/>
      <c r="D11" s="541"/>
      <c r="E11" s="541"/>
      <c r="F11" s="541"/>
      <c r="G11" s="541"/>
      <c r="H11" s="541"/>
      <c r="I11" s="541"/>
    </row>
    <row r="12" spans="1:9" x14ac:dyDescent="0.25">
      <c r="A12" s="541"/>
      <c r="B12" s="541"/>
      <c r="C12" s="541"/>
      <c r="D12" s="541"/>
      <c r="E12" s="541"/>
      <c r="F12" s="541"/>
      <c r="G12" s="541"/>
      <c r="H12" s="541"/>
      <c r="I12" s="541"/>
    </row>
    <row r="13" spans="1:9" x14ac:dyDescent="0.25">
      <c r="A13" s="541"/>
      <c r="B13" s="541"/>
      <c r="C13" s="541"/>
      <c r="D13" s="541"/>
      <c r="E13" s="541"/>
      <c r="F13" s="541"/>
      <c r="G13" s="541"/>
      <c r="H13" s="541"/>
      <c r="I13" s="541"/>
    </row>
    <row r="14" spans="1:9" x14ac:dyDescent="0.25">
      <c r="A14" s="541"/>
      <c r="B14" s="541"/>
      <c r="C14" s="541"/>
      <c r="D14" s="541"/>
      <c r="E14" s="541"/>
      <c r="F14" s="541"/>
      <c r="G14" s="541"/>
      <c r="H14" s="541"/>
      <c r="I14" s="541"/>
    </row>
    <row r="15" spans="1:9" ht="19.5" customHeight="1" thickBot="1" x14ac:dyDescent="0.35">
      <c r="A15" s="137"/>
    </row>
    <row r="16" spans="1:9" ht="19.5" customHeight="1" thickBot="1" x14ac:dyDescent="0.35">
      <c r="A16" s="542" t="s">
        <v>31</v>
      </c>
      <c r="B16" s="543"/>
      <c r="C16" s="543"/>
      <c r="D16" s="543"/>
      <c r="E16" s="543"/>
      <c r="F16" s="543"/>
      <c r="G16" s="543"/>
      <c r="H16" s="544"/>
    </row>
    <row r="17" spans="1:14" ht="20.25" customHeight="1" x14ac:dyDescent="0.25">
      <c r="A17" s="545" t="s">
        <v>47</v>
      </c>
      <c r="B17" s="545"/>
      <c r="C17" s="545"/>
      <c r="D17" s="545"/>
      <c r="E17" s="545"/>
      <c r="F17" s="545"/>
      <c r="G17" s="545"/>
      <c r="H17" s="545"/>
    </row>
    <row r="18" spans="1:14" ht="26.25" customHeight="1" x14ac:dyDescent="0.4">
      <c r="A18" s="139" t="s">
        <v>33</v>
      </c>
      <c r="B18" s="538" t="s">
        <v>5</v>
      </c>
      <c r="C18" s="538"/>
      <c r="D18" s="140"/>
      <c r="E18" s="141"/>
      <c r="F18" s="142"/>
      <c r="G18" s="142"/>
      <c r="H18" s="142"/>
    </row>
    <row r="19" spans="1:14" ht="26.25" customHeight="1" x14ac:dyDescent="0.4">
      <c r="A19" s="139" t="s">
        <v>34</v>
      </c>
      <c r="B19" s="143" t="s">
        <v>7</v>
      </c>
      <c r="C19" s="142">
        <v>29</v>
      </c>
      <c r="D19" s="142"/>
      <c r="E19" s="142"/>
      <c r="F19" s="142"/>
      <c r="G19" s="142"/>
      <c r="H19" s="142"/>
    </row>
    <row r="20" spans="1:14" ht="26.25" customHeight="1" x14ac:dyDescent="0.4">
      <c r="A20" s="139" t="s">
        <v>35</v>
      </c>
      <c r="B20" s="537" t="s">
        <v>9</v>
      </c>
      <c r="C20" s="537"/>
      <c r="D20" s="142"/>
      <c r="E20" s="142"/>
      <c r="F20" s="142"/>
      <c r="G20" s="142"/>
      <c r="H20" s="142"/>
    </row>
    <row r="21" spans="1:14" ht="26.25" customHeight="1" x14ac:dyDescent="0.4">
      <c r="A21" s="139" t="s">
        <v>36</v>
      </c>
      <c r="B21" s="537" t="s">
        <v>11</v>
      </c>
      <c r="C21" s="537"/>
      <c r="D21" s="537"/>
      <c r="E21" s="537"/>
      <c r="F21" s="537"/>
      <c r="G21" s="537"/>
      <c r="H21" s="537"/>
      <c r="I21" s="144"/>
    </row>
    <row r="22" spans="1:14" ht="26.25" customHeight="1" x14ac:dyDescent="0.4">
      <c r="A22" s="139" t="s">
        <v>37</v>
      </c>
      <c r="B22" s="145" t="s">
        <v>126</v>
      </c>
      <c r="C22" s="142"/>
      <c r="D22" s="142"/>
      <c r="E22" s="142"/>
      <c r="F22" s="142"/>
      <c r="G22" s="142"/>
      <c r="H22" s="142"/>
    </row>
    <row r="23" spans="1:14" ht="26.25" customHeight="1" x14ac:dyDescent="0.4">
      <c r="A23" s="139" t="s">
        <v>38</v>
      </c>
      <c r="B23" s="145"/>
      <c r="C23" s="142"/>
      <c r="D23" s="142"/>
      <c r="E23" s="142"/>
      <c r="F23" s="142"/>
      <c r="G23" s="142"/>
      <c r="H23" s="142"/>
    </row>
    <row r="24" spans="1:14" ht="18.75" x14ac:dyDescent="0.3">
      <c r="A24" s="139"/>
      <c r="B24" s="146"/>
    </row>
    <row r="25" spans="1:14" ht="18.75" x14ac:dyDescent="0.3">
      <c r="A25" s="147" t="s">
        <v>1</v>
      </c>
      <c r="B25" s="146"/>
    </row>
    <row r="26" spans="1:14" ht="26.25" customHeight="1" x14ac:dyDescent="0.4">
      <c r="A26" s="148" t="s">
        <v>4</v>
      </c>
      <c r="B26" s="538" t="s">
        <v>129</v>
      </c>
      <c r="C26" s="538"/>
    </row>
    <row r="27" spans="1:14" ht="26.25" customHeight="1" x14ac:dyDescent="0.4">
      <c r="A27" s="149" t="s">
        <v>48</v>
      </c>
      <c r="B27" s="539" t="s">
        <v>130</v>
      </c>
      <c r="C27" s="539"/>
    </row>
    <row r="28" spans="1:14" ht="27" customHeight="1" thickBot="1" x14ac:dyDescent="0.45">
      <c r="A28" s="149" t="s">
        <v>6</v>
      </c>
      <c r="B28" s="150">
        <v>84.06</v>
      </c>
    </row>
    <row r="29" spans="1:14" s="152" customFormat="1" ht="27" customHeight="1" thickBot="1" x14ac:dyDescent="0.45">
      <c r="A29" s="149" t="s">
        <v>49</v>
      </c>
      <c r="B29" s="151">
        <v>0</v>
      </c>
      <c r="C29" s="517" t="s">
        <v>50</v>
      </c>
      <c r="D29" s="518"/>
      <c r="E29" s="518"/>
      <c r="F29" s="518"/>
      <c r="G29" s="519"/>
      <c r="I29" s="153"/>
      <c r="J29" s="153"/>
      <c r="K29" s="153"/>
      <c r="L29" s="153"/>
    </row>
    <row r="30" spans="1:14" s="152" customFormat="1" ht="19.5" customHeight="1" thickBot="1" x14ac:dyDescent="0.35">
      <c r="A30" s="149" t="s">
        <v>51</v>
      </c>
      <c r="B30" s="154">
        <f>B28-B29</f>
        <v>84.06</v>
      </c>
      <c r="C30" s="155"/>
      <c r="D30" s="155"/>
      <c r="E30" s="155"/>
      <c r="F30" s="155"/>
      <c r="G30" s="156"/>
      <c r="I30" s="153"/>
      <c r="J30" s="153"/>
      <c r="K30" s="153"/>
      <c r="L30" s="153"/>
    </row>
    <row r="31" spans="1:14" s="152" customFormat="1" ht="27" customHeight="1" thickBot="1" x14ac:dyDescent="0.45">
      <c r="A31" s="149" t="s">
        <v>52</v>
      </c>
      <c r="B31" s="157">
        <v>1</v>
      </c>
      <c r="C31" s="520" t="s">
        <v>53</v>
      </c>
      <c r="D31" s="521"/>
      <c r="E31" s="521"/>
      <c r="F31" s="521"/>
      <c r="G31" s="521"/>
      <c r="H31" s="522"/>
      <c r="I31" s="153"/>
      <c r="J31" s="153"/>
      <c r="K31" s="153"/>
      <c r="L31" s="153"/>
    </row>
    <row r="32" spans="1:14" s="152" customFormat="1" ht="27" customHeight="1" thickBot="1" x14ac:dyDescent="0.45">
      <c r="A32" s="149" t="s">
        <v>54</v>
      </c>
      <c r="B32" s="157">
        <v>1</v>
      </c>
      <c r="C32" s="520" t="s">
        <v>55</v>
      </c>
      <c r="D32" s="521"/>
      <c r="E32" s="521"/>
      <c r="F32" s="521"/>
      <c r="G32" s="521"/>
      <c r="H32" s="522"/>
      <c r="I32" s="153"/>
      <c r="J32" s="153"/>
      <c r="K32" s="153"/>
      <c r="L32" s="158"/>
      <c r="M32" s="158"/>
      <c r="N32" s="159"/>
    </row>
    <row r="33" spans="1:14" s="152" customFormat="1" ht="17.25" customHeight="1" x14ac:dyDescent="0.3">
      <c r="A33" s="149"/>
      <c r="B33" s="160"/>
      <c r="C33" s="161"/>
      <c r="D33" s="161"/>
      <c r="E33" s="161"/>
      <c r="F33" s="161"/>
      <c r="G33" s="161"/>
      <c r="H33" s="161"/>
      <c r="I33" s="153"/>
      <c r="J33" s="153"/>
      <c r="K33" s="153"/>
      <c r="L33" s="158"/>
      <c r="M33" s="158"/>
      <c r="N33" s="159"/>
    </row>
    <row r="34" spans="1:14" s="152" customFormat="1" ht="18.75" x14ac:dyDescent="0.3">
      <c r="A34" s="149" t="s">
        <v>56</v>
      </c>
      <c r="B34" s="162">
        <f>B31/B32</f>
        <v>1</v>
      </c>
      <c r="C34" s="137" t="s">
        <v>57</v>
      </c>
      <c r="D34" s="137"/>
      <c r="E34" s="137"/>
      <c r="F34" s="137"/>
      <c r="G34" s="137"/>
      <c r="I34" s="153"/>
      <c r="J34" s="153"/>
      <c r="K34" s="153"/>
      <c r="L34" s="158"/>
      <c r="M34" s="158"/>
      <c r="N34" s="159"/>
    </row>
    <row r="35" spans="1:14" s="152" customFormat="1" ht="19.5" customHeight="1" thickBot="1" x14ac:dyDescent="0.35">
      <c r="A35" s="149"/>
      <c r="B35" s="154"/>
      <c r="G35" s="137"/>
      <c r="I35" s="153"/>
      <c r="J35" s="153"/>
      <c r="K35" s="153"/>
      <c r="L35" s="158"/>
      <c r="M35" s="158"/>
      <c r="N35" s="159"/>
    </row>
    <row r="36" spans="1:14" s="152" customFormat="1" ht="27" customHeight="1" thickBot="1" x14ac:dyDescent="0.45">
      <c r="A36" s="163" t="s">
        <v>58</v>
      </c>
      <c r="B36" s="164">
        <v>50</v>
      </c>
      <c r="C36" s="137"/>
      <c r="D36" s="523" t="s">
        <v>59</v>
      </c>
      <c r="E36" s="536"/>
      <c r="F36" s="523" t="s">
        <v>60</v>
      </c>
      <c r="G36" s="524"/>
      <c r="J36" s="153"/>
      <c r="K36" s="153"/>
      <c r="L36" s="158"/>
      <c r="M36" s="158"/>
      <c r="N36" s="159"/>
    </row>
    <row r="37" spans="1:14" s="152" customFormat="1" ht="27" customHeight="1" thickBot="1" x14ac:dyDescent="0.45">
      <c r="A37" s="165" t="s">
        <v>61</v>
      </c>
      <c r="B37" s="166">
        <v>5</v>
      </c>
      <c r="C37" s="167" t="s">
        <v>62</v>
      </c>
      <c r="D37" s="168" t="s">
        <v>63</v>
      </c>
      <c r="E37" s="169" t="s">
        <v>64</v>
      </c>
      <c r="F37" s="168" t="s">
        <v>63</v>
      </c>
      <c r="G37" s="170" t="s">
        <v>64</v>
      </c>
      <c r="I37" s="171" t="s">
        <v>65</v>
      </c>
      <c r="J37" s="153"/>
      <c r="K37" s="153"/>
      <c r="L37" s="158"/>
      <c r="M37" s="158"/>
      <c r="N37" s="159"/>
    </row>
    <row r="38" spans="1:14" s="152" customFormat="1" ht="26.25" customHeight="1" x14ac:dyDescent="0.4">
      <c r="A38" s="165" t="s">
        <v>66</v>
      </c>
      <c r="B38" s="166">
        <v>10</v>
      </c>
      <c r="C38" s="172">
        <v>1</v>
      </c>
      <c r="D38" s="173">
        <v>133684685</v>
      </c>
      <c r="E38" s="174">
        <f>IF(ISBLANK(D38),"-",$D$48/$D$45*D38)</f>
        <v>121338889.78443679</v>
      </c>
      <c r="F38" s="173">
        <v>112388440</v>
      </c>
      <c r="G38" s="175">
        <f>IF(ISBLANK(F38),"-",$D$48/$F$45*F38)</f>
        <v>120162008.73381118</v>
      </c>
      <c r="I38" s="176"/>
      <c r="J38" s="153"/>
      <c r="K38" s="153"/>
      <c r="L38" s="158"/>
      <c r="M38" s="158"/>
      <c r="N38" s="159"/>
    </row>
    <row r="39" spans="1:14" s="152" customFormat="1" ht="26.25" customHeight="1" x14ac:dyDescent="0.4">
      <c r="A39" s="165" t="s">
        <v>67</v>
      </c>
      <c r="B39" s="166">
        <v>1</v>
      </c>
      <c r="C39" s="177">
        <v>2</v>
      </c>
      <c r="D39" s="178">
        <v>133204593</v>
      </c>
      <c r="E39" s="179">
        <f>IF(ISBLANK(D39),"-",$D$48/$D$45*D39)</f>
        <v>120903134.33291002</v>
      </c>
      <c r="F39" s="178">
        <v>112450757</v>
      </c>
      <c r="G39" s="180">
        <f>IF(ISBLANK(F39),"-",$D$48/$F$45*F39)</f>
        <v>120228636.01236638</v>
      </c>
      <c r="I39" s="507">
        <f>ABS((F43/D43*D42)-F42)/D42</f>
        <v>6.764751076625471E-3</v>
      </c>
      <c r="J39" s="153"/>
      <c r="K39" s="153"/>
      <c r="L39" s="158"/>
      <c r="M39" s="158"/>
      <c r="N39" s="159"/>
    </row>
    <row r="40" spans="1:14" ht="26.25" customHeight="1" x14ac:dyDescent="0.4">
      <c r="A40" s="165" t="s">
        <v>68</v>
      </c>
      <c r="B40" s="166">
        <v>1</v>
      </c>
      <c r="C40" s="177">
        <v>3</v>
      </c>
      <c r="D40" s="178">
        <v>133200349</v>
      </c>
      <c r="E40" s="179">
        <f>IF(ISBLANK(D40),"-",$D$48/$D$45*D40)</f>
        <v>120899282.26677212</v>
      </c>
      <c r="F40" s="178">
        <v>112103120</v>
      </c>
      <c r="G40" s="180">
        <f>IF(ISBLANK(F40),"-",$D$48/$F$45*F40)</f>
        <v>119856954.01170692</v>
      </c>
      <c r="I40" s="507"/>
      <c r="L40" s="158"/>
      <c r="M40" s="158"/>
      <c r="N40" s="137"/>
    </row>
    <row r="41" spans="1:14" ht="27" customHeight="1" thickBot="1" x14ac:dyDescent="0.45">
      <c r="A41" s="165" t="s">
        <v>69</v>
      </c>
      <c r="B41" s="166">
        <v>1</v>
      </c>
      <c r="C41" s="181">
        <v>4</v>
      </c>
      <c r="D41" s="182"/>
      <c r="E41" s="183" t="str">
        <f>IF(ISBLANK(D41),"-",$D$48/$D$45*D41)</f>
        <v>-</v>
      </c>
      <c r="F41" s="182"/>
      <c r="G41" s="184" t="str">
        <f>IF(ISBLANK(F41),"-",$D$48/$F$45*F41)</f>
        <v>-</v>
      </c>
      <c r="I41" s="185"/>
      <c r="L41" s="158"/>
      <c r="M41" s="158"/>
      <c r="N41" s="137"/>
    </row>
    <row r="42" spans="1:14" ht="27" customHeight="1" thickBot="1" x14ac:dyDescent="0.45">
      <c r="A42" s="165" t="s">
        <v>70</v>
      </c>
      <c r="B42" s="166">
        <v>1</v>
      </c>
      <c r="C42" s="186" t="s">
        <v>71</v>
      </c>
      <c r="D42" s="187">
        <f>AVERAGE(D38:D41)</f>
        <v>133363209</v>
      </c>
      <c r="E42" s="188">
        <f>AVERAGE(E38:E41)</f>
        <v>121047102.12803964</v>
      </c>
      <c r="F42" s="187">
        <f>AVERAGE(F38:F41)</f>
        <v>112314105.66666667</v>
      </c>
      <c r="G42" s="189">
        <f>AVERAGE(G38:G41)</f>
        <v>120082532.91929483</v>
      </c>
      <c r="H42" s="190"/>
    </row>
    <row r="43" spans="1:14" ht="26.25" customHeight="1" x14ac:dyDescent="0.4">
      <c r="A43" s="165" t="s">
        <v>72</v>
      </c>
      <c r="B43" s="166">
        <v>1</v>
      </c>
      <c r="C43" s="191" t="s">
        <v>73</v>
      </c>
      <c r="D43" s="192">
        <v>19.66</v>
      </c>
      <c r="E43" s="137"/>
      <c r="F43" s="192">
        <v>16.690000000000001</v>
      </c>
      <c r="H43" s="190"/>
    </row>
    <row r="44" spans="1:14" ht="26.25" customHeight="1" x14ac:dyDescent="0.4">
      <c r="A44" s="165" t="s">
        <v>74</v>
      </c>
      <c r="B44" s="166">
        <v>1</v>
      </c>
      <c r="C44" s="193" t="s">
        <v>75</v>
      </c>
      <c r="D44" s="194">
        <f>D43*$B$34</f>
        <v>19.66</v>
      </c>
      <c r="E44" s="195"/>
      <c r="F44" s="194">
        <f>F43*$B$34</f>
        <v>16.690000000000001</v>
      </c>
      <c r="H44" s="190"/>
    </row>
    <row r="45" spans="1:14" ht="19.5" customHeight="1" thickBot="1" x14ac:dyDescent="0.35">
      <c r="A45" s="165" t="s">
        <v>76</v>
      </c>
      <c r="B45" s="177">
        <f>(B44/B43)*(B42/B41)*(B40/B39)*(B38/B37)*B36</f>
        <v>100</v>
      </c>
      <c r="C45" s="193" t="s">
        <v>77</v>
      </c>
      <c r="D45" s="196">
        <f>D44*$B$30/100</f>
        <v>16.526195999999999</v>
      </c>
      <c r="E45" s="197"/>
      <c r="F45" s="196">
        <f>F44*$B$30/100</f>
        <v>14.029614000000002</v>
      </c>
      <c r="H45" s="190"/>
    </row>
    <row r="46" spans="1:14" ht="19.5" customHeight="1" thickBot="1" x14ac:dyDescent="0.35">
      <c r="A46" s="508" t="s">
        <v>78</v>
      </c>
      <c r="B46" s="512"/>
      <c r="C46" s="193" t="s">
        <v>79</v>
      </c>
      <c r="D46" s="198">
        <f>D45/$B$45</f>
        <v>0.16526195999999999</v>
      </c>
      <c r="E46" s="199"/>
      <c r="F46" s="200">
        <f>F45/$B$45</f>
        <v>0.14029614000000001</v>
      </c>
      <c r="H46" s="190"/>
    </row>
    <row r="47" spans="1:14" ht="27" customHeight="1" thickBot="1" x14ac:dyDescent="0.45">
      <c r="A47" s="510"/>
      <c r="B47" s="513"/>
      <c r="C47" s="201" t="s">
        <v>80</v>
      </c>
      <c r="D47" s="202">
        <v>0.15</v>
      </c>
      <c r="E47" s="203"/>
      <c r="F47" s="199"/>
      <c r="H47" s="190"/>
    </row>
    <row r="48" spans="1:14" ht="18.75" x14ac:dyDescent="0.3">
      <c r="C48" s="204" t="s">
        <v>81</v>
      </c>
      <c r="D48" s="196">
        <f>D47*$B$45</f>
        <v>15</v>
      </c>
      <c r="F48" s="205"/>
      <c r="H48" s="190"/>
    </row>
    <row r="49" spans="1:12" ht="19.5" customHeight="1" thickBot="1" x14ac:dyDescent="0.35">
      <c r="C49" s="206" t="s">
        <v>82</v>
      </c>
      <c r="D49" s="207">
        <f>D48/B34</f>
        <v>15</v>
      </c>
      <c r="F49" s="205"/>
      <c r="H49" s="190"/>
    </row>
    <row r="50" spans="1:12" ht="18.75" x14ac:dyDescent="0.3">
      <c r="C50" s="163" t="s">
        <v>83</v>
      </c>
      <c r="D50" s="208">
        <f>AVERAGE(E38:E41,G38:G41)</f>
        <v>120564817.52366723</v>
      </c>
      <c r="F50" s="209"/>
      <c r="H50" s="190"/>
    </row>
    <row r="51" spans="1:12" ht="18.75" x14ac:dyDescent="0.3">
      <c r="C51" s="165" t="s">
        <v>84</v>
      </c>
      <c r="D51" s="210">
        <f>STDEV(E38:E41,G38:G41)/D50</f>
        <v>4.6946822694066788E-3</v>
      </c>
      <c r="F51" s="209"/>
      <c r="H51" s="190"/>
    </row>
    <row r="52" spans="1:12" ht="19.5" customHeight="1" thickBot="1" x14ac:dyDescent="0.35">
      <c r="C52" s="211" t="s">
        <v>20</v>
      </c>
      <c r="D52" s="212">
        <f>COUNT(E38:E41,G38:G41)</f>
        <v>6</v>
      </c>
      <c r="F52" s="209"/>
    </row>
    <row r="54" spans="1:12" ht="18.75" x14ac:dyDescent="0.3">
      <c r="A54" s="213" t="s">
        <v>1</v>
      </c>
      <c r="B54" s="214" t="s">
        <v>85</v>
      </c>
    </row>
    <row r="55" spans="1:12" ht="18.75" x14ac:dyDescent="0.3">
      <c r="A55" s="137" t="s">
        <v>86</v>
      </c>
      <c r="B55" s="215" t="str">
        <f>B21</f>
        <v>ABACAVIR SULFATE 60mg &amp; LAMIVUDINE 30mg TABLETS</v>
      </c>
    </row>
    <row r="56" spans="1:12" ht="26.25" customHeight="1" x14ac:dyDescent="0.4">
      <c r="A56" s="215" t="s">
        <v>87</v>
      </c>
      <c r="B56" s="216">
        <v>30</v>
      </c>
      <c r="C56" s="137" t="str">
        <f>B20</f>
        <v>ABACAVIR SULFATE &amp; LAMIVUDINE TABLETS</v>
      </c>
      <c r="H56" s="195"/>
    </row>
    <row r="57" spans="1:12" ht="18.75" x14ac:dyDescent="0.3">
      <c r="A57" s="215" t="s">
        <v>88</v>
      </c>
      <c r="B57" s="217">
        <f>Uniformity!C46</f>
        <v>147.14699999999999</v>
      </c>
      <c r="H57" s="195"/>
    </row>
    <row r="58" spans="1:12" ht="19.5" customHeight="1" thickBot="1" x14ac:dyDescent="0.35">
      <c r="H58" s="195"/>
    </row>
    <row r="59" spans="1:12" s="152" customFormat="1" ht="27" customHeight="1" thickBot="1" x14ac:dyDescent="0.45">
      <c r="A59" s="163" t="s">
        <v>89</v>
      </c>
      <c r="B59" s="164">
        <v>100</v>
      </c>
      <c r="C59" s="137"/>
      <c r="D59" s="218" t="s">
        <v>90</v>
      </c>
      <c r="E59" s="219" t="s">
        <v>62</v>
      </c>
      <c r="F59" s="219" t="s">
        <v>63</v>
      </c>
      <c r="G59" s="219" t="s">
        <v>91</v>
      </c>
      <c r="H59" s="167" t="s">
        <v>92</v>
      </c>
      <c r="L59" s="153"/>
    </row>
    <row r="60" spans="1:12" s="152" customFormat="1" ht="26.25" customHeight="1" x14ac:dyDescent="0.4">
      <c r="A60" s="165" t="s">
        <v>93</v>
      </c>
      <c r="B60" s="166">
        <v>5</v>
      </c>
      <c r="C60" s="525" t="s">
        <v>94</v>
      </c>
      <c r="D60" s="528">
        <v>148.06</v>
      </c>
      <c r="E60" s="220">
        <v>1</v>
      </c>
      <c r="F60" s="221">
        <v>119375064</v>
      </c>
      <c r="G60" s="222">
        <f>IF(ISBLANK(F60),"-",(F60/$D$50*$D$47*$B$68)*($B$57/$D$60))</f>
        <v>29.520788013873723</v>
      </c>
      <c r="H60" s="223">
        <f t="shared" ref="H60:H71" si="0">IF(ISBLANK(F60),"-",G60/$B$56)</f>
        <v>0.98402626712912411</v>
      </c>
      <c r="L60" s="153"/>
    </row>
    <row r="61" spans="1:12" s="152" customFormat="1" ht="26.25" customHeight="1" x14ac:dyDescent="0.4">
      <c r="A61" s="165" t="s">
        <v>95</v>
      </c>
      <c r="B61" s="166">
        <v>10</v>
      </c>
      <c r="C61" s="526"/>
      <c r="D61" s="529"/>
      <c r="E61" s="224">
        <v>2</v>
      </c>
      <c r="F61" s="178">
        <v>119382489</v>
      </c>
      <c r="G61" s="225">
        <f>IF(ISBLANK(F61),"-",(F61/$D$50*$D$47*$B$68)*($B$57/$D$60))</f>
        <v>29.522624174991947</v>
      </c>
      <c r="H61" s="226">
        <f t="shared" si="0"/>
        <v>0.98408747249973161</v>
      </c>
      <c r="L61" s="153"/>
    </row>
    <row r="62" spans="1:12" s="152" customFormat="1" ht="26.25" customHeight="1" x14ac:dyDescent="0.4">
      <c r="A62" s="165" t="s">
        <v>96</v>
      </c>
      <c r="B62" s="166">
        <v>1</v>
      </c>
      <c r="C62" s="526"/>
      <c r="D62" s="529"/>
      <c r="E62" s="224">
        <v>3</v>
      </c>
      <c r="F62" s="227">
        <v>119312612</v>
      </c>
      <c r="G62" s="225">
        <f>IF(ISBLANK(F62),"-",(F62/$D$50*$D$47*$B$68)*($B$57/$D$60))</f>
        <v>29.505343982337603</v>
      </c>
      <c r="H62" s="226">
        <f t="shared" si="0"/>
        <v>0.98351146607792006</v>
      </c>
      <c r="L62" s="153"/>
    </row>
    <row r="63" spans="1:12" ht="27" customHeight="1" thickBot="1" x14ac:dyDescent="0.45">
      <c r="A63" s="165" t="s">
        <v>97</v>
      </c>
      <c r="B63" s="166">
        <v>1</v>
      </c>
      <c r="C63" s="527"/>
      <c r="D63" s="530"/>
      <c r="E63" s="228">
        <v>4</v>
      </c>
      <c r="F63" s="229"/>
      <c r="G63" s="225" t="str">
        <f>IF(ISBLANK(F63),"-",(F63/$D$50*$D$47*$B$68)*($B$57/$D$60))</f>
        <v>-</v>
      </c>
      <c r="H63" s="226" t="str">
        <f t="shared" si="0"/>
        <v>-</v>
      </c>
    </row>
    <row r="64" spans="1:12" ht="26.25" customHeight="1" x14ac:dyDescent="0.4">
      <c r="A64" s="165" t="s">
        <v>98</v>
      </c>
      <c r="B64" s="166">
        <v>1</v>
      </c>
      <c r="C64" s="525" t="s">
        <v>99</v>
      </c>
      <c r="D64" s="528">
        <v>147.35</v>
      </c>
      <c r="E64" s="220">
        <v>1</v>
      </c>
      <c r="F64" s="221">
        <v>119306169</v>
      </c>
      <c r="G64" s="230">
        <f>IF(ISBLANK(F64),"-",(F64/$D$50*$D$47*$B$68)*($B$57/$D$64))</f>
        <v>29.64591329055396</v>
      </c>
      <c r="H64" s="231">
        <f t="shared" si="0"/>
        <v>0.98819710968513197</v>
      </c>
    </row>
    <row r="65" spans="1:8" ht="26.25" customHeight="1" x14ac:dyDescent="0.4">
      <c r="A65" s="165" t="s">
        <v>100</v>
      </c>
      <c r="B65" s="166">
        <v>1</v>
      </c>
      <c r="C65" s="526"/>
      <c r="D65" s="529"/>
      <c r="E65" s="224">
        <v>2</v>
      </c>
      <c r="F65" s="178">
        <v>119351912</v>
      </c>
      <c r="G65" s="232">
        <f>IF(ISBLANK(F65),"-",(F65/$D$50*$D$47*$B$68)*($B$57/$D$64))</f>
        <v>29.657279785874501</v>
      </c>
      <c r="H65" s="233">
        <f t="shared" si="0"/>
        <v>0.98857599286248332</v>
      </c>
    </row>
    <row r="66" spans="1:8" ht="26.25" customHeight="1" x14ac:dyDescent="0.4">
      <c r="A66" s="165" t="s">
        <v>101</v>
      </c>
      <c r="B66" s="166">
        <v>1</v>
      </c>
      <c r="C66" s="526"/>
      <c r="D66" s="529"/>
      <c r="E66" s="224">
        <v>3</v>
      </c>
      <c r="F66" s="178">
        <v>118788673</v>
      </c>
      <c r="G66" s="232">
        <f>IF(ISBLANK(F66),"-",(F66/$D$50*$D$47*$B$68)*($B$57/$D$64))</f>
        <v>29.517322776980361</v>
      </c>
      <c r="H66" s="233">
        <f t="shared" si="0"/>
        <v>0.98391075923267868</v>
      </c>
    </row>
    <row r="67" spans="1:8" ht="27" customHeight="1" thickBot="1" x14ac:dyDescent="0.45">
      <c r="A67" s="165" t="s">
        <v>102</v>
      </c>
      <c r="B67" s="166">
        <v>1</v>
      </c>
      <c r="C67" s="527"/>
      <c r="D67" s="530"/>
      <c r="E67" s="228">
        <v>4</v>
      </c>
      <c r="F67" s="229"/>
      <c r="G67" s="234" t="str">
        <f>IF(ISBLANK(F67),"-",(F67/$D$50*$D$47*$B$68)*($B$57/$D$64))</f>
        <v>-</v>
      </c>
      <c r="H67" s="235" t="str">
        <f t="shared" si="0"/>
        <v>-</v>
      </c>
    </row>
    <row r="68" spans="1:8" ht="26.25" customHeight="1" x14ac:dyDescent="0.4">
      <c r="A68" s="165" t="s">
        <v>103</v>
      </c>
      <c r="B68" s="236">
        <f>(B67/B66)*(B65/B64)*(B63/B62)*(B61/B60)*B59</f>
        <v>200</v>
      </c>
      <c r="C68" s="525" t="s">
        <v>104</v>
      </c>
      <c r="D68" s="528">
        <v>146.5</v>
      </c>
      <c r="E68" s="220">
        <v>1</v>
      </c>
      <c r="F68" s="221">
        <v>117496833</v>
      </c>
      <c r="G68" s="230">
        <f>IF(ISBLANK(F68),"-",(F68/$D$50*$D$47*$B$68)*($B$57/$D$68))</f>
        <v>29.365717052114224</v>
      </c>
      <c r="H68" s="226">
        <f t="shared" si="0"/>
        <v>0.97885723507047417</v>
      </c>
    </row>
    <row r="69" spans="1:8" ht="27" customHeight="1" thickBot="1" x14ac:dyDescent="0.45">
      <c r="A69" s="211" t="s">
        <v>105</v>
      </c>
      <c r="B69" s="237">
        <f>(D47*B68)/B56*B57</f>
        <v>147.14699999999999</v>
      </c>
      <c r="C69" s="526"/>
      <c r="D69" s="529"/>
      <c r="E69" s="224">
        <v>2</v>
      </c>
      <c r="F69" s="178">
        <v>117918732</v>
      </c>
      <c r="G69" s="232">
        <f>IF(ISBLANK(F69),"-",(F69/$D$50*$D$47*$B$68)*($B$57/$D$68))</f>
        <v>29.471161312544378</v>
      </c>
      <c r="H69" s="226">
        <f t="shared" si="0"/>
        <v>0.98237204375147924</v>
      </c>
    </row>
    <row r="70" spans="1:8" ht="26.25" customHeight="1" x14ac:dyDescent="0.4">
      <c r="A70" s="532" t="s">
        <v>78</v>
      </c>
      <c r="B70" s="533"/>
      <c r="C70" s="526"/>
      <c r="D70" s="529"/>
      <c r="E70" s="224">
        <v>3</v>
      </c>
      <c r="F70" s="178">
        <v>117342398</v>
      </c>
      <c r="G70" s="232">
        <f>IF(ISBLANK(F70),"-",(F70/$D$50*$D$47*$B$68)*($B$57/$D$68))</f>
        <v>29.327119462739681</v>
      </c>
      <c r="H70" s="226">
        <f t="shared" si="0"/>
        <v>0.97757064875798938</v>
      </c>
    </row>
    <row r="71" spans="1:8" ht="27" customHeight="1" thickBot="1" x14ac:dyDescent="0.45">
      <c r="A71" s="534"/>
      <c r="B71" s="535"/>
      <c r="C71" s="531"/>
      <c r="D71" s="530"/>
      <c r="E71" s="228">
        <v>4</v>
      </c>
      <c r="F71" s="229"/>
      <c r="G71" s="234" t="str">
        <f>IF(ISBLANK(F71),"-",(F71/$D$50*$D$47*$B$68)*($B$57/$D$68))</f>
        <v>-</v>
      </c>
      <c r="H71" s="238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239" t="s">
        <v>71</v>
      </c>
      <c r="G72" s="240">
        <f>AVERAGE(G60:G71)</f>
        <v>29.503696650223375</v>
      </c>
      <c r="H72" s="241">
        <f>AVERAGE(H60:H71)</f>
        <v>0.98345655500744578</v>
      </c>
    </row>
    <row r="73" spans="1:8" ht="26.25" customHeight="1" x14ac:dyDescent="0.4">
      <c r="C73" s="195"/>
      <c r="D73" s="195"/>
      <c r="E73" s="195"/>
      <c r="F73" s="242" t="s">
        <v>84</v>
      </c>
      <c r="G73" s="243">
        <f>STDEV(G60:G71)/G72</f>
        <v>3.7115255435368113E-3</v>
      </c>
      <c r="H73" s="243">
        <f>STDEV(H60:H71)/H72</f>
        <v>3.7115255435367957E-3</v>
      </c>
    </row>
    <row r="74" spans="1:8" ht="27" customHeight="1" thickBot="1" x14ac:dyDescent="0.45">
      <c r="A74" s="195"/>
      <c r="B74" s="195"/>
      <c r="C74" s="195"/>
      <c r="D74" s="195"/>
      <c r="E74" s="197"/>
      <c r="F74" s="244" t="s">
        <v>20</v>
      </c>
      <c r="G74" s="245">
        <f>COUNT(G60:G71)</f>
        <v>9</v>
      </c>
      <c r="H74" s="245">
        <f>COUNT(H60:H71)</f>
        <v>9</v>
      </c>
    </row>
    <row r="76" spans="1:8" ht="26.25" customHeight="1" x14ac:dyDescent="0.4">
      <c r="A76" s="148" t="s">
        <v>106</v>
      </c>
      <c r="B76" s="149" t="s">
        <v>107</v>
      </c>
      <c r="C76" s="514" t="str">
        <f>B20</f>
        <v>ABACAVIR SULFATE &amp; LAMIVUDINE TABLETS</v>
      </c>
      <c r="D76" s="514"/>
      <c r="E76" s="137" t="s">
        <v>108</v>
      </c>
      <c r="F76" s="137"/>
      <c r="G76" s="246">
        <f>H72</f>
        <v>0.98345655500744578</v>
      </c>
      <c r="H76" s="154"/>
    </row>
    <row r="77" spans="1:8" ht="18.75" x14ac:dyDescent="0.3">
      <c r="A77" s="147" t="s">
        <v>109</v>
      </c>
      <c r="B77" s="147" t="s">
        <v>110</v>
      </c>
    </row>
    <row r="78" spans="1:8" ht="18.75" x14ac:dyDescent="0.3">
      <c r="A78" s="147"/>
      <c r="B78" s="147"/>
    </row>
    <row r="79" spans="1:8" ht="26.25" customHeight="1" x14ac:dyDescent="0.4">
      <c r="A79" s="148" t="s">
        <v>4</v>
      </c>
      <c r="B79" s="516" t="str">
        <f>B26</f>
        <v>Lamivudine</v>
      </c>
      <c r="C79" s="516"/>
    </row>
    <row r="80" spans="1:8" ht="26.25" customHeight="1" x14ac:dyDescent="0.4">
      <c r="A80" s="149" t="s">
        <v>48</v>
      </c>
      <c r="B80" s="516" t="str">
        <f>B27</f>
        <v>L3-7</v>
      </c>
      <c r="C80" s="516"/>
    </row>
    <row r="81" spans="1:12" ht="27" customHeight="1" thickBot="1" x14ac:dyDescent="0.45">
      <c r="A81" s="149" t="s">
        <v>6</v>
      </c>
      <c r="B81" s="150">
        <f>B28</f>
        <v>84.06</v>
      </c>
    </row>
    <row r="82" spans="1:12" s="152" customFormat="1" ht="27" customHeight="1" thickBot="1" x14ac:dyDescent="0.45">
      <c r="A82" s="149" t="s">
        <v>49</v>
      </c>
      <c r="B82" s="151">
        <v>0</v>
      </c>
      <c r="C82" s="517" t="s">
        <v>50</v>
      </c>
      <c r="D82" s="518"/>
      <c r="E82" s="518"/>
      <c r="F82" s="518"/>
      <c r="G82" s="519"/>
      <c r="I82" s="153"/>
      <c r="J82" s="153"/>
      <c r="K82" s="153"/>
      <c r="L82" s="153"/>
    </row>
    <row r="83" spans="1:12" s="152" customFormat="1" ht="19.5" customHeight="1" thickBot="1" x14ac:dyDescent="0.35">
      <c r="A83" s="149" t="s">
        <v>51</v>
      </c>
      <c r="B83" s="154">
        <f>B81-B82</f>
        <v>84.06</v>
      </c>
      <c r="C83" s="155"/>
      <c r="D83" s="155"/>
      <c r="E83" s="155"/>
      <c r="F83" s="155"/>
      <c r="G83" s="156"/>
      <c r="I83" s="153"/>
      <c r="J83" s="153"/>
      <c r="K83" s="153"/>
      <c r="L83" s="153"/>
    </row>
    <row r="84" spans="1:12" s="152" customFormat="1" ht="27" customHeight="1" thickBot="1" x14ac:dyDescent="0.45">
      <c r="A84" s="149" t="s">
        <v>52</v>
      </c>
      <c r="B84" s="157">
        <v>1</v>
      </c>
      <c r="C84" s="520" t="s">
        <v>111</v>
      </c>
      <c r="D84" s="521"/>
      <c r="E84" s="521"/>
      <c r="F84" s="521"/>
      <c r="G84" s="521"/>
      <c r="H84" s="522"/>
      <c r="I84" s="153"/>
      <c r="J84" s="153"/>
      <c r="K84" s="153"/>
      <c r="L84" s="153"/>
    </row>
    <row r="85" spans="1:12" s="152" customFormat="1" ht="27" customHeight="1" thickBot="1" x14ac:dyDescent="0.45">
      <c r="A85" s="149" t="s">
        <v>54</v>
      </c>
      <c r="B85" s="157">
        <v>1</v>
      </c>
      <c r="C85" s="520" t="s">
        <v>112</v>
      </c>
      <c r="D85" s="521"/>
      <c r="E85" s="521"/>
      <c r="F85" s="521"/>
      <c r="G85" s="521"/>
      <c r="H85" s="522"/>
      <c r="I85" s="153"/>
      <c r="J85" s="153"/>
      <c r="K85" s="153"/>
      <c r="L85" s="153"/>
    </row>
    <row r="86" spans="1:12" s="152" customFormat="1" ht="18.75" x14ac:dyDescent="0.3">
      <c r="A86" s="149"/>
      <c r="B86" s="160"/>
      <c r="C86" s="161"/>
      <c r="D86" s="161"/>
      <c r="E86" s="161"/>
      <c r="F86" s="161"/>
      <c r="G86" s="161"/>
      <c r="H86" s="161"/>
      <c r="I86" s="153"/>
      <c r="J86" s="153"/>
      <c r="K86" s="153"/>
      <c r="L86" s="153"/>
    </row>
    <row r="87" spans="1:12" s="152" customFormat="1" ht="18.75" x14ac:dyDescent="0.3">
      <c r="A87" s="149" t="s">
        <v>56</v>
      </c>
      <c r="B87" s="162">
        <f>B84/B85</f>
        <v>1</v>
      </c>
      <c r="C87" s="137" t="s">
        <v>57</v>
      </c>
      <c r="D87" s="137"/>
      <c r="E87" s="137"/>
      <c r="F87" s="137"/>
      <c r="G87" s="137"/>
      <c r="I87" s="153"/>
      <c r="J87" s="153"/>
      <c r="K87" s="153"/>
      <c r="L87" s="153"/>
    </row>
    <row r="88" spans="1:12" ht="19.5" customHeight="1" thickBot="1" x14ac:dyDescent="0.35">
      <c r="A88" s="147"/>
      <c r="B88" s="147"/>
    </row>
    <row r="89" spans="1:12" ht="27" customHeight="1" thickBot="1" x14ac:dyDescent="0.45">
      <c r="A89" s="163" t="s">
        <v>58</v>
      </c>
      <c r="B89" s="164">
        <v>50</v>
      </c>
      <c r="D89" s="247" t="s">
        <v>59</v>
      </c>
      <c r="E89" s="248"/>
      <c r="F89" s="523" t="s">
        <v>60</v>
      </c>
      <c r="G89" s="524"/>
    </row>
    <row r="90" spans="1:12" ht="27" customHeight="1" thickBot="1" x14ac:dyDescent="0.45">
      <c r="A90" s="165" t="s">
        <v>61</v>
      </c>
      <c r="B90" s="166">
        <v>5</v>
      </c>
      <c r="C90" s="249" t="s">
        <v>62</v>
      </c>
      <c r="D90" s="168" t="s">
        <v>63</v>
      </c>
      <c r="E90" s="169" t="s">
        <v>64</v>
      </c>
      <c r="F90" s="168" t="s">
        <v>63</v>
      </c>
      <c r="G90" s="250" t="s">
        <v>64</v>
      </c>
      <c r="I90" s="171" t="s">
        <v>65</v>
      </c>
    </row>
    <row r="91" spans="1:12" ht="26.25" customHeight="1" x14ac:dyDescent="0.4">
      <c r="A91" s="165" t="s">
        <v>66</v>
      </c>
      <c r="B91" s="166">
        <v>50</v>
      </c>
      <c r="C91" s="251">
        <v>1</v>
      </c>
      <c r="D91" s="173">
        <v>68064600</v>
      </c>
      <c r="E91" s="174">
        <f>IF(ISBLANK(D91),"-",$D$101/$D$98*D91)</f>
        <v>68643140.865568832</v>
      </c>
      <c r="F91" s="173">
        <v>56669732</v>
      </c>
      <c r="G91" s="175">
        <f>IF(ISBLANK(F91),"-",$D$101/$F$98*F91)</f>
        <v>67321562.32761167</v>
      </c>
      <c r="I91" s="176"/>
    </row>
    <row r="92" spans="1:12" ht="26.25" customHeight="1" x14ac:dyDescent="0.4">
      <c r="A92" s="165" t="s">
        <v>67</v>
      </c>
      <c r="B92" s="166">
        <v>1</v>
      </c>
      <c r="C92" s="195">
        <v>2</v>
      </c>
      <c r="D92" s="178">
        <v>69617812</v>
      </c>
      <c r="E92" s="179">
        <f>IF(ISBLANK(D92),"-",$D$101/$D$98*D92)</f>
        <v>70209554.979661807</v>
      </c>
      <c r="F92" s="178">
        <v>56463841</v>
      </c>
      <c r="G92" s="180">
        <f>IF(ISBLANK(F92),"-",$D$101/$F$98*F92)</f>
        <v>67076971.374028295</v>
      </c>
      <c r="I92" s="507">
        <f>ABS((F96/D96*D95)-F95)/D95</f>
        <v>1.8675156670869855E-2</v>
      </c>
    </row>
    <row r="93" spans="1:12" ht="26.25" customHeight="1" x14ac:dyDescent="0.4">
      <c r="A93" s="165" t="s">
        <v>68</v>
      </c>
      <c r="B93" s="166">
        <v>1</v>
      </c>
      <c r="C93" s="195">
        <v>3</v>
      </c>
      <c r="D93" s="178">
        <v>67793544</v>
      </c>
      <c r="E93" s="179">
        <f>IF(ISBLANK(D93),"-",$D$101/$D$98*D93)</f>
        <v>68369780.922361091</v>
      </c>
      <c r="F93" s="178">
        <v>57464213</v>
      </c>
      <c r="G93" s="180">
        <f>IF(ISBLANK(F93),"-",$D$101/$F$98*F93)</f>
        <v>68265376.605039403</v>
      </c>
      <c r="I93" s="507"/>
    </row>
    <row r="94" spans="1:12" ht="27" customHeight="1" thickBot="1" x14ac:dyDescent="0.45">
      <c r="A94" s="165" t="s">
        <v>69</v>
      </c>
      <c r="B94" s="166">
        <v>1</v>
      </c>
      <c r="C94" s="252">
        <v>4</v>
      </c>
      <c r="D94" s="182"/>
      <c r="E94" s="183" t="str">
        <f>IF(ISBLANK(D94),"-",$D$101/$D$98*D94)</f>
        <v>-</v>
      </c>
      <c r="F94" s="253"/>
      <c r="G94" s="184" t="str">
        <f>IF(ISBLANK(F94),"-",$D$101/$F$98*F94)</f>
        <v>-</v>
      </c>
      <c r="I94" s="185"/>
    </row>
    <row r="95" spans="1:12" ht="27" customHeight="1" thickBot="1" x14ac:dyDescent="0.45">
      <c r="A95" s="165" t="s">
        <v>70</v>
      </c>
      <c r="B95" s="166">
        <v>1</v>
      </c>
      <c r="C95" s="149" t="s">
        <v>71</v>
      </c>
      <c r="D95" s="254">
        <f>AVERAGE(D91:D94)</f>
        <v>68491985.333333328</v>
      </c>
      <c r="E95" s="188">
        <f>AVERAGE(E91:E94)</f>
        <v>69074158.922530577</v>
      </c>
      <c r="F95" s="255">
        <f>AVERAGE(F91:F94)</f>
        <v>56865928.666666664</v>
      </c>
      <c r="G95" s="256">
        <f>AVERAGE(G91:G94)</f>
        <v>67554636.768893123</v>
      </c>
    </row>
    <row r="96" spans="1:12" ht="26.25" customHeight="1" x14ac:dyDescent="0.4">
      <c r="A96" s="165" t="s">
        <v>72</v>
      </c>
      <c r="B96" s="150">
        <v>1</v>
      </c>
      <c r="C96" s="257" t="s">
        <v>113</v>
      </c>
      <c r="D96" s="258">
        <v>19.66</v>
      </c>
      <c r="E96" s="137"/>
      <c r="F96" s="192">
        <v>16.690000000000001</v>
      </c>
    </row>
    <row r="97" spans="1:10" ht="26.25" customHeight="1" x14ac:dyDescent="0.4">
      <c r="A97" s="165" t="s">
        <v>74</v>
      </c>
      <c r="B97" s="150">
        <v>1</v>
      </c>
      <c r="C97" s="259" t="s">
        <v>114</v>
      </c>
      <c r="D97" s="260">
        <f>D96*$B$87</f>
        <v>19.66</v>
      </c>
      <c r="E97" s="195"/>
      <c r="F97" s="194">
        <f>F96*$B$87</f>
        <v>16.690000000000001</v>
      </c>
    </row>
    <row r="98" spans="1:10" ht="19.5" customHeight="1" thickBot="1" x14ac:dyDescent="0.35">
      <c r="A98" s="165" t="s">
        <v>76</v>
      </c>
      <c r="B98" s="195">
        <f>(B97/B96)*(B95/B94)*(B93/B92)*(B91/B90)*B89</f>
        <v>500</v>
      </c>
      <c r="C98" s="259" t="s">
        <v>115</v>
      </c>
      <c r="D98" s="261">
        <f>D97*$B$83/100</f>
        <v>16.526195999999999</v>
      </c>
      <c r="E98" s="197"/>
      <c r="F98" s="196">
        <f>F97*$B$83/100</f>
        <v>14.029614000000002</v>
      </c>
    </row>
    <row r="99" spans="1:10" ht="19.5" customHeight="1" thickBot="1" x14ac:dyDescent="0.35">
      <c r="A99" s="508" t="s">
        <v>78</v>
      </c>
      <c r="B99" s="509"/>
      <c r="C99" s="259" t="s">
        <v>116</v>
      </c>
      <c r="D99" s="262">
        <f>D98/$B$98</f>
        <v>3.3052392E-2</v>
      </c>
      <c r="E99" s="197"/>
      <c r="F99" s="200">
        <f>F98/$B$98</f>
        <v>2.8059228000000005E-2</v>
      </c>
      <c r="H99" s="190"/>
    </row>
    <row r="100" spans="1:10" ht="19.5" customHeight="1" thickBot="1" x14ac:dyDescent="0.35">
      <c r="A100" s="510"/>
      <c r="B100" s="511"/>
      <c r="C100" s="259" t="s">
        <v>80</v>
      </c>
      <c r="D100" s="263">
        <f>$B$56/$B$116</f>
        <v>3.3333333333333333E-2</v>
      </c>
      <c r="F100" s="205"/>
      <c r="G100" s="264"/>
      <c r="H100" s="190"/>
    </row>
    <row r="101" spans="1:10" ht="18.75" x14ac:dyDescent="0.3">
      <c r="C101" s="259" t="s">
        <v>81</v>
      </c>
      <c r="D101" s="260">
        <f>D100*$B$98</f>
        <v>16.666666666666668</v>
      </c>
      <c r="F101" s="205"/>
      <c r="H101" s="190"/>
    </row>
    <row r="102" spans="1:10" ht="19.5" customHeight="1" thickBot="1" x14ac:dyDescent="0.35">
      <c r="C102" s="265" t="s">
        <v>82</v>
      </c>
      <c r="D102" s="266">
        <f>D101/B34</f>
        <v>16.666666666666668</v>
      </c>
      <c r="F102" s="209"/>
      <c r="H102" s="190"/>
      <c r="J102" s="267"/>
    </row>
    <row r="103" spans="1:10" ht="18.75" x14ac:dyDescent="0.3">
      <c r="C103" s="268" t="s">
        <v>117</v>
      </c>
      <c r="D103" s="269">
        <f>AVERAGE(E91:E94,G91:G94)</f>
        <v>68314397.845711857</v>
      </c>
      <c r="F103" s="209"/>
      <c r="G103" s="264"/>
      <c r="H103" s="190"/>
      <c r="J103" s="270"/>
    </row>
    <row r="104" spans="1:10" ht="18.75" x14ac:dyDescent="0.3">
      <c r="C104" s="242" t="s">
        <v>84</v>
      </c>
      <c r="D104" s="271">
        <f>STDEV(E91:E94,G91:G94)/D103</f>
        <v>1.6329450836674746E-2</v>
      </c>
      <c r="F104" s="209"/>
      <c r="H104" s="190"/>
      <c r="J104" s="270"/>
    </row>
    <row r="105" spans="1:10" ht="19.5" customHeight="1" thickBot="1" x14ac:dyDescent="0.35">
      <c r="C105" s="244" t="s">
        <v>20</v>
      </c>
      <c r="D105" s="272">
        <f>COUNT(E91:E94,G91:G94)</f>
        <v>6</v>
      </c>
      <c r="F105" s="209"/>
      <c r="H105" s="190"/>
      <c r="J105" s="270"/>
    </row>
    <row r="106" spans="1:10" ht="19.5" customHeight="1" thickBot="1" x14ac:dyDescent="0.35">
      <c r="A106" s="213"/>
      <c r="B106" s="213"/>
      <c r="C106" s="213"/>
      <c r="D106" s="213"/>
      <c r="E106" s="213"/>
    </row>
    <row r="107" spans="1:10" ht="26.25" customHeight="1" x14ac:dyDescent="0.4">
      <c r="A107" s="163" t="s">
        <v>118</v>
      </c>
      <c r="B107" s="164">
        <v>900</v>
      </c>
      <c r="C107" s="247" t="s">
        <v>119</v>
      </c>
      <c r="D107" s="273" t="s">
        <v>63</v>
      </c>
      <c r="E107" s="274" t="s">
        <v>120</v>
      </c>
      <c r="F107" s="275" t="s">
        <v>121</v>
      </c>
    </row>
    <row r="108" spans="1:10" ht="26.25" customHeight="1" x14ac:dyDescent="0.4">
      <c r="A108" s="165" t="s">
        <v>122</v>
      </c>
      <c r="B108" s="166">
        <v>1</v>
      </c>
      <c r="C108" s="276">
        <v>1</v>
      </c>
      <c r="D108" s="277">
        <v>60759137</v>
      </c>
      <c r="E108" s="278">
        <f t="shared" ref="E108:E113" si="1">IF(ISBLANK(D108),"-",D108/$D$103*$D$100*$B$116)</f>
        <v>26.682136818606487</v>
      </c>
      <c r="F108" s="279">
        <f t="shared" ref="F108:F113" si="2">IF(ISBLANK(D108), "-", E108/$B$56)</f>
        <v>0.88940456062021622</v>
      </c>
    </row>
    <row r="109" spans="1:10" ht="26.25" customHeight="1" x14ac:dyDescent="0.4">
      <c r="A109" s="165" t="s">
        <v>95</v>
      </c>
      <c r="B109" s="166">
        <v>1</v>
      </c>
      <c r="C109" s="276">
        <v>2</v>
      </c>
      <c r="D109" s="277">
        <v>60965740</v>
      </c>
      <c r="E109" s="280">
        <f t="shared" si="1"/>
        <v>26.772865716107688</v>
      </c>
      <c r="F109" s="281">
        <f t="shared" si="2"/>
        <v>0.89242885720358955</v>
      </c>
    </row>
    <row r="110" spans="1:10" ht="26.25" customHeight="1" x14ac:dyDescent="0.4">
      <c r="A110" s="165" t="s">
        <v>96</v>
      </c>
      <c r="B110" s="166">
        <v>1</v>
      </c>
      <c r="C110" s="276">
        <v>3</v>
      </c>
      <c r="D110" s="277">
        <v>61025202</v>
      </c>
      <c r="E110" s="280">
        <f t="shared" si="1"/>
        <v>26.798978220297929</v>
      </c>
      <c r="F110" s="281">
        <f t="shared" si="2"/>
        <v>0.89329927400993092</v>
      </c>
    </row>
    <row r="111" spans="1:10" ht="26.25" customHeight="1" x14ac:dyDescent="0.4">
      <c r="A111" s="165" t="s">
        <v>97</v>
      </c>
      <c r="B111" s="166">
        <v>1</v>
      </c>
      <c r="C111" s="276">
        <v>4</v>
      </c>
      <c r="D111" s="277">
        <v>59780651</v>
      </c>
      <c r="E111" s="280">
        <f t="shared" si="1"/>
        <v>26.252438527679626</v>
      </c>
      <c r="F111" s="281">
        <f t="shared" si="2"/>
        <v>0.87508128425598752</v>
      </c>
    </row>
    <row r="112" spans="1:10" ht="26.25" customHeight="1" x14ac:dyDescent="0.4">
      <c r="A112" s="165" t="s">
        <v>98</v>
      </c>
      <c r="B112" s="166">
        <v>1</v>
      </c>
      <c r="C112" s="276">
        <v>5</v>
      </c>
      <c r="D112" s="277">
        <v>60789603</v>
      </c>
      <c r="E112" s="280">
        <f t="shared" si="1"/>
        <v>26.695515843070176</v>
      </c>
      <c r="F112" s="281">
        <f t="shared" si="2"/>
        <v>0.88985052810233922</v>
      </c>
    </row>
    <row r="113" spans="1:10" ht="26.25" customHeight="1" x14ac:dyDescent="0.4">
      <c r="A113" s="165" t="s">
        <v>100</v>
      </c>
      <c r="B113" s="166">
        <v>1</v>
      </c>
      <c r="C113" s="282">
        <v>6</v>
      </c>
      <c r="D113" s="283">
        <v>60338711</v>
      </c>
      <c r="E113" s="284">
        <f t="shared" si="1"/>
        <v>26.497508388908752</v>
      </c>
      <c r="F113" s="285">
        <f t="shared" si="2"/>
        <v>0.88325027963029179</v>
      </c>
    </row>
    <row r="114" spans="1:10" ht="26.25" customHeight="1" x14ac:dyDescent="0.4">
      <c r="A114" s="165" t="s">
        <v>101</v>
      </c>
      <c r="B114" s="166">
        <v>1</v>
      </c>
      <c r="C114" s="276"/>
      <c r="D114" s="195"/>
      <c r="E114" s="137"/>
      <c r="F114" s="286"/>
    </row>
    <row r="115" spans="1:10" ht="26.25" customHeight="1" x14ac:dyDescent="0.4">
      <c r="A115" s="165" t="s">
        <v>102</v>
      </c>
      <c r="B115" s="166">
        <v>1</v>
      </c>
      <c r="C115" s="276"/>
      <c r="D115" s="287" t="s">
        <v>71</v>
      </c>
      <c r="E115" s="288">
        <f>AVERAGE(E108:E113)</f>
        <v>26.616573919111776</v>
      </c>
      <c r="F115" s="289">
        <f>AVERAGE(F108:F113)</f>
        <v>0.88721913063705926</v>
      </c>
    </row>
    <row r="116" spans="1:10" ht="27" customHeight="1" thickBot="1" x14ac:dyDescent="0.45">
      <c r="A116" s="165" t="s">
        <v>103</v>
      </c>
      <c r="B116" s="177">
        <f>(B115/B114)*(B113/B112)*(B111/B110)*(B109/B108)*B107</f>
        <v>900</v>
      </c>
      <c r="C116" s="290"/>
      <c r="D116" s="149" t="s">
        <v>84</v>
      </c>
      <c r="E116" s="291">
        <f>STDEV(E108:E113)/E115</f>
        <v>7.7907996269082642E-3</v>
      </c>
      <c r="F116" s="291">
        <f>STDEV(F108:F113)/F115</f>
        <v>7.7907996269082416E-3</v>
      </c>
      <c r="I116" s="137"/>
    </row>
    <row r="117" spans="1:10" ht="27" customHeight="1" thickBot="1" x14ac:dyDescent="0.45">
      <c r="A117" s="508" t="s">
        <v>78</v>
      </c>
      <c r="B117" s="512"/>
      <c r="C117" s="292"/>
      <c r="D117" s="293" t="s">
        <v>20</v>
      </c>
      <c r="E117" s="294">
        <f>COUNT(E108:E113)</f>
        <v>6</v>
      </c>
      <c r="F117" s="294">
        <f>COUNT(F108:F113)</f>
        <v>6</v>
      </c>
      <c r="I117" s="137"/>
      <c r="J117" s="270"/>
    </row>
    <row r="118" spans="1:10" ht="19.5" customHeight="1" thickBot="1" x14ac:dyDescent="0.35">
      <c r="A118" s="510"/>
      <c r="B118" s="513"/>
      <c r="C118" s="137"/>
      <c r="D118" s="137"/>
      <c r="E118" s="137"/>
      <c r="F118" s="195"/>
      <c r="G118" s="137"/>
      <c r="H118" s="137"/>
      <c r="I118" s="137"/>
    </row>
    <row r="119" spans="1:10" ht="18.75" x14ac:dyDescent="0.3">
      <c r="A119" s="295"/>
      <c r="B119" s="161"/>
      <c r="C119" s="137"/>
      <c r="D119" s="137"/>
      <c r="E119" s="137"/>
      <c r="F119" s="195"/>
      <c r="G119" s="137"/>
      <c r="H119" s="137"/>
      <c r="I119" s="137"/>
    </row>
    <row r="120" spans="1:10" ht="26.25" customHeight="1" x14ac:dyDescent="0.4">
      <c r="A120" s="148" t="s">
        <v>106</v>
      </c>
      <c r="B120" s="149" t="s">
        <v>123</v>
      </c>
      <c r="C120" s="514" t="str">
        <f>B20</f>
        <v>ABACAVIR SULFATE &amp; LAMIVUDINE TABLETS</v>
      </c>
      <c r="D120" s="514"/>
      <c r="E120" s="137" t="s">
        <v>124</v>
      </c>
      <c r="F120" s="137"/>
      <c r="G120" s="246">
        <f>F115</f>
        <v>0.88721913063705926</v>
      </c>
      <c r="H120" s="137"/>
      <c r="I120" s="137"/>
    </row>
    <row r="121" spans="1:10" ht="19.5" customHeight="1" thickBot="1" x14ac:dyDescent="0.35">
      <c r="A121" s="296"/>
      <c r="B121" s="296"/>
      <c r="C121" s="297"/>
      <c r="D121" s="297"/>
      <c r="E121" s="297"/>
      <c r="F121" s="297"/>
      <c r="G121" s="297"/>
      <c r="H121" s="297"/>
    </row>
    <row r="122" spans="1:10" ht="18.75" x14ac:dyDescent="0.3">
      <c r="B122" s="515" t="s">
        <v>26</v>
      </c>
      <c r="C122" s="515"/>
      <c r="E122" s="249" t="s">
        <v>27</v>
      </c>
      <c r="F122" s="298"/>
      <c r="G122" s="515" t="s">
        <v>28</v>
      </c>
      <c r="H122" s="515"/>
    </row>
    <row r="123" spans="1:10" ht="69.95" customHeight="1" x14ac:dyDescent="0.3">
      <c r="A123" s="148" t="s">
        <v>29</v>
      </c>
      <c r="B123" s="299"/>
      <c r="C123" s="299"/>
      <c r="E123" s="299"/>
      <c r="F123" s="137"/>
      <c r="G123" s="299"/>
      <c r="H123" s="299"/>
    </row>
    <row r="124" spans="1:10" ht="69.95" customHeight="1" x14ac:dyDescent="0.3">
      <c r="A124" s="148" t="s">
        <v>30</v>
      </c>
      <c r="B124" s="300"/>
      <c r="C124" s="300"/>
      <c r="E124" s="300"/>
      <c r="F124" s="137"/>
      <c r="G124" s="301"/>
      <c r="H124" s="301"/>
    </row>
    <row r="125" spans="1:10" ht="18.75" x14ac:dyDescent="0.3">
      <c r="A125" s="195"/>
      <c r="B125" s="195"/>
      <c r="C125" s="195"/>
      <c r="D125" s="195"/>
      <c r="E125" s="195"/>
      <c r="F125" s="197"/>
      <c r="G125" s="195"/>
      <c r="H125" s="195"/>
      <c r="I125" s="137"/>
    </row>
    <row r="126" spans="1:10" ht="18.75" x14ac:dyDescent="0.3">
      <c r="A126" s="195"/>
      <c r="B126" s="195"/>
      <c r="C126" s="195"/>
      <c r="D126" s="195"/>
      <c r="E126" s="195"/>
      <c r="F126" s="197"/>
      <c r="G126" s="195"/>
      <c r="H126" s="195"/>
      <c r="I126" s="137"/>
    </row>
    <row r="127" spans="1:10" ht="18.75" x14ac:dyDescent="0.3">
      <c r="A127" s="195"/>
      <c r="B127" s="195"/>
      <c r="C127" s="195"/>
      <c r="D127" s="195"/>
      <c r="E127" s="195"/>
      <c r="F127" s="197"/>
      <c r="G127" s="195"/>
      <c r="H127" s="195"/>
      <c r="I127" s="137"/>
    </row>
    <row r="128" spans="1:10" ht="18.75" x14ac:dyDescent="0.3">
      <c r="A128" s="195"/>
      <c r="B128" s="195"/>
      <c r="C128" s="195"/>
      <c r="D128" s="195"/>
      <c r="E128" s="195"/>
      <c r="F128" s="197"/>
      <c r="G128" s="195"/>
      <c r="H128" s="195"/>
      <c r="I128" s="137"/>
    </row>
    <row r="129" spans="1:9" ht="18.75" x14ac:dyDescent="0.3">
      <c r="A129" s="195"/>
      <c r="B129" s="195"/>
      <c r="C129" s="195"/>
      <c r="D129" s="195"/>
      <c r="E129" s="195"/>
      <c r="F129" s="197"/>
      <c r="G129" s="195"/>
      <c r="H129" s="195"/>
      <c r="I129" s="137"/>
    </row>
    <row r="130" spans="1:9" ht="18.75" x14ac:dyDescent="0.3">
      <c r="A130" s="195"/>
      <c r="B130" s="195"/>
      <c r="C130" s="195"/>
      <c r="D130" s="195"/>
      <c r="E130" s="195"/>
      <c r="F130" s="197"/>
      <c r="G130" s="195"/>
      <c r="H130" s="195"/>
      <c r="I130" s="137"/>
    </row>
    <row r="131" spans="1:9" ht="18.75" x14ac:dyDescent="0.3">
      <c r="A131" s="195"/>
      <c r="B131" s="195"/>
      <c r="C131" s="195"/>
      <c r="D131" s="195"/>
      <c r="E131" s="195"/>
      <c r="F131" s="197"/>
      <c r="G131" s="195"/>
      <c r="H131" s="195"/>
      <c r="I131" s="137"/>
    </row>
    <row r="132" spans="1:9" ht="18.75" x14ac:dyDescent="0.3">
      <c r="A132" s="195"/>
      <c r="B132" s="195"/>
      <c r="C132" s="195"/>
      <c r="D132" s="195"/>
      <c r="E132" s="195"/>
      <c r="F132" s="197"/>
      <c r="G132" s="195"/>
      <c r="H132" s="195"/>
      <c r="I132" s="137"/>
    </row>
    <row r="133" spans="1:9" ht="18.75" x14ac:dyDescent="0.3">
      <c r="A133" s="195"/>
      <c r="B133" s="195"/>
      <c r="C133" s="195"/>
      <c r="D133" s="195"/>
      <c r="E133" s="195"/>
      <c r="F133" s="197"/>
      <c r="G133" s="195"/>
      <c r="H133" s="195"/>
      <c r="I133" s="137"/>
    </row>
    <row r="250" spans="1:1" x14ac:dyDescent="0.25">
      <c r="A250" s="13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29"/>
  </cols>
  <sheetData>
    <row r="14" spans="1:6" ht="15" customHeight="1" x14ac:dyDescent="0.3">
      <c r="A14" s="92"/>
      <c r="C14" s="94"/>
      <c r="F14" s="94"/>
    </row>
    <row r="15" spans="1:6" ht="18.75" customHeight="1" x14ac:dyDescent="0.3">
      <c r="A15" s="546" t="s">
        <v>0</v>
      </c>
      <c r="B15" s="546"/>
      <c r="C15" s="546"/>
      <c r="D15" s="546"/>
      <c r="E15" s="546"/>
    </row>
    <row r="16" spans="1:6" ht="16.5" customHeight="1" x14ac:dyDescent="0.3">
      <c r="A16" s="95" t="s">
        <v>1</v>
      </c>
      <c r="B16" s="96" t="s">
        <v>2</v>
      </c>
    </row>
    <row r="17" spans="1:5" ht="16.5" customHeight="1" x14ac:dyDescent="0.3">
      <c r="A17" s="97" t="s">
        <v>3</v>
      </c>
      <c r="B17" s="97" t="s">
        <v>127</v>
      </c>
      <c r="D17" s="98"/>
      <c r="E17" s="99"/>
    </row>
    <row r="18" spans="1:5" ht="16.5" customHeight="1" x14ac:dyDescent="0.3">
      <c r="A18" s="100" t="s">
        <v>4</v>
      </c>
      <c r="B18" s="97" t="s">
        <v>7</v>
      </c>
      <c r="C18" s="99"/>
      <c r="D18" s="99"/>
      <c r="E18" s="99"/>
    </row>
    <row r="19" spans="1:5" ht="16.5" customHeight="1" x14ac:dyDescent="0.3">
      <c r="A19" s="100" t="s">
        <v>6</v>
      </c>
      <c r="B19" s="101">
        <v>84.06</v>
      </c>
      <c r="C19" s="99"/>
      <c r="D19" s="99"/>
      <c r="E19" s="99"/>
    </row>
    <row r="20" spans="1:5" ht="16.5" customHeight="1" x14ac:dyDescent="0.3">
      <c r="A20" s="97" t="s">
        <v>8</v>
      </c>
      <c r="B20" s="101">
        <v>29.69</v>
      </c>
      <c r="C20" s="99"/>
      <c r="D20" s="99"/>
      <c r="E20" s="99"/>
    </row>
    <row r="21" spans="1:5" ht="16.5" customHeight="1" x14ac:dyDescent="0.3">
      <c r="A21" s="97" t="s">
        <v>10</v>
      </c>
      <c r="B21" s="102">
        <f>B20/50*5/10</f>
        <v>0.2969</v>
      </c>
      <c r="C21" s="99"/>
      <c r="D21" s="99"/>
      <c r="E21" s="99"/>
    </row>
    <row r="22" spans="1:5" ht="15.75" customHeight="1" x14ac:dyDescent="0.25">
      <c r="A22" s="99"/>
      <c r="B22" s="99" t="s">
        <v>126</v>
      </c>
      <c r="C22" s="99"/>
      <c r="D22" s="99"/>
      <c r="E22" s="99"/>
    </row>
    <row r="23" spans="1:5" ht="16.5" customHeight="1" x14ac:dyDescent="0.3">
      <c r="A23" s="103" t="s">
        <v>13</v>
      </c>
      <c r="B23" s="104" t="s">
        <v>14</v>
      </c>
      <c r="C23" s="103" t="s">
        <v>15</v>
      </c>
      <c r="D23" s="103" t="s">
        <v>16</v>
      </c>
      <c r="E23" s="103" t="s">
        <v>17</v>
      </c>
    </row>
    <row r="24" spans="1:5" ht="16.5" customHeight="1" x14ac:dyDescent="0.3">
      <c r="A24" s="105">
        <v>1</v>
      </c>
      <c r="B24" s="106">
        <v>134010614</v>
      </c>
      <c r="C24" s="106">
        <v>7926.23</v>
      </c>
      <c r="D24" s="107">
        <v>1.1299999999999999</v>
      </c>
      <c r="E24" s="108">
        <v>2.39</v>
      </c>
    </row>
    <row r="25" spans="1:5" ht="16.5" customHeight="1" x14ac:dyDescent="0.3">
      <c r="A25" s="105">
        <v>2</v>
      </c>
      <c r="B25" s="106">
        <v>133948456</v>
      </c>
      <c r="C25" s="106">
        <v>7909.38</v>
      </c>
      <c r="D25" s="107">
        <v>1.1299999999999999</v>
      </c>
      <c r="E25" s="107">
        <v>2.39</v>
      </c>
    </row>
    <row r="26" spans="1:5" ht="16.5" customHeight="1" x14ac:dyDescent="0.3">
      <c r="A26" s="105">
        <v>3</v>
      </c>
      <c r="B26" s="106">
        <v>133761271</v>
      </c>
      <c r="C26" s="106">
        <v>7933.97</v>
      </c>
      <c r="D26" s="107">
        <v>1.1299999999999999</v>
      </c>
      <c r="E26" s="107">
        <v>2.39</v>
      </c>
    </row>
    <row r="27" spans="1:5" ht="16.5" customHeight="1" x14ac:dyDescent="0.3">
      <c r="A27" s="105">
        <v>4</v>
      </c>
      <c r="B27" s="106">
        <v>133205227</v>
      </c>
      <c r="C27" s="106">
        <v>7906.23</v>
      </c>
      <c r="D27" s="107">
        <v>1.1299999999999999</v>
      </c>
      <c r="E27" s="107">
        <v>2.39</v>
      </c>
    </row>
    <row r="28" spans="1:5" ht="16.5" customHeight="1" x14ac:dyDescent="0.3">
      <c r="A28" s="105">
        <v>5</v>
      </c>
      <c r="B28" s="106">
        <v>133254796</v>
      </c>
      <c r="C28" s="106">
        <v>7922.99</v>
      </c>
      <c r="D28" s="107">
        <v>1.1299999999999999</v>
      </c>
      <c r="E28" s="107">
        <v>2.39</v>
      </c>
    </row>
    <row r="29" spans="1:5" ht="16.5" customHeight="1" x14ac:dyDescent="0.3">
      <c r="A29" s="105">
        <v>6</v>
      </c>
      <c r="B29" s="109">
        <v>133186167</v>
      </c>
      <c r="C29" s="109">
        <v>7917.29</v>
      </c>
      <c r="D29" s="110">
        <v>1.1299999999999999</v>
      </c>
      <c r="E29" s="110">
        <v>2.39</v>
      </c>
    </row>
    <row r="30" spans="1:5" ht="16.5" customHeight="1" x14ac:dyDescent="0.3">
      <c r="A30" s="111" t="s">
        <v>18</v>
      </c>
      <c r="B30" s="112">
        <f>AVERAGE(B24:B29)</f>
        <v>133561088.5</v>
      </c>
      <c r="C30" s="113">
        <f>AVERAGE(C24:C29)</f>
        <v>7919.3483333333343</v>
      </c>
      <c r="D30" s="114">
        <f>AVERAGE(D24:D29)</f>
        <v>1.1299999999999999</v>
      </c>
      <c r="E30" s="114">
        <f>AVERAGE(E24:E29)</f>
        <v>2.39</v>
      </c>
    </row>
    <row r="31" spans="1:5" ht="16.5" customHeight="1" x14ac:dyDescent="0.3">
      <c r="A31" s="115" t="s">
        <v>19</v>
      </c>
      <c r="B31" s="116">
        <f>(STDEV(B24:B29)/B30)</f>
        <v>2.905999363180816E-3</v>
      </c>
      <c r="C31" s="117"/>
      <c r="D31" s="117"/>
      <c r="E31" s="118"/>
    </row>
    <row r="32" spans="1:5" s="93" customFormat="1" ht="16.5" customHeight="1" x14ac:dyDescent="0.3">
      <c r="A32" s="119" t="s">
        <v>20</v>
      </c>
      <c r="B32" s="120">
        <f>COUNT(B24:B29)</f>
        <v>6</v>
      </c>
      <c r="C32" s="121"/>
      <c r="D32" s="122"/>
      <c r="E32" s="123"/>
    </row>
    <row r="33" spans="1:5" s="93" customFormat="1" ht="15.75" customHeight="1" x14ac:dyDescent="0.25">
      <c r="A33" s="99"/>
      <c r="B33" s="99"/>
      <c r="C33" s="99"/>
      <c r="D33" s="99"/>
      <c r="E33" s="99"/>
    </row>
    <row r="34" spans="1:5" s="93" customFormat="1" ht="16.5" customHeight="1" x14ac:dyDescent="0.3">
      <c r="A34" s="100" t="s">
        <v>21</v>
      </c>
      <c r="B34" s="124" t="s">
        <v>22</v>
      </c>
      <c r="C34" s="125"/>
      <c r="D34" s="125"/>
      <c r="E34" s="125"/>
    </row>
    <row r="35" spans="1:5" ht="16.5" customHeight="1" x14ac:dyDescent="0.3">
      <c r="A35" s="100"/>
      <c r="B35" s="124" t="s">
        <v>23</v>
      </c>
      <c r="C35" s="125"/>
      <c r="D35" s="125"/>
      <c r="E35" s="125"/>
    </row>
    <row r="36" spans="1:5" ht="16.5" customHeight="1" x14ac:dyDescent="0.3">
      <c r="A36" s="100"/>
      <c r="B36" s="124" t="s">
        <v>24</v>
      </c>
      <c r="C36" s="125"/>
      <c r="D36" s="125"/>
      <c r="E36" s="125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95" t="s">
        <v>1</v>
      </c>
      <c r="B38" s="96" t="s">
        <v>25</v>
      </c>
    </row>
    <row r="39" spans="1:5" ht="16.5" customHeight="1" x14ac:dyDescent="0.3">
      <c r="A39" s="100" t="s">
        <v>4</v>
      </c>
      <c r="B39" s="97" t="s">
        <v>128</v>
      </c>
      <c r="C39" s="99"/>
      <c r="D39" s="99"/>
      <c r="E39" s="99"/>
    </row>
    <row r="40" spans="1:5" ht="16.5" customHeight="1" x14ac:dyDescent="0.3">
      <c r="A40" s="100" t="s">
        <v>6</v>
      </c>
      <c r="B40" s="101" t="s">
        <v>7</v>
      </c>
      <c r="C40" s="99"/>
      <c r="D40" s="99"/>
      <c r="E40" s="99"/>
    </row>
    <row r="41" spans="1:5" ht="16.5" customHeight="1" x14ac:dyDescent="0.3">
      <c r="A41" s="97" t="s">
        <v>8</v>
      </c>
      <c r="B41" s="101">
        <v>84.06</v>
      </c>
      <c r="C41" s="99"/>
      <c r="D41" s="99"/>
      <c r="E41" s="99"/>
    </row>
    <row r="42" spans="1:5" ht="16.5" customHeight="1" x14ac:dyDescent="0.3">
      <c r="A42" s="97" t="s">
        <v>10</v>
      </c>
      <c r="B42" s="102">
        <v>0.2969</v>
      </c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 x14ac:dyDescent="0.3">
      <c r="A45" s="105">
        <v>1</v>
      </c>
      <c r="B45" s="106">
        <v>134010614</v>
      </c>
      <c r="C45" s="106">
        <v>7926.23</v>
      </c>
      <c r="D45" s="107">
        <v>1.1299999999999999</v>
      </c>
      <c r="E45" s="108">
        <v>2.39</v>
      </c>
    </row>
    <row r="46" spans="1:5" ht="16.5" customHeight="1" x14ac:dyDescent="0.3">
      <c r="A46" s="105">
        <v>2</v>
      </c>
      <c r="B46" s="106">
        <v>133948456</v>
      </c>
      <c r="C46" s="106">
        <v>7909.38</v>
      </c>
      <c r="D46" s="107">
        <v>1.1299999999999999</v>
      </c>
      <c r="E46" s="107">
        <v>2.39</v>
      </c>
    </row>
    <row r="47" spans="1:5" ht="16.5" customHeight="1" x14ac:dyDescent="0.3">
      <c r="A47" s="105">
        <v>3</v>
      </c>
      <c r="B47" s="106">
        <v>133761271</v>
      </c>
      <c r="C47" s="106">
        <v>7933.97</v>
      </c>
      <c r="D47" s="107">
        <v>1.1299999999999999</v>
      </c>
      <c r="E47" s="107">
        <v>2.39</v>
      </c>
    </row>
    <row r="48" spans="1:5" ht="16.5" customHeight="1" x14ac:dyDescent="0.3">
      <c r="A48" s="105">
        <v>4</v>
      </c>
      <c r="B48" s="106">
        <v>133205227</v>
      </c>
      <c r="C48" s="106">
        <v>7906.23</v>
      </c>
      <c r="D48" s="107">
        <v>1.1299999999999999</v>
      </c>
      <c r="E48" s="107">
        <v>2.39</v>
      </c>
    </row>
    <row r="49" spans="1:7" ht="16.5" customHeight="1" x14ac:dyDescent="0.3">
      <c r="A49" s="105">
        <v>5</v>
      </c>
      <c r="B49" s="106">
        <v>133254796</v>
      </c>
      <c r="C49" s="106">
        <v>7922.99</v>
      </c>
      <c r="D49" s="107">
        <v>1.1299999999999999</v>
      </c>
      <c r="E49" s="107">
        <v>2.39</v>
      </c>
    </row>
    <row r="50" spans="1:7" ht="16.5" customHeight="1" x14ac:dyDescent="0.3">
      <c r="A50" s="105">
        <v>6</v>
      </c>
      <c r="B50" s="109">
        <v>133186167</v>
      </c>
      <c r="C50" s="109">
        <v>7917.29</v>
      </c>
      <c r="D50" s="110">
        <v>1.1299999999999999</v>
      </c>
      <c r="E50" s="110">
        <v>2.39</v>
      </c>
    </row>
    <row r="51" spans="1:7" ht="16.5" customHeight="1" x14ac:dyDescent="0.3">
      <c r="A51" s="111" t="s">
        <v>18</v>
      </c>
      <c r="B51" s="112">
        <f>AVERAGE(B45:B50)</f>
        <v>133561088.5</v>
      </c>
      <c r="C51" s="113">
        <f>AVERAGE(C45:C50)</f>
        <v>7919.3483333333343</v>
      </c>
      <c r="D51" s="114">
        <f>AVERAGE(D45:D50)</f>
        <v>1.1299999999999999</v>
      </c>
      <c r="E51" s="114">
        <f>AVERAGE(E45:E50)</f>
        <v>2.39</v>
      </c>
    </row>
    <row r="52" spans="1:7" ht="16.5" customHeight="1" x14ac:dyDescent="0.3">
      <c r="A52" s="115" t="s">
        <v>19</v>
      </c>
      <c r="B52" s="116">
        <f>(STDEV(B45:B50)/B51)</f>
        <v>2.905999363180816E-3</v>
      </c>
      <c r="C52" s="117"/>
      <c r="D52" s="117"/>
      <c r="E52" s="118"/>
    </row>
    <row r="53" spans="1:7" s="93" customFormat="1" ht="16.5" customHeight="1" x14ac:dyDescent="0.3">
      <c r="A53" s="119" t="s">
        <v>20</v>
      </c>
      <c r="B53" s="120">
        <f>COUNT(B45:B50)</f>
        <v>6</v>
      </c>
      <c r="C53" s="121"/>
      <c r="D53" s="122"/>
      <c r="E53" s="123"/>
    </row>
    <row r="54" spans="1:7" s="93" customFormat="1" ht="15.75" customHeight="1" x14ac:dyDescent="0.25">
      <c r="A54" s="99"/>
      <c r="B54" s="99"/>
      <c r="C54" s="99"/>
      <c r="D54" s="99"/>
      <c r="E54" s="99"/>
    </row>
    <row r="55" spans="1:7" s="93" customFormat="1" ht="16.5" customHeight="1" x14ac:dyDescent="0.3">
      <c r="A55" s="100" t="s">
        <v>21</v>
      </c>
      <c r="B55" s="124" t="s">
        <v>22</v>
      </c>
      <c r="C55" s="125"/>
      <c r="D55" s="125"/>
      <c r="E55" s="125"/>
    </row>
    <row r="56" spans="1:7" ht="16.5" customHeight="1" x14ac:dyDescent="0.3">
      <c r="A56" s="100"/>
      <c r="B56" s="124" t="s">
        <v>23</v>
      </c>
      <c r="C56" s="125"/>
      <c r="D56" s="125"/>
      <c r="E56" s="125"/>
    </row>
    <row r="57" spans="1:7" ht="16.5" customHeight="1" x14ac:dyDescent="0.3">
      <c r="A57" s="100"/>
      <c r="B57" s="124" t="s">
        <v>24</v>
      </c>
      <c r="C57" s="125"/>
      <c r="D57" s="125"/>
      <c r="E57" s="125"/>
    </row>
    <row r="58" spans="1:7" ht="14.25" customHeight="1" thickBot="1" x14ac:dyDescent="0.3">
      <c r="A58" s="126"/>
      <c r="B58" s="127"/>
      <c r="D58" s="128"/>
      <c r="F58" s="129"/>
      <c r="G58" s="129"/>
    </row>
    <row r="59" spans="1:7" ht="15" customHeight="1" x14ac:dyDescent="0.3">
      <c r="B59" s="547" t="s">
        <v>26</v>
      </c>
      <c r="C59" s="547"/>
      <c r="E59" s="130" t="s">
        <v>27</v>
      </c>
      <c r="F59" s="131"/>
      <c r="G59" s="130" t="s">
        <v>28</v>
      </c>
    </row>
    <row r="60" spans="1:7" ht="15" customHeight="1" x14ac:dyDescent="0.3">
      <c r="A60" s="132" t="s">
        <v>29</v>
      </c>
      <c r="B60" s="133"/>
      <c r="C60" s="133"/>
      <c r="E60" s="133"/>
      <c r="G60" s="133"/>
    </row>
    <row r="61" spans="1:7" ht="15" customHeight="1" x14ac:dyDescent="0.3">
      <c r="A61" s="132" t="s">
        <v>30</v>
      </c>
      <c r="B61" s="134"/>
      <c r="C61" s="134"/>
      <c r="E61" s="134"/>
      <c r="G61" s="1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125</v>
      </c>
      <c r="D17" s="54"/>
      <c r="E17" s="55"/>
    </row>
    <row r="18" spans="1:5" ht="16.5" customHeight="1" x14ac:dyDescent="0.3">
      <c r="A18" s="56" t="s">
        <v>4</v>
      </c>
      <c r="B18" s="53" t="s">
        <v>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15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B20/50*5/10</f>
        <v>0.15</v>
      </c>
      <c r="C21" s="55"/>
      <c r="D21" s="55"/>
      <c r="E21" s="55"/>
    </row>
    <row r="22" spans="1:5" ht="15.75" customHeight="1" x14ac:dyDescent="0.25">
      <c r="A22" s="55"/>
      <c r="B22" s="55" t="s">
        <v>126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72247077</v>
      </c>
      <c r="C24" s="62">
        <v>10171.959999999999</v>
      </c>
      <c r="D24" s="63">
        <v>1.46</v>
      </c>
      <c r="E24" s="64">
        <v>8.99</v>
      </c>
    </row>
    <row r="25" spans="1:5" ht="16.5" customHeight="1" x14ac:dyDescent="0.3">
      <c r="A25" s="61">
        <v>2</v>
      </c>
      <c r="B25" s="62">
        <v>72222282</v>
      </c>
      <c r="C25" s="62">
        <v>10170.99</v>
      </c>
      <c r="D25" s="63">
        <v>1.43</v>
      </c>
      <c r="E25" s="63">
        <v>8.99</v>
      </c>
    </row>
    <row r="26" spans="1:5" ht="16.5" customHeight="1" x14ac:dyDescent="0.3">
      <c r="A26" s="61">
        <v>3</v>
      </c>
      <c r="B26" s="62">
        <v>72093459</v>
      </c>
      <c r="C26" s="62">
        <v>10142.74</v>
      </c>
      <c r="D26" s="63">
        <v>1.42</v>
      </c>
      <c r="E26" s="63">
        <v>8.99</v>
      </c>
    </row>
    <row r="27" spans="1:5" ht="16.5" customHeight="1" x14ac:dyDescent="0.3">
      <c r="A27" s="61">
        <v>4</v>
      </c>
      <c r="B27" s="62">
        <v>71769089</v>
      </c>
      <c r="C27" s="62">
        <v>10152.040000000001</v>
      </c>
      <c r="D27" s="63">
        <v>1.45</v>
      </c>
      <c r="E27" s="63">
        <v>8.99</v>
      </c>
    </row>
    <row r="28" spans="1:5" ht="16.5" customHeight="1" x14ac:dyDescent="0.3">
      <c r="A28" s="61">
        <v>5</v>
      </c>
      <c r="B28" s="62">
        <v>71775962</v>
      </c>
      <c r="C28" s="62">
        <v>10152.1</v>
      </c>
      <c r="D28" s="63">
        <v>1.44</v>
      </c>
      <c r="E28" s="63">
        <v>8.99</v>
      </c>
    </row>
    <row r="29" spans="1:5" ht="16.5" customHeight="1" x14ac:dyDescent="0.3">
      <c r="A29" s="61">
        <v>6</v>
      </c>
      <c r="B29" s="65">
        <v>71777976</v>
      </c>
      <c r="C29" s="65">
        <v>10136.9</v>
      </c>
      <c r="D29" s="66">
        <v>1.44</v>
      </c>
      <c r="E29" s="66">
        <v>8.99</v>
      </c>
    </row>
    <row r="30" spans="1:5" ht="16.5" customHeight="1" x14ac:dyDescent="0.3">
      <c r="A30" s="67" t="s">
        <v>18</v>
      </c>
      <c r="B30" s="68">
        <f>AVERAGE(B24:B29)</f>
        <v>71980974.166666672</v>
      </c>
      <c r="C30" s="69">
        <f>AVERAGE(C24:C29)</f>
        <v>10154.455</v>
      </c>
      <c r="D30" s="70">
        <f>AVERAGE(D24:D29)</f>
        <v>1.4399999999999997</v>
      </c>
      <c r="E30" s="70">
        <f>AVERAGE(E24:E29)</f>
        <v>8.99</v>
      </c>
    </row>
    <row r="31" spans="1:5" ht="16.5" customHeight="1" x14ac:dyDescent="0.3">
      <c r="A31" s="71" t="s">
        <v>19</v>
      </c>
      <c r="B31" s="72">
        <f>(STDEV(B24:B29)/B30)</f>
        <v>3.2273023454597455E-3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7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99.5</v>
      </c>
      <c r="C40" s="55"/>
      <c r="D40" s="55"/>
      <c r="E40" s="55"/>
    </row>
    <row r="41" spans="1:5" ht="16.5" customHeight="1" x14ac:dyDescent="0.3">
      <c r="A41" s="53" t="s">
        <v>8</v>
      </c>
      <c r="B41" s="57">
        <v>30</v>
      </c>
      <c r="C41" s="55"/>
      <c r="D41" s="55"/>
      <c r="E41" s="55"/>
    </row>
    <row r="42" spans="1:5" ht="16.5" customHeight="1" x14ac:dyDescent="0.3">
      <c r="A42" s="53" t="s">
        <v>10</v>
      </c>
      <c r="B42" s="58">
        <f>30/50*5/10*10/100</f>
        <v>0.03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72247077</v>
      </c>
      <c r="C45" s="62">
        <v>10171.959999999999</v>
      </c>
      <c r="D45" s="63">
        <v>1.46</v>
      </c>
      <c r="E45" s="64">
        <v>8.99</v>
      </c>
    </row>
    <row r="46" spans="1:5" ht="16.5" customHeight="1" x14ac:dyDescent="0.3">
      <c r="A46" s="61">
        <v>2</v>
      </c>
      <c r="B46" s="62">
        <v>72222282</v>
      </c>
      <c r="C46" s="62">
        <v>10170.99</v>
      </c>
      <c r="D46" s="63">
        <v>1.43</v>
      </c>
      <c r="E46" s="63">
        <v>8.99</v>
      </c>
    </row>
    <row r="47" spans="1:5" ht="16.5" customHeight="1" x14ac:dyDescent="0.3">
      <c r="A47" s="61">
        <v>3</v>
      </c>
      <c r="B47" s="62">
        <v>72093459</v>
      </c>
      <c r="C47" s="62">
        <v>10142.74</v>
      </c>
      <c r="D47" s="63">
        <v>1.42</v>
      </c>
      <c r="E47" s="63">
        <v>8.99</v>
      </c>
    </row>
    <row r="48" spans="1:5" ht="16.5" customHeight="1" x14ac:dyDescent="0.3">
      <c r="A48" s="61">
        <v>4</v>
      </c>
      <c r="B48" s="62">
        <v>71769089</v>
      </c>
      <c r="C48" s="62">
        <v>10152.040000000001</v>
      </c>
      <c r="D48" s="63">
        <v>1.45</v>
      </c>
      <c r="E48" s="63">
        <v>8.99</v>
      </c>
    </row>
    <row r="49" spans="1:7" ht="16.5" customHeight="1" x14ac:dyDescent="0.3">
      <c r="A49" s="61">
        <v>5</v>
      </c>
      <c r="B49" s="62">
        <v>71775962</v>
      </c>
      <c r="C49" s="62">
        <v>10152.1</v>
      </c>
      <c r="D49" s="63">
        <v>1.44</v>
      </c>
      <c r="E49" s="63">
        <v>8.99</v>
      </c>
    </row>
    <row r="50" spans="1:7" ht="16.5" customHeight="1" x14ac:dyDescent="0.3">
      <c r="A50" s="61">
        <v>6</v>
      </c>
      <c r="B50" s="65">
        <v>71777976</v>
      </c>
      <c r="C50" s="65">
        <v>10136.9</v>
      </c>
      <c r="D50" s="66">
        <v>1.44</v>
      </c>
      <c r="E50" s="66">
        <v>8.99</v>
      </c>
    </row>
    <row r="51" spans="1:7" ht="16.5" customHeight="1" x14ac:dyDescent="0.3">
      <c r="A51" s="67" t="s">
        <v>18</v>
      </c>
      <c r="B51" s="68">
        <f>AVERAGE(B45:B50)</f>
        <v>71980974.166666672</v>
      </c>
      <c r="C51" s="69">
        <f>AVERAGE(C45:C50)</f>
        <v>10154.455</v>
      </c>
      <c r="D51" s="70">
        <f>AVERAGE(D45:D50)</f>
        <v>1.4399999999999997</v>
      </c>
      <c r="E51" s="70">
        <f>AVERAGE(E45:E50)</f>
        <v>8.99</v>
      </c>
    </row>
    <row r="52" spans="1:7" ht="16.5" customHeight="1" x14ac:dyDescent="0.3">
      <c r="A52" s="71" t="s">
        <v>19</v>
      </c>
      <c r="B52" s="72">
        <f>(STDEV(B45:B50)/B51)</f>
        <v>3.2273023454597455E-3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49" t="s">
        <v>26</v>
      </c>
      <c r="C59" s="549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C45" sqref="C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 x14ac:dyDescent="0.3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 x14ac:dyDescent="0.3">
      <c r="A14" s="557" t="s">
        <v>33</v>
      </c>
      <c r="B14" s="557"/>
      <c r="C14" s="10" t="s">
        <v>5</v>
      </c>
    </row>
    <row r="15" spans="1:7" ht="16.5" customHeight="1" x14ac:dyDescent="0.3">
      <c r="A15" s="557" t="s">
        <v>34</v>
      </c>
      <c r="B15" s="557"/>
      <c r="C15" s="10" t="s">
        <v>7</v>
      </c>
    </row>
    <row r="16" spans="1:7" ht="16.5" customHeight="1" x14ac:dyDescent="0.3">
      <c r="A16" s="557" t="s">
        <v>35</v>
      </c>
      <c r="B16" s="557"/>
      <c r="C16" s="10" t="s">
        <v>9</v>
      </c>
    </row>
    <row r="17" spans="1:5" ht="16.5" customHeight="1" x14ac:dyDescent="0.3">
      <c r="A17" s="557" t="s">
        <v>36</v>
      </c>
      <c r="B17" s="557"/>
      <c r="C17" s="10" t="s">
        <v>11</v>
      </c>
    </row>
    <row r="18" spans="1:5" ht="16.5" customHeight="1" x14ac:dyDescent="0.3">
      <c r="A18" s="557" t="s">
        <v>37</v>
      </c>
      <c r="B18" s="557"/>
      <c r="C18" s="47" t="s">
        <v>12</v>
      </c>
    </row>
    <row r="19" spans="1:5" ht="16.5" customHeight="1" x14ac:dyDescent="0.3">
      <c r="A19" s="557" t="s">
        <v>38</v>
      </c>
      <c r="B19" s="55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2" t="s">
        <v>1</v>
      </c>
      <c r="B21" s="552"/>
      <c r="C21" s="9" t="s">
        <v>39</v>
      </c>
      <c r="D21" s="16"/>
    </row>
    <row r="22" spans="1:5" ht="15.75" customHeight="1" x14ac:dyDescent="0.3">
      <c r="A22" s="556"/>
      <c r="B22" s="556"/>
      <c r="C22" s="7"/>
      <c r="D22" s="556"/>
      <c r="E22" s="55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147.66999999999999</v>
      </c>
      <c r="D24" s="37">
        <f t="shared" ref="D24:D43" si="0">(C24-$C$46)/$C$46</f>
        <v>3.5542688603912831E-3</v>
      </c>
      <c r="E24" s="3"/>
    </row>
    <row r="25" spans="1:5" ht="15.75" customHeight="1" x14ac:dyDescent="0.3">
      <c r="C25" s="45">
        <v>147.38999999999999</v>
      </c>
      <c r="D25" s="38">
        <f t="shared" si="0"/>
        <v>1.6514098146750869E-3</v>
      </c>
      <c r="E25" s="3"/>
    </row>
    <row r="26" spans="1:5" ht="15.75" customHeight="1" x14ac:dyDescent="0.3">
      <c r="C26" s="45">
        <v>148.66999999999999</v>
      </c>
      <c r="D26" s="38">
        <f t="shared" si="0"/>
        <v>1.0350194023663386E-2</v>
      </c>
      <c r="E26" s="3"/>
    </row>
    <row r="27" spans="1:5" ht="15.75" customHeight="1" x14ac:dyDescent="0.3">
      <c r="C27" s="45">
        <v>150.97999999999999</v>
      </c>
      <c r="D27" s="38">
        <f t="shared" si="0"/>
        <v>2.6048781150821959E-2</v>
      </c>
      <c r="E27" s="3"/>
    </row>
    <row r="28" spans="1:5" ht="15.75" customHeight="1" x14ac:dyDescent="0.3">
      <c r="C28" s="45">
        <v>142.41999999999999</v>
      </c>
      <c r="D28" s="38">
        <f t="shared" si="0"/>
        <v>-3.2124338246787253E-2</v>
      </c>
      <c r="E28" s="3"/>
    </row>
    <row r="29" spans="1:5" ht="15.75" customHeight="1" x14ac:dyDescent="0.3">
      <c r="C29" s="45">
        <v>144.76</v>
      </c>
      <c r="D29" s="38">
        <f t="shared" si="0"/>
        <v>-1.6221873364730511E-2</v>
      </c>
      <c r="E29" s="3"/>
    </row>
    <row r="30" spans="1:5" ht="15.75" customHeight="1" x14ac:dyDescent="0.3">
      <c r="C30" s="45">
        <v>147.16999999999999</v>
      </c>
      <c r="D30" s="38">
        <f t="shared" si="0"/>
        <v>1.5630627875523208E-4</v>
      </c>
      <c r="E30" s="3"/>
    </row>
    <row r="31" spans="1:5" ht="15.75" customHeight="1" x14ac:dyDescent="0.3">
      <c r="C31" s="45">
        <v>149.82</v>
      </c>
      <c r="D31" s="38">
        <f t="shared" si="0"/>
        <v>1.8165507961426342E-2</v>
      </c>
      <c r="E31" s="3"/>
    </row>
    <row r="32" spans="1:5" ht="15.75" customHeight="1" x14ac:dyDescent="0.3">
      <c r="C32" s="45">
        <v>144.41999999999999</v>
      </c>
      <c r="D32" s="38">
        <f t="shared" si="0"/>
        <v>-1.8532487920243049E-2</v>
      </c>
      <c r="E32" s="3"/>
    </row>
    <row r="33" spans="1:7" ht="15.75" customHeight="1" x14ac:dyDescent="0.3">
      <c r="C33" s="45">
        <v>150.1</v>
      </c>
      <c r="D33" s="38">
        <f t="shared" si="0"/>
        <v>2.006836700714254E-2</v>
      </c>
      <c r="E33" s="3"/>
    </row>
    <row r="34" spans="1:7" ht="15.75" customHeight="1" x14ac:dyDescent="0.3">
      <c r="C34" s="45">
        <v>147.11000000000001</v>
      </c>
      <c r="D34" s="38">
        <f t="shared" si="0"/>
        <v>-2.5144923104091638E-4</v>
      </c>
      <c r="E34" s="3"/>
    </row>
    <row r="35" spans="1:7" ht="15.75" customHeight="1" x14ac:dyDescent="0.3">
      <c r="C35" s="45">
        <v>142.9</v>
      </c>
      <c r="D35" s="38">
        <f t="shared" si="0"/>
        <v>-2.886229416841652E-2</v>
      </c>
      <c r="E35" s="3"/>
    </row>
    <row r="36" spans="1:7" ht="15.75" customHeight="1" x14ac:dyDescent="0.3">
      <c r="C36" s="45">
        <v>144.83000000000001</v>
      </c>
      <c r="D36" s="38">
        <f t="shared" si="0"/>
        <v>-1.5746158603301318E-2</v>
      </c>
      <c r="E36" s="3"/>
    </row>
    <row r="37" spans="1:7" ht="15.75" customHeight="1" x14ac:dyDescent="0.3">
      <c r="C37" s="45">
        <v>147.72</v>
      </c>
      <c r="D37" s="38">
        <f t="shared" si="0"/>
        <v>3.8940651185549657E-3</v>
      </c>
      <c r="E37" s="3"/>
    </row>
    <row r="38" spans="1:7" ht="15.75" customHeight="1" x14ac:dyDescent="0.3">
      <c r="C38" s="45">
        <v>151.24</v>
      </c>
      <c r="D38" s="38">
        <f t="shared" si="0"/>
        <v>2.7815721693272837E-2</v>
      </c>
      <c r="E38" s="3"/>
    </row>
    <row r="39" spans="1:7" ht="15.75" customHeight="1" x14ac:dyDescent="0.3">
      <c r="C39" s="45">
        <v>146.9</v>
      </c>
      <c r="D39" s="38">
        <f t="shared" si="0"/>
        <v>-1.6785935153281119E-3</v>
      </c>
      <c r="E39" s="3"/>
    </row>
    <row r="40" spans="1:7" ht="15.75" customHeight="1" x14ac:dyDescent="0.3">
      <c r="C40" s="45">
        <v>146.21</v>
      </c>
      <c r="D40" s="38">
        <f t="shared" si="0"/>
        <v>-6.3677818779858475E-3</v>
      </c>
      <c r="E40" s="3"/>
    </row>
    <row r="41" spans="1:7" ht="15.75" customHeight="1" x14ac:dyDescent="0.3">
      <c r="C41" s="45">
        <v>148.63999999999999</v>
      </c>
      <c r="D41" s="38">
        <f t="shared" si="0"/>
        <v>1.0146316268765216E-2</v>
      </c>
      <c r="E41" s="3"/>
    </row>
    <row r="42" spans="1:7" ht="15.75" customHeight="1" x14ac:dyDescent="0.3">
      <c r="C42" s="45">
        <v>148.32</v>
      </c>
      <c r="D42" s="38">
        <f t="shared" si="0"/>
        <v>7.9716202165181892E-3</v>
      </c>
      <c r="E42" s="3"/>
    </row>
    <row r="43" spans="1:7" ht="16.5" customHeight="1" x14ac:dyDescent="0.3">
      <c r="C43" s="46">
        <v>145.66999999999999</v>
      </c>
      <c r="D43" s="39">
        <f t="shared" si="0"/>
        <v>-1.0037581466152922E-2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2942.94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147.14699999999999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0">
        <f>C46</f>
        <v>147.14699999999999</v>
      </c>
      <c r="C49" s="43">
        <f>-IF(C46&lt;=80,10%,IF(C46&lt;250,7.5%,5%))</f>
        <v>-7.4999999999999997E-2</v>
      </c>
      <c r="D49" s="31">
        <f>IF(C46&lt;=80,C46*0.9,IF(C46&lt;250,C46*0.925,C46*0.95))</f>
        <v>136.110975</v>
      </c>
    </row>
    <row r="50" spans="1:6" ht="17.25" customHeight="1" x14ac:dyDescent="0.3">
      <c r="B50" s="551"/>
      <c r="C50" s="44">
        <f>IF(C46&lt;=80, 10%, IF(C46&lt;250, 7.5%, 5%))</f>
        <v>7.4999999999999997E-2</v>
      </c>
      <c r="D50" s="31">
        <f>IF(C46&lt;=80, C46*1.1, IF(C46&lt;250, C46*1.075, C46*1.05))</f>
        <v>158.18302499999999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Abacavir</vt:lpstr>
      <vt:lpstr>Lamivudine</vt:lpstr>
      <vt:lpstr>SST LAMIVUDINE</vt:lpstr>
      <vt:lpstr>SST ABACAVIR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2016-07-21T10:29:34Z</cp:lastPrinted>
  <dcterms:created xsi:type="dcterms:W3CDTF">2005-07-05T10:19:27Z</dcterms:created>
  <dcterms:modified xsi:type="dcterms:W3CDTF">2016-07-20T04:29:23Z</dcterms:modified>
</cp:coreProperties>
</file>