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tabRatio="759" activeTab="4"/>
  </bookViews>
  <sheets>
    <sheet name="SST(LAM)(S1)" sheetId="13" r:id="rId1"/>
    <sheet name="SST(ZID)(S1) " sheetId="6" r:id="rId2"/>
    <sheet name="Uniformity" sheetId="2" r:id="rId3"/>
    <sheet name="Lamivudine (S1)" sheetId="7" r:id="rId4"/>
    <sheet name="Zidovudine (S1)" sheetId="8" r:id="rId5"/>
    <sheet name="SST(LAM)  (S2) " sheetId="14" r:id="rId6"/>
    <sheet name="SST(ZID)  (S2)" sheetId="11" r:id="rId7"/>
    <sheet name="Lamivudine (S2)" sheetId="9" r:id="rId8"/>
    <sheet name="Zidovudine (S2)" sheetId="10" r:id="rId9"/>
  </sheets>
  <definedNames>
    <definedName name="_xlnm.Print_Area" localSheetId="3">'Lamivudine (S1)'!$A$1:$I$124</definedName>
    <definedName name="_xlnm.Print_Area" localSheetId="7">'Lamivudine (S2)'!$A$1:$I$124</definedName>
    <definedName name="_xlnm.Print_Area" localSheetId="2">Uniformity!$A$12:$F$54</definedName>
    <definedName name="_xlnm.Print_Area" localSheetId="4">'Zidovudine (S1)'!$A$1:$I$124</definedName>
    <definedName name="_xlnm.Print_Area" localSheetId="8">'Zidovudine (S2)'!$A$1:$I$124</definedName>
  </definedNames>
  <calcPr calcId="145621"/>
</workbook>
</file>

<file path=xl/calcChain.xml><?xml version="1.0" encoding="utf-8"?>
<calcChain xmlns="http://schemas.openxmlformats.org/spreadsheetml/2006/main">
  <c r="B53" i="14" l="1"/>
  <c r="F51" i="14"/>
  <c r="D51" i="14"/>
  <c r="C51" i="14"/>
  <c r="B51" i="14"/>
  <c r="B52" i="14" s="1"/>
  <c r="B43" i="14"/>
  <c r="B32" i="14"/>
  <c r="F30" i="14"/>
  <c r="C30" i="14"/>
  <c r="B30" i="14"/>
  <c r="B31" i="14" s="1"/>
  <c r="B21" i="14"/>
  <c r="B43" i="6"/>
  <c r="B43" i="13"/>
  <c r="B21" i="13"/>
  <c r="B53" i="13"/>
  <c r="B52" i="13"/>
  <c r="B32" i="13"/>
  <c r="B31" i="13"/>
  <c r="F30" i="13"/>
  <c r="C30" i="13"/>
  <c r="B30" i="13"/>
  <c r="B21" i="6"/>
  <c r="B43" i="11"/>
  <c r="B21" i="11"/>
  <c r="B53" i="11"/>
  <c r="F51" i="11"/>
  <c r="D51" i="11"/>
  <c r="C51" i="11"/>
  <c r="B51" i="11"/>
  <c r="B52" i="11" s="1"/>
  <c r="B32" i="11"/>
  <c r="F30" i="11"/>
  <c r="C30" i="11"/>
  <c r="B30" i="11"/>
  <c r="B31" i="11" s="1"/>
  <c r="C120" i="10"/>
  <c r="B116" i="10"/>
  <c r="D100" i="10"/>
  <c r="B98" i="10"/>
  <c r="D101" i="10" s="1"/>
  <c r="F95" i="10"/>
  <c r="D95" i="10"/>
  <c r="G94" i="10"/>
  <c r="E94" i="10"/>
  <c r="B87" i="10"/>
  <c r="F97" i="10" s="1"/>
  <c r="F98" i="10" s="1"/>
  <c r="B83" i="10"/>
  <c r="B81" i="10"/>
  <c r="B80" i="10"/>
  <c r="B79" i="10"/>
  <c r="C76" i="10"/>
  <c r="H71" i="10"/>
  <c r="G71" i="10"/>
  <c r="B68" i="10"/>
  <c r="B69" i="10" s="1"/>
  <c r="H67" i="10"/>
  <c r="G67" i="10"/>
  <c r="H63" i="10"/>
  <c r="G63" i="10"/>
  <c r="B57" i="10"/>
  <c r="C56" i="10"/>
  <c r="B55" i="10"/>
  <c r="B45" i="10"/>
  <c r="D48" i="10" s="1"/>
  <c r="G39" i="10" s="1"/>
  <c r="F44" i="10"/>
  <c r="F45" i="10" s="1"/>
  <c r="D44" i="10"/>
  <c r="D45" i="10" s="1"/>
  <c r="F42" i="10"/>
  <c r="D42" i="10"/>
  <c r="G41" i="10"/>
  <c r="E41" i="10"/>
  <c r="B34" i="10"/>
  <c r="B30" i="10"/>
  <c r="C120" i="9"/>
  <c r="B116" i="9"/>
  <c r="D100" i="9"/>
  <c r="B98" i="9"/>
  <c r="D101" i="9" s="1"/>
  <c r="D102" i="9" s="1"/>
  <c r="D97" i="9"/>
  <c r="D98" i="9" s="1"/>
  <c r="F95" i="9"/>
  <c r="D95" i="9"/>
  <c r="G94" i="9"/>
  <c r="E94" i="9"/>
  <c r="B87" i="9"/>
  <c r="F97" i="9" s="1"/>
  <c r="B81" i="9"/>
  <c r="B83" i="9" s="1"/>
  <c r="B80" i="9"/>
  <c r="B79" i="9"/>
  <c r="C76" i="9"/>
  <c r="H71" i="9"/>
  <c r="G71" i="9"/>
  <c r="B68" i="9"/>
  <c r="B69" i="9" s="1"/>
  <c r="H67" i="9"/>
  <c r="G67" i="9"/>
  <c r="H63" i="9"/>
  <c r="G63" i="9"/>
  <c r="B57" i="9"/>
  <c r="C56" i="9"/>
  <c r="B55" i="9"/>
  <c r="B45" i="9"/>
  <c r="D48" i="9" s="1"/>
  <c r="F42" i="9"/>
  <c r="D42" i="9"/>
  <c r="G41" i="9"/>
  <c r="E41" i="9"/>
  <c r="B34" i="9"/>
  <c r="D44" i="9" s="1"/>
  <c r="D45" i="9" s="1"/>
  <c r="B30" i="9"/>
  <c r="I92" i="10" l="1"/>
  <c r="F99" i="10"/>
  <c r="I92" i="9"/>
  <c r="I39" i="10"/>
  <c r="D49" i="10"/>
  <c r="I39" i="9"/>
  <c r="D46" i="9"/>
  <c r="E40" i="10"/>
  <c r="E38" i="10"/>
  <c r="D46" i="10"/>
  <c r="E39" i="10"/>
  <c r="G38" i="10"/>
  <c r="G40" i="10"/>
  <c r="F46" i="10"/>
  <c r="D102" i="10"/>
  <c r="G93" i="10"/>
  <c r="G91" i="10"/>
  <c r="G92" i="10"/>
  <c r="D97" i="10"/>
  <c r="D98" i="10" s="1"/>
  <c r="D99" i="10" s="1"/>
  <c r="D49" i="9"/>
  <c r="E40" i="9"/>
  <c r="E38" i="9"/>
  <c r="E39" i="9"/>
  <c r="D99" i="9"/>
  <c r="E93" i="9"/>
  <c r="F98" i="9"/>
  <c r="F44" i="9"/>
  <c r="F45" i="9" s="1"/>
  <c r="F46" i="9" s="1"/>
  <c r="E91" i="9"/>
  <c r="E92" i="9"/>
  <c r="E92" i="10" l="1"/>
  <c r="E91" i="10"/>
  <c r="G39" i="9"/>
  <c r="G40" i="9"/>
  <c r="G42" i="10"/>
  <c r="G95" i="10"/>
  <c r="E93" i="10"/>
  <c r="D52" i="10"/>
  <c r="D50" i="10"/>
  <c r="E42" i="10"/>
  <c r="G91" i="9"/>
  <c r="F99" i="9"/>
  <c r="E95" i="9"/>
  <c r="G92" i="9"/>
  <c r="E42" i="9"/>
  <c r="G93" i="9"/>
  <c r="G38" i="9"/>
  <c r="E95" i="10" l="1"/>
  <c r="D103" i="9"/>
  <c r="E108" i="9" s="1"/>
  <c r="D50" i="9"/>
  <c r="G66" i="9" s="1"/>
  <c r="H66" i="9" s="1"/>
  <c r="G42" i="9"/>
  <c r="D105" i="10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D51" i="10"/>
  <c r="G70" i="10"/>
  <c r="H70" i="10" s="1"/>
  <c r="G65" i="10"/>
  <c r="H65" i="10" s="1"/>
  <c r="G61" i="10"/>
  <c r="H61" i="10" s="1"/>
  <c r="D103" i="10"/>
  <c r="G95" i="9"/>
  <c r="D105" i="9"/>
  <c r="D52" i="9"/>
  <c r="E109" i="9" l="1"/>
  <c r="F109" i="9" s="1"/>
  <c r="E110" i="9"/>
  <c r="F110" i="9" s="1"/>
  <c r="E111" i="9"/>
  <c r="F111" i="9" s="1"/>
  <c r="E112" i="9"/>
  <c r="F112" i="9" s="1"/>
  <c r="E113" i="9"/>
  <c r="F113" i="9" s="1"/>
  <c r="D104" i="9"/>
  <c r="D51" i="9"/>
  <c r="G69" i="9"/>
  <c r="H69" i="9" s="1"/>
  <c r="G61" i="9"/>
  <c r="H61" i="9" s="1"/>
  <c r="G62" i="9"/>
  <c r="H62" i="9" s="1"/>
  <c r="G60" i="9"/>
  <c r="G65" i="9"/>
  <c r="H65" i="9" s="1"/>
  <c r="G64" i="9"/>
  <c r="H64" i="9" s="1"/>
  <c r="G68" i="9"/>
  <c r="H68" i="9" s="1"/>
  <c r="G70" i="9"/>
  <c r="H70" i="9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H60" i="10"/>
  <c r="G72" i="10"/>
  <c r="G73" i="10" s="1"/>
  <c r="G74" i="10"/>
  <c r="F108" i="9"/>
  <c r="E115" i="9" l="1"/>
  <c r="E116" i="9" s="1"/>
  <c r="E117" i="9"/>
  <c r="G74" i="9"/>
  <c r="H60" i="9"/>
  <c r="H74" i="9" s="1"/>
  <c r="G72" i="9"/>
  <c r="G73" i="9" s="1"/>
  <c r="H74" i="10"/>
  <c r="H72" i="10"/>
  <c r="E115" i="10"/>
  <c r="E116" i="10" s="1"/>
  <c r="E117" i="10"/>
  <c r="F108" i="10"/>
  <c r="F117" i="9"/>
  <c r="F115" i="9"/>
  <c r="H72" i="9" l="1"/>
  <c r="G76" i="9" s="1"/>
  <c r="G76" i="10"/>
  <c r="H73" i="10"/>
  <c r="F117" i="10"/>
  <c r="F115" i="10"/>
  <c r="G120" i="9"/>
  <c r="F116" i="9"/>
  <c r="H73" i="9" l="1"/>
  <c r="G120" i="10"/>
  <c r="F116" i="10"/>
  <c r="C120" i="8" l="1"/>
  <c r="B116" i="8"/>
  <c r="D100" i="8"/>
  <c r="B98" i="8"/>
  <c r="D101" i="8" s="1"/>
  <c r="F95" i="8"/>
  <c r="D95" i="8"/>
  <c r="G94" i="8"/>
  <c r="E94" i="8"/>
  <c r="B87" i="8"/>
  <c r="F97" i="8" s="1"/>
  <c r="F98" i="8" s="1"/>
  <c r="B81" i="8"/>
  <c r="B83" i="8" s="1"/>
  <c r="B80" i="8"/>
  <c r="B79" i="8"/>
  <c r="C76" i="8"/>
  <c r="H71" i="8"/>
  <c r="G71" i="8"/>
  <c r="B68" i="8"/>
  <c r="B69" i="8" s="1"/>
  <c r="H67" i="8"/>
  <c r="G67" i="8"/>
  <c r="H63" i="8"/>
  <c r="G63" i="8"/>
  <c r="B57" i="8"/>
  <c r="C56" i="8"/>
  <c r="B55" i="8"/>
  <c r="D48" i="8"/>
  <c r="D49" i="8" s="1"/>
  <c r="B45" i="8"/>
  <c r="F44" i="8"/>
  <c r="F45" i="8" s="1"/>
  <c r="D44" i="8"/>
  <c r="F42" i="8"/>
  <c r="D42" i="8"/>
  <c r="G41" i="8"/>
  <c r="E41" i="8"/>
  <c r="I39" i="8"/>
  <c r="B34" i="8"/>
  <c r="B30" i="8"/>
  <c r="D45" i="8" s="1"/>
  <c r="C120" i="7"/>
  <c r="B116" i="7"/>
  <c r="D100" i="7"/>
  <c r="B98" i="7"/>
  <c r="F97" i="7"/>
  <c r="F95" i="7"/>
  <c r="D95" i="7"/>
  <c r="G94" i="7"/>
  <c r="E94" i="7"/>
  <c r="B87" i="7"/>
  <c r="D97" i="7" s="1"/>
  <c r="B83" i="7"/>
  <c r="B80" i="7"/>
  <c r="B79" i="7"/>
  <c r="C76" i="7"/>
  <c r="H71" i="7"/>
  <c r="G71" i="7"/>
  <c r="B68" i="7"/>
  <c r="H67" i="7"/>
  <c r="G67" i="7"/>
  <c r="H63" i="7"/>
  <c r="G63" i="7"/>
  <c r="B57" i="7"/>
  <c r="B69" i="7" s="1"/>
  <c r="C56" i="7"/>
  <c r="B55" i="7"/>
  <c r="B45" i="7"/>
  <c r="D48" i="7" s="1"/>
  <c r="F44" i="7"/>
  <c r="D44" i="7"/>
  <c r="F42" i="7"/>
  <c r="D42" i="7"/>
  <c r="I39" i="7" s="1"/>
  <c r="G41" i="7"/>
  <c r="E41" i="7"/>
  <c r="B34" i="7"/>
  <c r="B30" i="7"/>
  <c r="F45" i="7" s="1"/>
  <c r="F46" i="7" s="1"/>
  <c r="D45" i="7" l="1"/>
  <c r="D46" i="7" s="1"/>
  <c r="D98" i="7"/>
  <c r="E93" i="7" s="1"/>
  <c r="F98" i="7"/>
  <c r="F99" i="7" s="1"/>
  <c r="D99" i="7"/>
  <c r="D101" i="7"/>
  <c r="F99" i="8"/>
  <c r="I92" i="8"/>
  <c r="D102" i="8"/>
  <c r="G93" i="8"/>
  <c r="G91" i="8"/>
  <c r="G92" i="8"/>
  <c r="E38" i="8"/>
  <c r="D46" i="8"/>
  <c r="E39" i="8"/>
  <c r="G40" i="8"/>
  <c r="F46" i="8"/>
  <c r="G39" i="8"/>
  <c r="D97" i="8"/>
  <c r="D98" i="8" s="1"/>
  <c r="D99" i="8" s="1"/>
  <c r="G38" i="8"/>
  <c r="E40" i="8"/>
  <c r="I92" i="7"/>
  <c r="E38" i="7"/>
  <c r="G40" i="7"/>
  <c r="G38" i="7"/>
  <c r="G39" i="7"/>
  <c r="E40" i="7"/>
  <c r="E39" i="7"/>
  <c r="D49" i="7"/>
  <c r="G91" i="7" l="1"/>
  <c r="G93" i="7"/>
  <c r="E91" i="7"/>
  <c r="D102" i="7"/>
  <c r="E92" i="7"/>
  <c r="G92" i="7"/>
  <c r="E93" i="8"/>
  <c r="G42" i="8"/>
  <c r="E92" i="8"/>
  <c r="E91" i="8"/>
  <c r="E42" i="8"/>
  <c r="D52" i="8"/>
  <c r="D50" i="8"/>
  <c r="G95" i="8"/>
  <c r="G42" i="7"/>
  <c r="D52" i="7"/>
  <c r="D50" i="7"/>
  <c r="E42" i="7"/>
  <c r="G95" i="7" l="1"/>
  <c r="D105" i="7"/>
  <c r="E95" i="7"/>
  <c r="D103" i="7"/>
  <c r="E112" i="7" s="1"/>
  <c r="F112" i="7" s="1"/>
  <c r="E95" i="8"/>
  <c r="D105" i="8"/>
  <c r="D103" i="8"/>
  <c r="G68" i="8"/>
  <c r="H68" i="8" s="1"/>
  <c r="G69" i="8"/>
  <c r="H69" i="8" s="1"/>
  <c r="G64" i="8"/>
  <c r="H64" i="8" s="1"/>
  <c r="G60" i="8"/>
  <c r="G66" i="8"/>
  <c r="H66" i="8" s="1"/>
  <c r="G62" i="8"/>
  <c r="H62" i="8" s="1"/>
  <c r="D51" i="8"/>
  <c r="G70" i="8"/>
  <c r="H70" i="8" s="1"/>
  <c r="G65" i="8"/>
  <c r="H65" i="8" s="1"/>
  <c r="G61" i="8"/>
  <c r="H61" i="8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G68" i="7"/>
  <c r="H68" i="7" s="1"/>
  <c r="D104" i="7" l="1"/>
  <c r="E110" i="7"/>
  <c r="F110" i="7" s="1"/>
  <c r="E111" i="7"/>
  <c r="F111" i="7" s="1"/>
  <c r="E113" i="7"/>
  <c r="F113" i="7" s="1"/>
  <c r="E108" i="7"/>
  <c r="F108" i="7" s="1"/>
  <c r="E109" i="7"/>
  <c r="F109" i="7" s="1"/>
  <c r="H60" i="8"/>
  <c r="G74" i="8"/>
  <c r="G72" i="8"/>
  <c r="G73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H60" i="7"/>
  <c r="G74" i="7"/>
  <c r="G72" i="7"/>
  <c r="G73" i="7" s="1"/>
  <c r="E115" i="7" l="1"/>
  <c r="E116" i="7" s="1"/>
  <c r="E117" i="7"/>
  <c r="E115" i="8"/>
  <c r="E116" i="8" s="1"/>
  <c r="E117" i="8"/>
  <c r="F108" i="8"/>
  <c r="H74" i="8"/>
  <c r="H72" i="8"/>
  <c r="F117" i="7"/>
  <c r="F115" i="7"/>
  <c r="H74" i="7"/>
  <c r="H72" i="7"/>
  <c r="F117" i="8" l="1"/>
  <c r="F115" i="8"/>
  <c r="G76" i="8"/>
  <c r="H73" i="8"/>
  <c r="H73" i="7"/>
  <c r="G76" i="7"/>
  <c r="G120" i="7"/>
  <c r="F116" i="7"/>
  <c r="G120" i="8" l="1"/>
  <c r="F116" i="8"/>
  <c r="B53" i="6" l="1"/>
  <c r="F51" i="6"/>
  <c r="D51" i="6"/>
  <c r="C51" i="6"/>
  <c r="B51" i="6"/>
  <c r="B52" i="6" s="1"/>
  <c r="B32" i="6"/>
  <c r="F30" i="6"/>
  <c r="C30" i="6"/>
  <c r="B30" i="6"/>
  <c r="B31" i="6" s="1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C50" i="2" l="1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<sst xmlns="http://schemas.openxmlformats.org/spreadsheetml/2006/main" count="873" uniqueCount="139">
  <si>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</si>
  <si>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</si>
  <si>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</si>
  <si>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</si>
  <si>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</si>
  <si>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</si>
  <si>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</si>
  <si>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NDQD2016061030</t>
  </si>
  <si>
    <t>Weight (mg):</t>
  </si>
  <si>
    <t>LAMIVUDINE 30mg &amp; ZIDOVUDINE 60mg</t>
  </si>
  <si>
    <t>Standard Conc (mg/mL):</t>
  </si>
  <si>
    <t>2016-06-10 12:43:37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</si>
  <si>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</si>
  <si>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</si>
  <si>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</si>
  <si>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</si>
  <si>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</si>
  <si>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</si>
  <si>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</si>
  <si>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</si>
  <si>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</si>
  <si>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</si>
  <si>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</si>
  <si>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</si>
  <si>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</si>
  <si>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</si>
  <si>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</si>
  <si>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</si>
  <si>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</si>
  <si>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</si>
  <si>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</si>
  <si>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</si>
  <si>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</si>
  <si>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</si>
  <si>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</si>
  <si>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</si>
  <si>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</si>
  <si>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</si>
  <si>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</si>
  <si>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</si>
  <si>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</si>
  <si>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</si>
  <si>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</si>
  <si>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</si>
  <si>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</si>
  <si>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</si>
  <si>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</si>
  <si>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</si>
  <si>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</si>
  <si>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</si>
  <si>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</si>
  <si>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</si>
  <si>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</si>
  <si>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</si>
  <si>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</si>
  <si>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</si>
  <si>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</si>
  <si>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</si>
  <si>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</si>
  <si>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</si>
  <si>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</si>
  <si>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</si>
  <si>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</si>
  <si>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</si>
  <si>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</si>
  <si>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</si>
  <si>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</si>
  <si>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</si>
  <si>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</si>
  <si>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</si>
  <si>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</si>
  <si>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</si>
  <si>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</si>
  <si>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</si>
  <si>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</si>
  <si>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</si>
  <si>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</si>
  <si>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</si>
  <si>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</si>
  <si>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</si>
  <si>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</si>
  <si>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</si>
  <si>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</si>
  <si>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</si>
  <si>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</si>
  <si>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</si>
  <si>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</si>
  <si>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</si>
  <si>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</si>
  <si>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</si>
  <si>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</si>
  <si>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</si>
  <si>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</si>
  <si>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</si>
  <si>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</si>
  <si>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</si>
  <si>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</si>
  <si>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</si>
  <si>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</si>
  <si>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</si>
  <si>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</si>
  <si>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</si>
  <si>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</si>
  <si>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</si>
  <si>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</si>
  <si>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</si>
  <si>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</si>
  <si>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</si>
  <si>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</si>
  <si>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</si>
  <si>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</si>
  <si>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</si>
  <si>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</si>
  <si>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</si>
  <si>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</si>
  <si>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</si>
  <si>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</si>
  <si>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</si>
  <si>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</si>
  <si>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</si>
  <si>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</si>
  <si>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</si>
  <si>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</si>
  <si>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</si>
  <si>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</t>
  </si>
  <si>
    <t>Lamivudine</t>
  </si>
  <si>
    <t>LAMIVUDINE 150MG &amp; ZIDOVUDINE 300MG</t>
  </si>
  <si>
    <t>Resolution(USP)</t>
  </si>
  <si>
    <t>The Resolution between the peak pair of Lamivudine and Zidovudine peaks is NLT 3.0</t>
  </si>
  <si>
    <t>Zidovudine</t>
  </si>
  <si>
    <r>
      <t>The number of Theoretical Plates (USP) for all peaks is NLT</t>
    </r>
    <r>
      <rPr>
        <b/>
        <sz val="12"/>
        <color rgb="FF000000"/>
        <rFont val="Book Antiqua"/>
      </rPr>
      <t xml:space="preserve"> 2000</t>
    </r>
  </si>
  <si>
    <r>
      <t>The Assymetry of all peaks is NMT</t>
    </r>
    <r>
      <rPr>
        <b/>
        <sz val="12"/>
        <color rgb="FF000000"/>
        <rFont val="Book Antiqua"/>
      </rPr>
      <t xml:space="preserve"> 2.0</t>
    </r>
  </si>
  <si>
    <t xml:space="preserve"> ZIDOVUDINE </t>
  </si>
  <si>
    <t>RUTTO/JOYFRIDA</t>
  </si>
  <si>
    <t>13/07/2016</t>
  </si>
  <si>
    <t>Z1-3</t>
  </si>
  <si>
    <t>L3-7</t>
  </si>
  <si>
    <t>LAMIVUDINE</t>
  </si>
  <si>
    <t xml:space="preserve">                                                                                                          The Resolution between the peak pair of Lamivudine  and Zidovudine is NLT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</si>
</sst>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15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14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8" workbookViewId="0">
      <selection activeCell="B58" sqref="B58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6" t="s">
        <v>0</v>
      </c>
      <c r="B15" s="266"/>
      <c r="C15" s="266"/>
      <c r="D15" s="266"/>
      <c r="E15" s="266"/>
      <c r="F15" s="266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126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124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100.4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16.03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16.03/20*4/20</f>
        <v>0.16030000000000003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127</v>
      </c>
      <c r="F23" s="225" t="s">
        <v>16</v>
      </c>
    </row>
    <row r="24" spans="1:6" ht="16.5" customHeight="1" x14ac:dyDescent="0.3">
      <c r="A24" s="227">
        <v>1</v>
      </c>
      <c r="B24" s="228">
        <v>8908084</v>
      </c>
      <c r="C24" s="228">
        <v>6707.4</v>
      </c>
      <c r="D24" s="229">
        <v>1</v>
      </c>
      <c r="E24" s="229">
        <v>0</v>
      </c>
      <c r="F24" s="230">
        <v>4.2</v>
      </c>
    </row>
    <row r="25" spans="1:6" ht="16.5" customHeight="1" x14ac:dyDescent="0.3">
      <c r="A25" s="227">
        <v>2</v>
      </c>
      <c r="B25" s="228">
        <v>8917100</v>
      </c>
      <c r="C25" s="228">
        <v>6608</v>
      </c>
      <c r="D25" s="229">
        <v>1</v>
      </c>
      <c r="E25" s="229">
        <v>0</v>
      </c>
      <c r="F25" s="229">
        <v>42</v>
      </c>
    </row>
    <row r="26" spans="1:6" ht="16.5" customHeight="1" x14ac:dyDescent="0.3">
      <c r="A26" s="227">
        <v>3</v>
      </c>
      <c r="B26" s="228">
        <v>8922833</v>
      </c>
      <c r="C26" s="228">
        <v>6625.3</v>
      </c>
      <c r="D26" s="229">
        <v>1.1000000000000001</v>
      </c>
      <c r="E26" s="229">
        <v>0</v>
      </c>
      <c r="F26" s="229">
        <v>4.2</v>
      </c>
    </row>
    <row r="27" spans="1:6" ht="16.5" customHeight="1" x14ac:dyDescent="0.3">
      <c r="A27" s="227">
        <v>4</v>
      </c>
      <c r="B27" s="228">
        <v>8909196</v>
      </c>
      <c r="C27" s="228">
        <v>6633.7</v>
      </c>
      <c r="D27" s="229">
        <v>1.1000000000000001</v>
      </c>
      <c r="E27" s="229">
        <v>0</v>
      </c>
      <c r="F27" s="229">
        <v>4.2</v>
      </c>
    </row>
    <row r="28" spans="1:6" ht="16.5" customHeight="1" x14ac:dyDescent="0.3">
      <c r="A28" s="227">
        <v>5</v>
      </c>
      <c r="B28" s="228">
        <v>8895607</v>
      </c>
      <c r="C28" s="228">
        <v>6644.3</v>
      </c>
      <c r="D28" s="229">
        <v>1</v>
      </c>
      <c r="E28" s="229">
        <v>0</v>
      </c>
      <c r="F28" s="229">
        <v>4.2</v>
      </c>
    </row>
    <row r="29" spans="1:6" ht="16.5" customHeight="1" x14ac:dyDescent="0.3">
      <c r="A29" s="227">
        <v>6</v>
      </c>
      <c r="B29" s="231">
        <v>8882956</v>
      </c>
      <c r="C29" s="231">
        <v>6544.9</v>
      </c>
      <c r="D29" s="232">
        <v>1.1000000000000001</v>
      </c>
      <c r="E29" s="232">
        <v>0</v>
      </c>
      <c r="F29" s="232">
        <v>4.0999999999999996</v>
      </c>
    </row>
    <row r="30" spans="1:6" ht="16.5" customHeight="1" x14ac:dyDescent="0.3">
      <c r="A30" s="233" t="s">
        <v>17</v>
      </c>
      <c r="B30" s="234">
        <f>AVERAGE(B24:B29)</f>
        <v>8905962.666666666</v>
      </c>
      <c r="C30" s="235">
        <f>AVERAGE(C24:C29)</f>
        <v>6627.2666666666673</v>
      </c>
      <c r="D30" s="236">
        <v>1.1000000000000001</v>
      </c>
      <c r="E30" s="236">
        <v>0</v>
      </c>
      <c r="F30" s="236">
        <f>AVERAGE(F24:F29)</f>
        <v>10.483333333333336</v>
      </c>
    </row>
    <row r="31" spans="1:6" ht="16.5" customHeight="1" x14ac:dyDescent="0.3">
      <c r="A31" s="237" t="s">
        <v>18</v>
      </c>
      <c r="B31" s="238">
        <f>(STDEV(B24:B29)/B30)</f>
        <v>1.6349996352289101E-3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130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131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128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126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137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100.4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16.03</v>
      </c>
      <c r="C42" s="221"/>
      <c r="D42" s="221"/>
      <c r="E42" s="221"/>
      <c r="F42" s="221"/>
    </row>
    <row r="43" spans="1:6" ht="15.75" customHeight="1" x14ac:dyDescent="0.3">
      <c r="A43" s="221"/>
      <c r="B43" s="224">
        <f>16.03/20*4/20</f>
        <v>0.16030000000000003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127</v>
      </c>
      <c r="F44" s="225" t="s">
        <v>16</v>
      </c>
    </row>
    <row r="45" spans="1:6" ht="16.5" customHeight="1" x14ac:dyDescent="0.3">
      <c r="A45" s="227">
        <v>1</v>
      </c>
      <c r="B45" s="228">
        <v>8908084</v>
      </c>
      <c r="C45" s="228">
        <v>6707.4</v>
      </c>
      <c r="D45" s="229">
        <v>1</v>
      </c>
      <c r="E45" s="229">
        <v>0</v>
      </c>
      <c r="F45" s="230">
        <v>4.2</v>
      </c>
    </row>
    <row r="46" spans="1:6" ht="16.5" customHeight="1" x14ac:dyDescent="0.3">
      <c r="A46" s="227">
        <v>2</v>
      </c>
      <c r="B46" s="228">
        <v>8917100</v>
      </c>
      <c r="C46" s="228">
        <v>6608</v>
      </c>
      <c r="D46" s="229">
        <v>1</v>
      </c>
      <c r="E46" s="229">
        <v>0</v>
      </c>
      <c r="F46" s="229">
        <v>42</v>
      </c>
    </row>
    <row r="47" spans="1:6" ht="16.5" customHeight="1" x14ac:dyDescent="0.3">
      <c r="A47" s="227">
        <v>3</v>
      </c>
      <c r="B47" s="228">
        <v>8922833</v>
      </c>
      <c r="C47" s="228">
        <v>6625.3</v>
      </c>
      <c r="D47" s="229">
        <v>1.1000000000000001</v>
      </c>
      <c r="E47" s="229">
        <v>0</v>
      </c>
      <c r="F47" s="229">
        <v>4.2</v>
      </c>
    </row>
    <row r="48" spans="1:6" ht="16.5" customHeight="1" x14ac:dyDescent="0.3">
      <c r="A48" s="227">
        <v>4</v>
      </c>
      <c r="B48" s="228">
        <v>8909196</v>
      </c>
      <c r="C48" s="228">
        <v>6633.7</v>
      </c>
      <c r="D48" s="229">
        <v>1.1000000000000001</v>
      </c>
      <c r="E48" s="229">
        <v>0</v>
      </c>
      <c r="F48" s="229">
        <v>4.2</v>
      </c>
    </row>
    <row r="49" spans="1:8" ht="16.5" customHeight="1" x14ac:dyDescent="0.3">
      <c r="A49" s="227">
        <v>5</v>
      </c>
      <c r="B49" s="228">
        <v>8895607</v>
      </c>
      <c r="C49" s="228">
        <v>6644.3</v>
      </c>
      <c r="D49" s="229">
        <v>1</v>
      </c>
      <c r="E49" s="229">
        <v>0</v>
      </c>
      <c r="F49" s="229">
        <v>4.2</v>
      </c>
    </row>
    <row r="50" spans="1:8" ht="16.5" customHeight="1" x14ac:dyDescent="0.3">
      <c r="A50" s="227">
        <v>6</v>
      </c>
      <c r="B50" s="231">
        <v>8882956</v>
      </c>
      <c r="C50" s="231">
        <v>6544.9</v>
      </c>
      <c r="D50" s="232">
        <v>1.1000000000000001</v>
      </c>
      <c r="E50" s="232">
        <v>0</v>
      </c>
      <c r="F50" s="232">
        <v>4.0999999999999996</v>
      </c>
    </row>
    <row r="51" spans="1:8" ht="16.5" customHeight="1" x14ac:dyDescent="0.3">
      <c r="A51" s="233" t="s">
        <v>17</v>
      </c>
      <c r="B51" s="234">
        <v>8905962.666666666</v>
      </c>
      <c r="C51" s="235">
        <v>6627.2666666666673</v>
      </c>
      <c r="D51" s="236">
        <v>1.1000000000000001</v>
      </c>
      <c r="E51" s="236">
        <v>0</v>
      </c>
      <c r="F51" s="236">
        <v>10.483333333333336</v>
      </c>
    </row>
    <row r="52" spans="1:8" ht="16.5" customHeight="1" x14ac:dyDescent="0.3">
      <c r="A52" s="237" t="s">
        <v>18</v>
      </c>
      <c r="B52" s="238">
        <f>(STDEV(B45:B50)/B51)</f>
        <v>1.6349996352289101E-3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 t="s">
        <v>138</v>
      </c>
      <c r="D58" s="250"/>
      <c r="E58" s="251"/>
      <c r="G58" s="216"/>
      <c r="H58" s="216"/>
    </row>
    <row r="59" spans="1:8" ht="15" customHeight="1" x14ac:dyDescent="0.3">
      <c r="B59" s="267" t="s">
        <v>25</v>
      </c>
      <c r="C59" s="267"/>
      <c r="F59" s="258" t="s">
        <v>26</v>
      </c>
      <c r="G59" s="253"/>
      <c r="H59" s="258" t="s">
        <v>27</v>
      </c>
    </row>
    <row r="60" spans="1:8" ht="15" customHeight="1" x14ac:dyDescent="0.3">
      <c r="A60" s="254" t="s">
        <v>28</v>
      </c>
      <c r="B60" s="255" t="s">
        <v>133</v>
      </c>
      <c r="C60" s="255"/>
      <c r="F60" s="265">
        <v>42711</v>
      </c>
      <c r="H60" s="255"/>
    </row>
    <row r="61" spans="1:8" ht="15" customHeight="1" x14ac:dyDescent="0.3">
      <c r="A61" s="254" t="s">
        <v>29</v>
      </c>
      <c r="B61" s="256"/>
      <c r="C61" s="256"/>
      <c r="F61" s="256"/>
      <c r="H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0" workbookViewId="0">
      <selection activeCell="C58" sqref="C58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6" t="s">
        <v>0</v>
      </c>
      <c r="B15" s="266"/>
      <c r="C15" s="266"/>
      <c r="D15" s="266"/>
      <c r="E15" s="266"/>
      <c r="F15" s="266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126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129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99.4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28.13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28.13/20*4/20</f>
        <v>0.28129999999999999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127</v>
      </c>
      <c r="F23" s="225" t="s">
        <v>16</v>
      </c>
    </row>
    <row r="24" spans="1:6" ht="16.5" customHeight="1" x14ac:dyDescent="0.3">
      <c r="A24" s="227">
        <v>1</v>
      </c>
      <c r="B24" s="228">
        <v>17922201</v>
      </c>
      <c r="C24" s="228">
        <v>10137.4</v>
      </c>
      <c r="D24" s="229">
        <v>1.1000000000000001</v>
      </c>
      <c r="E24" s="229">
        <v>12.6</v>
      </c>
      <c r="F24" s="230">
        <v>7.3</v>
      </c>
    </row>
    <row r="25" spans="1:6" ht="16.5" customHeight="1" x14ac:dyDescent="0.3">
      <c r="A25" s="227">
        <v>2</v>
      </c>
      <c r="B25" s="228">
        <v>17983595</v>
      </c>
      <c r="C25" s="228">
        <v>9959.4</v>
      </c>
      <c r="D25" s="229">
        <v>1.1000000000000001</v>
      </c>
      <c r="E25" s="229">
        <v>12.5</v>
      </c>
      <c r="F25" s="229">
        <v>7.3</v>
      </c>
    </row>
    <row r="26" spans="1:6" ht="16.5" customHeight="1" x14ac:dyDescent="0.3">
      <c r="A26" s="227">
        <v>3</v>
      </c>
      <c r="B26" s="228">
        <v>17952198</v>
      </c>
      <c r="C26" s="228">
        <v>10045.9</v>
      </c>
      <c r="D26" s="229">
        <v>1.1000000000000001</v>
      </c>
      <c r="E26" s="229">
        <v>12.5</v>
      </c>
      <c r="F26" s="229">
        <v>7.3</v>
      </c>
    </row>
    <row r="27" spans="1:6" ht="16.5" customHeight="1" x14ac:dyDescent="0.3">
      <c r="A27" s="227">
        <v>4</v>
      </c>
      <c r="B27" s="228">
        <v>17911974</v>
      </c>
      <c r="C27" s="228">
        <v>10018.6</v>
      </c>
      <c r="D27" s="229">
        <v>1</v>
      </c>
      <c r="E27" s="229">
        <v>12.5</v>
      </c>
      <c r="F27" s="229">
        <v>7.3</v>
      </c>
    </row>
    <row r="28" spans="1:6" ht="16.5" customHeight="1" x14ac:dyDescent="0.3">
      <c r="A28" s="227">
        <v>5</v>
      </c>
      <c r="B28" s="228">
        <v>17916993</v>
      </c>
      <c r="C28" s="228">
        <v>10043.5</v>
      </c>
      <c r="D28" s="229">
        <v>1</v>
      </c>
      <c r="E28" s="229">
        <v>12.5</v>
      </c>
      <c r="F28" s="229">
        <v>7.3</v>
      </c>
    </row>
    <row r="29" spans="1:6" ht="16.5" customHeight="1" x14ac:dyDescent="0.3">
      <c r="A29" s="227">
        <v>6</v>
      </c>
      <c r="B29" s="231">
        <v>17911672</v>
      </c>
      <c r="C29" s="231">
        <v>9976.6</v>
      </c>
      <c r="D29" s="232">
        <v>1.1000000000000001</v>
      </c>
      <c r="E29" s="232">
        <v>12.5</v>
      </c>
      <c r="F29" s="232">
        <v>7.2</v>
      </c>
    </row>
    <row r="30" spans="1:6" ht="16.5" customHeight="1" x14ac:dyDescent="0.3">
      <c r="A30" s="233" t="s">
        <v>17</v>
      </c>
      <c r="B30" s="234">
        <f>AVERAGE(B24:B29)</f>
        <v>17933105.5</v>
      </c>
      <c r="C30" s="235">
        <f>AVERAGE(C24:C29)</f>
        <v>10030.233333333332</v>
      </c>
      <c r="D30" s="236">
        <v>1.1000000000000001</v>
      </c>
      <c r="E30" s="236">
        <v>12.5</v>
      </c>
      <c r="F30" s="236">
        <f>AVERAGE(F24:F29)</f>
        <v>7.2833333333333341</v>
      </c>
    </row>
    <row r="31" spans="1:6" ht="16.5" customHeight="1" x14ac:dyDescent="0.3">
      <c r="A31" s="237" t="s">
        <v>18</v>
      </c>
      <c r="B31" s="238">
        <f>(STDEV(B24:B29)/B30)</f>
        <v>1.615806910690417E-3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130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131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128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126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129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99.4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28.13</v>
      </c>
      <c r="C42" s="221"/>
      <c r="D42" s="221"/>
      <c r="E42" s="221"/>
      <c r="F42" s="221"/>
    </row>
    <row r="43" spans="1:6" ht="15.75" customHeight="1" x14ac:dyDescent="0.3">
      <c r="A43" s="221"/>
      <c r="B43" s="224">
        <f>28.13/20*4/20</f>
        <v>0.28129999999999999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/>
      <c r="F44" s="225" t="s">
        <v>16</v>
      </c>
    </row>
    <row r="45" spans="1:6" ht="16.5" customHeight="1" x14ac:dyDescent="0.3">
      <c r="A45" s="227">
        <v>1</v>
      </c>
      <c r="B45" s="228">
        <v>17922201</v>
      </c>
      <c r="C45" s="228">
        <v>10137.4</v>
      </c>
      <c r="D45" s="229">
        <v>1.1000000000000001</v>
      </c>
      <c r="E45" s="229">
        <v>12.6</v>
      </c>
      <c r="F45" s="230">
        <v>7.3</v>
      </c>
    </row>
    <row r="46" spans="1:6" ht="16.5" customHeight="1" x14ac:dyDescent="0.3">
      <c r="A46" s="227">
        <v>2</v>
      </c>
      <c r="B46" s="228">
        <v>17983595</v>
      </c>
      <c r="C46" s="228">
        <v>9959.4</v>
      </c>
      <c r="D46" s="229">
        <v>1.1000000000000001</v>
      </c>
      <c r="E46" s="229">
        <v>12.5</v>
      </c>
      <c r="F46" s="229">
        <v>7.3</v>
      </c>
    </row>
    <row r="47" spans="1:6" ht="16.5" customHeight="1" x14ac:dyDescent="0.3">
      <c r="A47" s="227">
        <v>3</v>
      </c>
      <c r="B47" s="228">
        <v>17952198</v>
      </c>
      <c r="C47" s="228">
        <v>10045.9</v>
      </c>
      <c r="D47" s="229">
        <v>1.1000000000000001</v>
      </c>
      <c r="E47" s="229">
        <v>12.5</v>
      </c>
      <c r="F47" s="229">
        <v>7.3</v>
      </c>
    </row>
    <row r="48" spans="1:6" ht="16.5" customHeight="1" x14ac:dyDescent="0.3">
      <c r="A48" s="227">
        <v>4</v>
      </c>
      <c r="B48" s="228">
        <v>17911974</v>
      </c>
      <c r="C48" s="228">
        <v>10018.6</v>
      </c>
      <c r="D48" s="229">
        <v>1</v>
      </c>
      <c r="E48" s="229">
        <v>12.5</v>
      </c>
      <c r="F48" s="229">
        <v>7.3</v>
      </c>
    </row>
    <row r="49" spans="1:8" ht="16.5" customHeight="1" x14ac:dyDescent="0.3">
      <c r="A49" s="227">
        <v>5</v>
      </c>
      <c r="B49" s="228">
        <v>17916993</v>
      </c>
      <c r="C49" s="228">
        <v>10043.5</v>
      </c>
      <c r="D49" s="229">
        <v>1</v>
      </c>
      <c r="E49" s="229">
        <v>12.5</v>
      </c>
      <c r="F49" s="229">
        <v>7.3</v>
      </c>
    </row>
    <row r="50" spans="1:8" ht="16.5" customHeight="1" x14ac:dyDescent="0.3">
      <c r="A50" s="227">
        <v>6</v>
      </c>
      <c r="B50" s="231">
        <v>17911672</v>
      </c>
      <c r="C50" s="231">
        <v>9976.6</v>
      </c>
      <c r="D50" s="232">
        <v>1.1000000000000001</v>
      </c>
      <c r="E50" s="232">
        <v>12.5</v>
      </c>
      <c r="F50" s="232">
        <v>7.2</v>
      </c>
    </row>
    <row r="51" spans="1:8" ht="16.5" customHeight="1" x14ac:dyDescent="0.3">
      <c r="A51" s="233" t="s">
        <v>17</v>
      </c>
      <c r="B51" s="234">
        <f>AVERAGE(B45:B50)</f>
        <v>17933105.5</v>
      </c>
      <c r="C51" s="235">
        <f>AVERAGE(C45:C50)</f>
        <v>10030.233333333332</v>
      </c>
      <c r="D51" s="236">
        <f>AVERAGE(D45:D50)</f>
        <v>1.0666666666666667</v>
      </c>
      <c r="E51" s="236"/>
      <c r="F51" s="236">
        <f>AVERAGE(F45:F50)</f>
        <v>7.2833333333333341</v>
      </c>
    </row>
    <row r="52" spans="1:8" ht="16.5" customHeight="1" x14ac:dyDescent="0.3">
      <c r="A52" s="237" t="s">
        <v>18</v>
      </c>
      <c r="B52" s="238">
        <f>(STDEV(B45:B50)/B51)</f>
        <v>1.615806910690417E-3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 t="s">
        <v>138</v>
      </c>
      <c r="D58" s="250"/>
      <c r="E58" s="251"/>
      <c r="G58" s="216"/>
      <c r="H58" s="216"/>
    </row>
    <row r="59" spans="1:8" ht="15" customHeight="1" x14ac:dyDescent="0.3">
      <c r="B59" s="267" t="s">
        <v>25</v>
      </c>
      <c r="C59" s="267"/>
      <c r="F59" s="252" t="s">
        <v>26</v>
      </c>
      <c r="G59" s="253"/>
      <c r="H59" s="252" t="s">
        <v>27</v>
      </c>
    </row>
    <row r="60" spans="1:8" ht="15" customHeight="1" x14ac:dyDescent="0.3">
      <c r="A60" s="254" t="s">
        <v>28</v>
      </c>
      <c r="B60" s="255" t="s">
        <v>133</v>
      </c>
      <c r="C60" s="255"/>
      <c r="F60" s="265">
        <v>42711</v>
      </c>
      <c r="H60" s="255"/>
    </row>
    <row r="61" spans="1:8" ht="15" customHeight="1" x14ac:dyDescent="0.3">
      <c r="A61" s="254" t="s">
        <v>29</v>
      </c>
      <c r="B61" s="256"/>
      <c r="C61" s="256"/>
      <c r="F61" s="256"/>
      <c r="H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9" sqref="C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1" t="s">
        <v>30</v>
      </c>
      <c r="B11" s="272"/>
      <c r="C11" s="272"/>
      <c r="D11" s="272"/>
      <c r="E11" s="272"/>
      <c r="F11" s="273"/>
      <c r="G11" s="42"/>
    </row>
    <row r="12" spans="1:7" ht="16.5" customHeight="1" x14ac:dyDescent="0.3">
      <c r="A12" s="270" t="s">
        <v>31</v>
      </c>
      <c r="B12" s="270"/>
      <c r="C12" s="270"/>
      <c r="D12" s="270"/>
      <c r="E12" s="270"/>
      <c r="F12" s="270"/>
      <c r="G12" s="41"/>
    </row>
    <row r="14" spans="1:7" ht="16.5" customHeight="1" x14ac:dyDescent="0.3">
      <c r="A14" s="275" t="s">
        <v>32</v>
      </c>
      <c r="B14" s="275"/>
      <c r="C14" s="11" t="s">
        <v>5</v>
      </c>
    </row>
    <row r="15" spans="1:7" ht="16.5" customHeight="1" x14ac:dyDescent="0.3">
      <c r="A15" s="275" t="s">
        <v>33</v>
      </c>
      <c r="B15" s="275"/>
      <c r="C15" s="11" t="s">
        <v>7</v>
      </c>
    </row>
    <row r="16" spans="1:7" ht="16.5" customHeight="1" x14ac:dyDescent="0.3">
      <c r="A16" s="275" t="s">
        <v>34</v>
      </c>
      <c r="B16" s="275"/>
      <c r="C16" s="11" t="s">
        <v>9</v>
      </c>
    </row>
    <row r="17" spans="1:5" ht="16.5" customHeight="1" x14ac:dyDescent="0.3">
      <c r="A17" s="275" t="s">
        <v>35</v>
      </c>
      <c r="B17" s="275"/>
      <c r="C17" s="11" t="s">
        <v>9</v>
      </c>
    </row>
    <row r="18" spans="1:5" ht="16.5" customHeight="1" x14ac:dyDescent="0.3">
      <c r="A18" s="275" t="s">
        <v>36</v>
      </c>
      <c r="B18" s="275"/>
      <c r="C18" s="48" t="s">
        <v>11</v>
      </c>
    </row>
    <row r="19" spans="1:5" ht="16.5" customHeight="1" x14ac:dyDescent="0.3">
      <c r="A19" s="275" t="s">
        <v>37</v>
      </c>
      <c r="B19" s="275"/>
      <c r="C19" s="48" t="e">
        <f>#REF!</f>
        <v>#REF!</v>
      </c>
    </row>
    <row r="20" spans="1:5" ht="16.5" customHeight="1" x14ac:dyDescent="0.3">
      <c r="A20" s="13"/>
      <c r="B20" s="13"/>
      <c r="C20" s="28"/>
    </row>
    <row r="21" spans="1:5" ht="16.5" customHeight="1" x14ac:dyDescent="0.3">
      <c r="A21" s="270" t="s">
        <v>1</v>
      </c>
      <c r="B21" s="270"/>
      <c r="C21" s="10" t="s">
        <v>38</v>
      </c>
      <c r="D21" s="17"/>
    </row>
    <row r="22" spans="1:5" ht="15.75" customHeight="1" x14ac:dyDescent="0.3">
      <c r="A22" s="274"/>
      <c r="B22" s="274"/>
      <c r="C22" s="8"/>
      <c r="D22" s="274"/>
      <c r="E22" s="274"/>
    </row>
    <row r="23" spans="1:5" ht="33.75" customHeight="1" x14ac:dyDescent="0.3">
      <c r="C23" s="37" t="s">
        <v>39</v>
      </c>
      <c r="D23" s="36" t="s">
        <v>40</v>
      </c>
      <c r="E23" s="3"/>
    </row>
    <row r="24" spans="1:5" ht="15.75" customHeight="1" x14ac:dyDescent="0.3">
      <c r="C24" s="46">
        <v>160.26</v>
      </c>
      <c r="D24" s="38">
        <f t="shared" ref="D24:D43" si="0">(C24-$C$46)/$C$46</f>
        <v>-5.4568982990071989E-4</v>
      </c>
      <c r="E24" s="4"/>
    </row>
    <row r="25" spans="1:5" ht="15.75" customHeight="1" x14ac:dyDescent="0.3">
      <c r="C25" s="46">
        <v>160.18</v>
      </c>
      <c r="D25" s="39">
        <f t="shared" si="0"/>
        <v>-1.0446062458098178E-3</v>
      </c>
      <c r="E25" s="4"/>
    </row>
    <row r="26" spans="1:5" ht="15.75" customHeight="1" x14ac:dyDescent="0.3">
      <c r="C26" s="46">
        <v>160.32</v>
      </c>
      <c r="D26" s="39">
        <f t="shared" si="0"/>
        <v>-1.7150251796880782E-4</v>
      </c>
      <c r="E26" s="4"/>
    </row>
    <row r="27" spans="1:5" ht="15.75" customHeight="1" x14ac:dyDescent="0.3">
      <c r="C27" s="46">
        <v>159.61000000000001</v>
      </c>
      <c r="D27" s="39">
        <f t="shared" si="0"/>
        <v>-4.5993857091628058E-3</v>
      </c>
      <c r="E27" s="4"/>
    </row>
    <row r="28" spans="1:5" ht="15.75" customHeight="1" x14ac:dyDescent="0.3">
      <c r="C28" s="46">
        <v>159.69</v>
      </c>
      <c r="D28" s="39">
        <f t="shared" si="0"/>
        <v>-4.1004692932537076E-3</v>
      </c>
      <c r="E28" s="4"/>
    </row>
    <row r="29" spans="1:5" ht="15.75" customHeight="1" x14ac:dyDescent="0.3">
      <c r="C29" s="46">
        <v>159.31</v>
      </c>
      <c r="D29" s="39">
        <f t="shared" si="0"/>
        <v>-6.470322268822366E-3</v>
      </c>
      <c r="E29" s="4"/>
    </row>
    <row r="30" spans="1:5" ht="15.75" customHeight="1" x14ac:dyDescent="0.3">
      <c r="C30" s="46">
        <v>161.27000000000001</v>
      </c>
      <c r="D30" s="39">
        <f t="shared" si="0"/>
        <v>5.7531299209530153E-3</v>
      </c>
      <c r="E30" s="4"/>
    </row>
    <row r="31" spans="1:5" ht="15.75" customHeight="1" x14ac:dyDescent="0.3">
      <c r="C31" s="46">
        <v>160.86000000000001</v>
      </c>
      <c r="D31" s="39">
        <f t="shared" si="0"/>
        <v>3.1961832894184011E-3</v>
      </c>
      <c r="E31" s="4"/>
    </row>
    <row r="32" spans="1:5" ht="15.75" customHeight="1" x14ac:dyDescent="0.3">
      <c r="C32" s="46">
        <v>160.28</v>
      </c>
      <c r="D32" s="39">
        <f t="shared" si="0"/>
        <v>-4.2096072592335681E-4</v>
      </c>
      <c r="E32" s="4"/>
    </row>
    <row r="33" spans="1:7" ht="15.75" customHeight="1" x14ac:dyDescent="0.3">
      <c r="C33" s="46">
        <v>160.26</v>
      </c>
      <c r="D33" s="39">
        <f t="shared" si="0"/>
        <v>-5.4568982990071989E-4</v>
      </c>
      <c r="E33" s="4"/>
    </row>
    <row r="34" spans="1:7" ht="15.75" customHeight="1" x14ac:dyDescent="0.3">
      <c r="C34" s="46">
        <v>161.5</v>
      </c>
      <c r="D34" s="39">
        <f t="shared" si="0"/>
        <v>7.1875146166918936E-3</v>
      </c>
      <c r="E34" s="4"/>
    </row>
    <row r="35" spans="1:7" ht="15.75" customHeight="1" x14ac:dyDescent="0.3">
      <c r="C35" s="46">
        <v>160.54</v>
      </c>
      <c r="D35" s="39">
        <f t="shared" si="0"/>
        <v>1.2005176257814775E-3</v>
      </c>
      <c r="E35" s="4"/>
    </row>
    <row r="36" spans="1:7" ht="15.75" customHeight="1" x14ac:dyDescent="0.3">
      <c r="C36" s="46">
        <v>161.5</v>
      </c>
      <c r="D36" s="39">
        <f t="shared" si="0"/>
        <v>7.1875146166918936E-3</v>
      </c>
      <c r="E36" s="4"/>
    </row>
    <row r="37" spans="1:7" ht="15.75" customHeight="1" x14ac:dyDescent="0.3">
      <c r="C37" s="46">
        <v>156.75</v>
      </c>
      <c r="D37" s="39">
        <f t="shared" si="0"/>
        <v>-2.243564757791669E-2</v>
      </c>
      <c r="E37" s="4"/>
    </row>
    <row r="38" spans="1:7" ht="15.75" customHeight="1" x14ac:dyDescent="0.3">
      <c r="C38" s="46">
        <v>158.78</v>
      </c>
      <c r="D38" s="39">
        <f t="shared" si="0"/>
        <v>-9.7756435242208044E-3</v>
      </c>
      <c r="E38" s="4"/>
    </row>
    <row r="39" spans="1:7" ht="15.75" customHeight="1" x14ac:dyDescent="0.3">
      <c r="C39" s="46">
        <v>161.22999999999999</v>
      </c>
      <c r="D39" s="39">
        <f t="shared" si="0"/>
        <v>5.5036717129982897E-3</v>
      </c>
      <c r="E39" s="4"/>
    </row>
    <row r="40" spans="1:7" ht="15.75" customHeight="1" x14ac:dyDescent="0.3">
      <c r="C40" s="46">
        <v>162.1</v>
      </c>
      <c r="D40" s="39">
        <f t="shared" si="0"/>
        <v>1.0929387736010838E-2</v>
      </c>
      <c r="E40" s="4"/>
    </row>
    <row r="41" spans="1:7" ht="15.75" customHeight="1" x14ac:dyDescent="0.3">
      <c r="C41" s="46">
        <v>159.72</v>
      </c>
      <c r="D41" s="39">
        <f t="shared" si="0"/>
        <v>-3.9133756372877514E-3</v>
      </c>
      <c r="E41" s="4"/>
    </row>
    <row r="42" spans="1:7" ht="15.75" customHeight="1" x14ac:dyDescent="0.3">
      <c r="C42" s="46">
        <v>162.38999999999999</v>
      </c>
      <c r="D42" s="39">
        <f t="shared" si="0"/>
        <v>1.2737959743681629E-2</v>
      </c>
      <c r="E42" s="4"/>
    </row>
    <row r="43" spans="1:7" ht="16.5" customHeight="1" x14ac:dyDescent="0.3">
      <c r="C43" s="47">
        <v>160.4</v>
      </c>
      <c r="D43" s="40">
        <f t="shared" si="0"/>
        <v>3.274138979404674E-4</v>
      </c>
      <c r="E43" s="4"/>
    </row>
    <row r="44" spans="1:7" ht="16.5" customHeight="1" x14ac:dyDescent="0.3">
      <c r="C44" s="5"/>
      <c r="D44" s="4"/>
      <c r="E44" s="6"/>
    </row>
    <row r="45" spans="1:7" ht="16.5" customHeight="1" x14ac:dyDescent="0.3">
      <c r="B45" s="33" t="s">
        <v>41</v>
      </c>
      <c r="C45" s="34">
        <f>SUM(C24:C44)</f>
        <v>3206.95</v>
      </c>
      <c r="D45" s="29"/>
      <c r="E45" s="5"/>
    </row>
    <row r="46" spans="1:7" ht="17.25" customHeight="1" x14ac:dyDescent="0.3">
      <c r="B46" s="33" t="s">
        <v>42</v>
      </c>
      <c r="C46" s="35">
        <f>AVERAGE(C24:C44)</f>
        <v>160.3475</v>
      </c>
      <c r="E46" s="7"/>
    </row>
    <row r="47" spans="1:7" ht="17.25" customHeight="1" x14ac:dyDescent="0.3">
      <c r="A47" s="11"/>
      <c r="B47" s="30"/>
      <c r="D47" s="9"/>
      <c r="E47" s="7"/>
    </row>
    <row r="48" spans="1:7" ht="33.75" customHeight="1" x14ac:dyDescent="0.3">
      <c r="B48" s="43" t="s">
        <v>42</v>
      </c>
      <c r="C48" s="36" t="s">
        <v>43</v>
      </c>
      <c r="D48" s="31"/>
      <c r="G48" s="9"/>
    </row>
    <row r="49" spans="1:6" ht="17.25" customHeight="1" x14ac:dyDescent="0.3">
      <c r="B49" s="268">
        <f>C46</f>
        <v>160.3475</v>
      </c>
      <c r="C49" s="44">
        <f>-IF(C46&lt;=80,10%,IF(C46&lt;250,7.5%,5%))</f>
        <v>-7.4999999999999997E-2</v>
      </c>
      <c r="D49" s="32">
        <f>IF(C46&lt;=80,C46*0.9,IF(C46&lt;250,C46*0.925,C46*0.95))</f>
        <v>148.3214375</v>
      </c>
    </row>
    <row r="50" spans="1:6" ht="17.25" customHeight="1" x14ac:dyDescent="0.3">
      <c r="B50" s="269"/>
      <c r="C50" s="45">
        <f>IF(C46&lt;=80, 10%, IF(C46&lt;250, 7.5%, 5%))</f>
        <v>7.4999999999999997E-2</v>
      </c>
      <c r="D50" s="32">
        <f>IF(C46&lt;=80, C46*1.1, IF(C46&lt;250, C46*1.075, C46*1.05))</f>
        <v>172.37356249999999</v>
      </c>
    </row>
    <row r="51" spans="1:6" ht="16.5" customHeight="1" x14ac:dyDescent="0.3">
      <c r="A51" s="14"/>
      <c r="B51" s="15"/>
      <c r="C51" s="11"/>
      <c r="D51" s="16"/>
      <c r="E51" s="11"/>
      <c r="F51" s="17"/>
    </row>
    <row r="52" spans="1:6" ht="16.5" customHeight="1" x14ac:dyDescent="0.3">
      <c r="A52" s="11"/>
      <c r="B52" s="18" t="s">
        <v>25</v>
      </c>
      <c r="C52" s="18"/>
      <c r="D52" s="19" t="s">
        <v>26</v>
      </c>
      <c r="E52" s="20"/>
      <c r="F52" s="19" t="s">
        <v>27</v>
      </c>
    </row>
    <row r="53" spans="1:6" ht="34.5" customHeight="1" x14ac:dyDescent="0.3">
      <c r="A53" s="21" t="s">
        <v>28</v>
      </c>
      <c r="B53" s="22"/>
      <c r="C53" s="23"/>
      <c r="D53" s="22"/>
      <c r="E53" s="12"/>
      <c r="F53" s="24"/>
    </row>
    <row r="54" spans="1:6" ht="34.5" customHeight="1" x14ac:dyDescent="0.3">
      <c r="A54" s="21" t="s">
        <v>29</v>
      </c>
      <c r="B54" s="25"/>
      <c r="C54" s="26"/>
      <c r="D54" s="25"/>
      <c r="E54" s="12"/>
      <c r="F54" s="27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G110" sqref="G110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279" t="s">
        <v>44</v>
      </c>
      <c r="B1" s="279"/>
      <c r="C1" s="279"/>
      <c r="D1" s="279"/>
      <c r="E1" s="279"/>
      <c r="F1" s="279"/>
      <c r="G1" s="279"/>
      <c r="H1" s="279"/>
      <c r="I1" s="279"/>
    </row>
    <row r="2" spans="1:9" ht="18.75" customHeight="1" x14ac:dyDescent="0.25">
      <c r="A2" s="279"/>
      <c r="B2" s="279"/>
      <c r="C2" s="279"/>
      <c r="D2" s="279"/>
      <c r="E2" s="279"/>
      <c r="F2" s="279"/>
      <c r="G2" s="279"/>
      <c r="H2" s="279"/>
      <c r="I2" s="279"/>
    </row>
    <row r="3" spans="1:9" ht="18.7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8.7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8.7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</row>
    <row r="6" spans="1:9" ht="18.75" customHeight="1" x14ac:dyDescent="0.25">
      <c r="A6" s="279"/>
      <c r="B6" s="279"/>
      <c r="C6" s="279"/>
      <c r="D6" s="279"/>
      <c r="E6" s="279"/>
      <c r="F6" s="279"/>
      <c r="G6" s="279"/>
      <c r="H6" s="279"/>
      <c r="I6" s="279"/>
    </row>
    <row r="7" spans="1:9" ht="18.75" customHeight="1" x14ac:dyDescent="0.25">
      <c r="A7" s="279"/>
      <c r="B7" s="279"/>
      <c r="C7" s="279"/>
      <c r="D7" s="279"/>
      <c r="E7" s="279"/>
      <c r="F7" s="279"/>
      <c r="G7" s="279"/>
      <c r="H7" s="279"/>
      <c r="I7" s="279"/>
    </row>
    <row r="8" spans="1:9" x14ac:dyDescent="0.25">
      <c r="A8" s="280" t="s">
        <v>45</v>
      </c>
      <c r="B8" s="280"/>
      <c r="C8" s="280"/>
      <c r="D8" s="280"/>
      <c r="E8" s="280"/>
      <c r="F8" s="280"/>
      <c r="G8" s="280"/>
      <c r="H8" s="280"/>
      <c r="I8" s="280"/>
    </row>
    <row r="9" spans="1:9" x14ac:dyDescent="0.25">
      <c r="A9" s="280"/>
      <c r="B9" s="280"/>
      <c r="C9" s="280"/>
      <c r="D9" s="280"/>
      <c r="E9" s="280"/>
      <c r="F9" s="280"/>
      <c r="G9" s="280"/>
      <c r="H9" s="280"/>
      <c r="I9" s="280"/>
    </row>
    <row r="10" spans="1:9" x14ac:dyDescent="0.25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9" x14ac:dyDescent="0.25">
      <c r="A11" s="280"/>
      <c r="B11" s="280"/>
      <c r="C11" s="280"/>
      <c r="D11" s="280"/>
      <c r="E11" s="280"/>
      <c r="F11" s="280"/>
      <c r="G11" s="280"/>
      <c r="H11" s="280"/>
      <c r="I11" s="280"/>
    </row>
    <row r="12" spans="1:9" x14ac:dyDescent="0.25">
      <c r="A12" s="280"/>
      <c r="B12" s="280"/>
      <c r="C12" s="280"/>
      <c r="D12" s="280"/>
      <c r="E12" s="280"/>
      <c r="F12" s="280"/>
      <c r="G12" s="280"/>
      <c r="H12" s="280"/>
      <c r="I12" s="280"/>
    </row>
    <row r="13" spans="1:9" x14ac:dyDescent="0.25">
      <c r="A13" s="280"/>
      <c r="B13" s="280"/>
      <c r="C13" s="280"/>
      <c r="D13" s="280"/>
      <c r="E13" s="280"/>
      <c r="F13" s="280"/>
      <c r="G13" s="280"/>
      <c r="H13" s="280"/>
      <c r="I13" s="280"/>
    </row>
    <row r="14" spans="1:9" x14ac:dyDescent="0.25">
      <c r="A14" s="280"/>
      <c r="B14" s="280"/>
      <c r="C14" s="280"/>
      <c r="D14" s="280"/>
      <c r="E14" s="280"/>
      <c r="F14" s="280"/>
      <c r="G14" s="280"/>
      <c r="H14" s="280"/>
      <c r="I14" s="280"/>
    </row>
    <row r="15" spans="1:9" ht="19.5" customHeight="1" thickBot="1" x14ac:dyDescent="0.35">
      <c r="A15" s="139"/>
    </row>
    <row r="16" spans="1:9" ht="19.5" customHeight="1" thickBot="1" x14ac:dyDescent="0.35">
      <c r="A16" s="281" t="s">
        <v>30</v>
      </c>
      <c r="B16" s="282"/>
      <c r="C16" s="282"/>
      <c r="D16" s="282"/>
      <c r="E16" s="282"/>
      <c r="F16" s="282"/>
      <c r="G16" s="282"/>
      <c r="H16" s="283"/>
    </row>
    <row r="17" spans="1:14" ht="20.25" customHeight="1" x14ac:dyDescent="0.25">
      <c r="A17" s="284" t="s">
        <v>46</v>
      </c>
      <c r="B17" s="284"/>
      <c r="C17" s="284"/>
      <c r="D17" s="284"/>
      <c r="E17" s="284"/>
      <c r="F17" s="284"/>
      <c r="G17" s="284"/>
      <c r="H17" s="284"/>
    </row>
    <row r="18" spans="1:14" ht="26.25" customHeight="1" x14ac:dyDescent="0.4">
      <c r="A18" s="49" t="s">
        <v>32</v>
      </c>
      <c r="B18" s="285" t="s">
        <v>5</v>
      </c>
      <c r="C18" s="285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286" t="s">
        <v>124</v>
      </c>
      <c r="C20" s="286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51"/>
    </row>
    <row r="22" spans="1:14" ht="26.25" customHeight="1" x14ac:dyDescent="0.4">
      <c r="A22" s="49" t="s">
        <v>36</v>
      </c>
      <c r="B22" s="52">
        <v>42562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42563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285" t="s">
        <v>125</v>
      </c>
      <c r="C26" s="285"/>
    </row>
    <row r="27" spans="1:14" ht="26.25" customHeight="1" x14ac:dyDescent="0.4">
      <c r="A27" s="146" t="s">
        <v>47</v>
      </c>
      <c r="B27" s="287" t="s">
        <v>136</v>
      </c>
      <c r="C27" s="287"/>
    </row>
    <row r="28" spans="1:14" ht="27" customHeight="1" thickBot="1" x14ac:dyDescent="0.45">
      <c r="A28" s="146" t="s">
        <v>6</v>
      </c>
      <c r="B28" s="141">
        <v>100.4</v>
      </c>
    </row>
    <row r="29" spans="1:14" s="2" customFormat="1" ht="27" customHeight="1" thickBot="1" x14ac:dyDescent="0.45">
      <c r="A29" s="146" t="s">
        <v>48</v>
      </c>
      <c r="B29" s="55">
        <v>0</v>
      </c>
      <c r="C29" s="288" t="s">
        <v>49</v>
      </c>
      <c r="D29" s="289"/>
      <c r="E29" s="289"/>
      <c r="F29" s="289"/>
      <c r="G29" s="290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07">
        <f>B28-B29</f>
        <v>100.4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76" t="s">
        <v>52</v>
      </c>
      <c r="D31" s="277"/>
      <c r="E31" s="277"/>
      <c r="F31" s="277"/>
      <c r="G31" s="277"/>
      <c r="H31" s="278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76" t="s">
        <v>54</v>
      </c>
      <c r="D32" s="277"/>
      <c r="E32" s="277"/>
      <c r="F32" s="277"/>
      <c r="G32" s="277"/>
      <c r="H32" s="2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07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20</v>
      </c>
      <c r="C36" s="139"/>
      <c r="D36" s="296" t="s">
        <v>58</v>
      </c>
      <c r="E36" s="297"/>
      <c r="F36" s="296" t="s">
        <v>59</v>
      </c>
      <c r="G36" s="2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4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20</v>
      </c>
      <c r="C38" s="74">
        <v>1</v>
      </c>
      <c r="D38" s="75">
        <v>8880162</v>
      </c>
      <c r="E38" s="76">
        <f>IF(ISBLANK(D38),"-",$D$48/$D$45*D38)</f>
        <v>8276465.5663062017</v>
      </c>
      <c r="F38" s="75">
        <v>7314881</v>
      </c>
      <c r="G38" s="77">
        <f>IF(ISBLANK(F38),"-",$D$48/$F$45*F38)</f>
        <v>8059444.7431512875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8856299</v>
      </c>
      <c r="E39" s="80">
        <f>IF(ISBLANK(D39),"-",$D$48/$D$45*D39)</f>
        <v>8254224.8349086484</v>
      </c>
      <c r="F39" s="79">
        <v>7299553</v>
      </c>
      <c r="G39" s="81">
        <f>IF(ISBLANK(F39),"-",$D$48/$F$45*F39)</f>
        <v>8042556.5437365575</v>
      </c>
      <c r="I39" s="299">
        <f>ABS((F43/D43*D42)-F42)/D42</f>
        <v>2.3647358059516749E-2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8847815</v>
      </c>
      <c r="E40" s="80">
        <f>IF(ISBLANK(D40),"-",$D$48/$D$45*D40)</f>
        <v>8246317.5992225716</v>
      </c>
      <c r="F40" s="79">
        <v>7244927</v>
      </c>
      <c r="G40" s="81">
        <f>IF(ISBLANK(F40),"-",$D$48/$F$45*F40)</f>
        <v>7982370.2975707781</v>
      </c>
      <c r="I40" s="299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8861425.333333334</v>
      </c>
      <c r="E42" s="89">
        <f>AVERAGE(E38:E41)</f>
        <v>8259002.666812473</v>
      </c>
      <c r="F42" s="88">
        <f>AVERAGE(F38:F41)</f>
        <v>7286453.666666667</v>
      </c>
      <c r="G42" s="90">
        <f>AVERAGE(G38:G41)</f>
        <v>8028123.8614862077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16.03</v>
      </c>
      <c r="E43" s="139"/>
      <c r="F43" s="93">
        <v>13.56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16.03</v>
      </c>
      <c r="E44" s="154"/>
      <c r="F44" s="95">
        <f>F43*$B$34</f>
        <v>13.56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16.094120000000004</v>
      </c>
      <c r="E45" s="136"/>
      <c r="F45" s="97">
        <f>F44*$B$30/100</f>
        <v>13.614240000000002</v>
      </c>
      <c r="H45" s="91"/>
    </row>
    <row r="46" spans="1:14" ht="19.5" customHeight="1" thickBot="1" x14ac:dyDescent="0.35">
      <c r="A46" s="300" t="s">
        <v>77</v>
      </c>
      <c r="B46" s="301"/>
      <c r="C46" s="94" t="s">
        <v>78</v>
      </c>
      <c r="D46" s="98">
        <f>D45/$B$45</f>
        <v>0.16094120000000003</v>
      </c>
      <c r="E46" s="99"/>
      <c r="F46" s="100">
        <f>F45/$B$45</f>
        <v>0.13614240000000002</v>
      </c>
      <c r="H46" s="91"/>
    </row>
    <row r="47" spans="1:14" ht="27" customHeight="1" thickBot="1" x14ac:dyDescent="0.45">
      <c r="A47" s="302"/>
      <c r="B47" s="303"/>
      <c r="C47" s="101" t="s">
        <v>79</v>
      </c>
      <c r="D47" s="102">
        <v>0.15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15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15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8143563.2641493408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1.589052525137586E-2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30</v>
      </c>
      <c r="C56" s="139" t="str">
        <f>B20</f>
        <v xml:space="preserve">LAMIVUDINE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304" t="s">
        <v>93</v>
      </c>
      <c r="D60" s="307">
        <v>159.44</v>
      </c>
      <c r="E60" s="119">
        <v>1</v>
      </c>
      <c r="F60" s="120">
        <v>9500542</v>
      </c>
      <c r="G60" s="195">
        <f>IF(ISBLANK(F60),"-",(F60/$D$50*$D$47*$B$68)*($B$57/$D$60))</f>
        <v>35.198168810486372</v>
      </c>
      <c r="H60" s="121">
        <f t="shared" ref="H60:H71" si="0">IF(ISBLANK(F60),"-",G60/$B$56)</f>
        <v>1.173272293682879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305"/>
      <c r="D61" s="308"/>
      <c r="E61" s="122">
        <v>2</v>
      </c>
      <c r="F61" s="79">
        <v>9531288</v>
      </c>
      <c r="G61" s="196">
        <f>IF(ISBLANK(F61),"-",(F61/$D$50*$D$47*$B$68)*($B$57/$D$60))</f>
        <v>35.312078406196505</v>
      </c>
      <c r="H61" s="123">
        <f t="shared" si="0"/>
        <v>1.1770692802065501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305"/>
      <c r="D62" s="308"/>
      <c r="E62" s="122">
        <v>3</v>
      </c>
      <c r="F62" s="124">
        <v>9503007</v>
      </c>
      <c r="G62" s="196">
        <f>IF(ISBLANK(F62),"-",(F62/$D$50*$D$47*$B$68)*($B$57/$D$60))</f>
        <v>35.207301287993218</v>
      </c>
      <c r="H62" s="123">
        <f t="shared" si="0"/>
        <v>1.173576709599774</v>
      </c>
      <c r="L62" s="56"/>
    </row>
    <row r="63" spans="1:12" ht="27" customHeight="1" thickBot="1" x14ac:dyDescent="0.45">
      <c r="A63" s="67" t="s">
        <v>96</v>
      </c>
      <c r="B63" s="68">
        <v>1</v>
      </c>
      <c r="C63" s="306"/>
      <c r="D63" s="309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304" t="s">
        <v>98</v>
      </c>
      <c r="D64" s="307">
        <v>162.32</v>
      </c>
      <c r="E64" s="119">
        <v>1</v>
      </c>
      <c r="F64" s="120">
        <v>9695349</v>
      </c>
      <c r="G64" s="197">
        <f>IF(ISBLANK(F64),"-",(F64/$D$50*$D$47*$B$68)*($B$57/$D$64))</f>
        <v>35.282584158586019</v>
      </c>
      <c r="H64" s="127">
        <f t="shared" si="0"/>
        <v>1.176086138619534</v>
      </c>
    </row>
    <row r="65" spans="1:8" ht="26.25" customHeight="1" x14ac:dyDescent="0.4">
      <c r="A65" s="67" t="s">
        <v>99</v>
      </c>
      <c r="B65" s="68">
        <v>1</v>
      </c>
      <c r="C65" s="305"/>
      <c r="D65" s="308"/>
      <c r="E65" s="122">
        <v>2</v>
      </c>
      <c r="F65" s="79">
        <v>9748895</v>
      </c>
      <c r="G65" s="198">
        <f>IF(ISBLANK(F65),"-",(F65/$D$50*$D$47*$B$68)*($B$57/$D$64))</f>
        <v>35.477444730531971</v>
      </c>
      <c r="H65" s="128">
        <f t="shared" si="0"/>
        <v>1.1825814910177324</v>
      </c>
    </row>
    <row r="66" spans="1:8" ht="26.25" customHeight="1" x14ac:dyDescent="0.4">
      <c r="A66" s="67" t="s">
        <v>100</v>
      </c>
      <c r="B66" s="68">
        <v>1</v>
      </c>
      <c r="C66" s="305"/>
      <c r="D66" s="308"/>
      <c r="E66" s="122">
        <v>3</v>
      </c>
      <c r="F66" s="79">
        <v>9669271</v>
      </c>
      <c r="G66" s="198">
        <f>IF(ISBLANK(F66),"-",(F66/$D$50*$D$47*$B$68)*($B$57/$D$64))</f>
        <v>35.187683064289395</v>
      </c>
      <c r="H66" s="128">
        <f t="shared" si="0"/>
        <v>1.1729227688096464</v>
      </c>
    </row>
    <row r="67" spans="1:8" ht="27" customHeight="1" thickBot="1" x14ac:dyDescent="0.45">
      <c r="A67" s="67" t="s">
        <v>101</v>
      </c>
      <c r="B67" s="68">
        <v>1</v>
      </c>
      <c r="C67" s="306"/>
      <c r="D67" s="309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304" t="s">
        <v>103</v>
      </c>
      <c r="D68" s="307">
        <v>160.15</v>
      </c>
      <c r="E68" s="119">
        <v>1</v>
      </c>
      <c r="F68" s="120">
        <v>9546514</v>
      </c>
      <c r="G68" s="197">
        <f>IF(ISBLANK(F68),"-",(F68/$D$50*$D$47*$B$68)*($B$57/$D$68))</f>
        <v>35.211687922282941</v>
      </c>
      <c r="H68" s="123">
        <f t="shared" si="0"/>
        <v>1.1737229307427648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305"/>
      <c r="D69" s="308"/>
      <c r="E69" s="122">
        <v>2</v>
      </c>
      <c r="F69" s="79">
        <v>9545743</v>
      </c>
      <c r="G69" s="198">
        <f>IF(ISBLANK(F69),"-",(F69/$D$50*$D$47*$B$68)*($B$57/$D$68))</f>
        <v>35.208844139579845</v>
      </c>
      <c r="H69" s="123">
        <f t="shared" si="0"/>
        <v>1.1736281379859947</v>
      </c>
    </row>
    <row r="70" spans="1:8" ht="26.25" customHeight="1" x14ac:dyDescent="0.4">
      <c r="A70" s="291" t="s">
        <v>77</v>
      </c>
      <c r="B70" s="292"/>
      <c r="C70" s="305"/>
      <c r="D70" s="308"/>
      <c r="E70" s="122">
        <v>3</v>
      </c>
      <c r="F70" s="79">
        <v>9497495</v>
      </c>
      <c r="G70" s="198">
        <f>IF(ISBLANK(F70),"-",(F70/$D$50*$D$47*$B$68)*($B$57/$D$68))</f>
        <v>35.030884570372244</v>
      </c>
      <c r="H70" s="123">
        <f t="shared" si="0"/>
        <v>1.1676961523457414</v>
      </c>
    </row>
    <row r="71" spans="1:8" ht="27" customHeight="1" thickBot="1" x14ac:dyDescent="0.45">
      <c r="A71" s="293"/>
      <c r="B71" s="294"/>
      <c r="C71" s="310"/>
      <c r="D71" s="309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35.235186343368724</v>
      </c>
      <c r="H72" s="134">
        <f>AVERAGE(H60:H71)</f>
        <v>1.1745062114456239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3.3914339274541223E-3</v>
      </c>
      <c r="H73" s="200">
        <f>STDEV(H60:H71)/H72</f>
        <v>3.3914339274541305E-3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95" t="str">
        <f>B20</f>
        <v xml:space="preserve">LAMIVUDINE </v>
      </c>
      <c r="D76" s="295"/>
      <c r="E76" s="139" t="s">
        <v>107</v>
      </c>
      <c r="F76" s="139"/>
      <c r="G76" s="140">
        <f>H72</f>
        <v>1.1745062114456239</v>
      </c>
      <c r="H76" s="207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311" t="str">
        <f>B26</f>
        <v>Lamivudine</v>
      </c>
      <c r="C79" s="311"/>
    </row>
    <row r="80" spans="1:8" ht="26.25" customHeight="1" x14ac:dyDescent="0.4">
      <c r="A80" s="146" t="s">
        <v>47</v>
      </c>
      <c r="B80" s="311" t="str">
        <f>B27</f>
        <v>L3-7</v>
      </c>
      <c r="C80" s="311"/>
    </row>
    <row r="81" spans="1:12" ht="27" customHeight="1" thickBot="1" x14ac:dyDescent="0.45">
      <c r="A81" s="146" t="s">
        <v>6</v>
      </c>
      <c r="B81" s="141">
        <v>84.06</v>
      </c>
    </row>
    <row r="82" spans="1:12" s="2" customFormat="1" ht="27" customHeight="1" thickBot="1" x14ac:dyDescent="0.45">
      <c r="A82" s="146" t="s">
        <v>48</v>
      </c>
      <c r="B82" s="55">
        <v>0</v>
      </c>
      <c r="C82" s="288" t="s">
        <v>49</v>
      </c>
      <c r="D82" s="289"/>
      <c r="E82" s="289"/>
      <c r="F82" s="289"/>
      <c r="G82" s="290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07">
        <f>B81-B82</f>
        <v>84.06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76" t="s">
        <v>110</v>
      </c>
      <c r="D84" s="277"/>
      <c r="E84" s="277"/>
      <c r="F84" s="277"/>
      <c r="G84" s="277"/>
      <c r="H84" s="278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76" t="s">
        <v>111</v>
      </c>
      <c r="D85" s="277"/>
      <c r="E85" s="277"/>
      <c r="F85" s="277"/>
      <c r="G85" s="277"/>
      <c r="H85" s="278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20</v>
      </c>
      <c r="D89" s="209" t="s">
        <v>58</v>
      </c>
      <c r="E89" s="212"/>
      <c r="F89" s="296" t="s">
        <v>59</v>
      </c>
      <c r="G89" s="298"/>
    </row>
    <row r="90" spans="1:12" ht="27" customHeight="1" thickBot="1" x14ac:dyDescent="0.45">
      <c r="A90" s="67" t="s">
        <v>60</v>
      </c>
      <c r="B90" s="68">
        <v>4</v>
      </c>
      <c r="C90" s="208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20</v>
      </c>
      <c r="C91" s="143">
        <v>1</v>
      </c>
      <c r="D91" s="75">
        <v>1783365</v>
      </c>
      <c r="E91" s="76">
        <f>IF(ISBLANK(D91),"-",$D$101/$D$98*D91)</f>
        <v>2205799.7369611971</v>
      </c>
      <c r="F91" s="75">
        <v>1463587</v>
      </c>
      <c r="G91" s="77">
        <f>IF(ISBLANK(F91),"-",$D$101/$F$98*F91)</f>
        <v>2140021.8998884298</v>
      </c>
      <c r="I91" s="78"/>
    </row>
    <row r="92" spans="1:12" ht="26.25" customHeight="1" x14ac:dyDescent="0.4">
      <c r="A92" s="67" t="s">
        <v>66</v>
      </c>
      <c r="B92" s="68">
        <v>4</v>
      </c>
      <c r="C92" s="154">
        <v>2</v>
      </c>
      <c r="D92" s="79">
        <v>1775825</v>
      </c>
      <c r="E92" s="80">
        <f>IF(ISBLANK(D92),"-",$D$101/$D$98*D92)</f>
        <v>2196473.6988160685</v>
      </c>
      <c r="F92" s="79">
        <v>1456831</v>
      </c>
      <c r="G92" s="81">
        <f>IF(ISBLANK(F92),"-",$D$101/$F$98*F92)</f>
        <v>2130143.4383035386</v>
      </c>
      <c r="I92" s="299">
        <f>ABS((F96/D96*D95)-F95)/D95</f>
        <v>2.5352622938405199E-2</v>
      </c>
    </row>
    <row r="93" spans="1:12" ht="26.25" customHeight="1" x14ac:dyDescent="0.4">
      <c r="A93" s="67" t="s">
        <v>67</v>
      </c>
      <c r="B93" s="68">
        <v>20</v>
      </c>
      <c r="C93" s="154">
        <v>3</v>
      </c>
      <c r="D93" s="79">
        <v>1770262</v>
      </c>
      <c r="E93" s="80">
        <f>IF(ISBLANK(D93),"-",$D$101/$D$98*D93)</f>
        <v>2189592.9627150935</v>
      </c>
      <c r="F93" s="79">
        <v>1452724</v>
      </c>
      <c r="G93" s="81">
        <f>IF(ISBLANK(F93),"-",$D$101/$F$98*F93)</f>
        <v>2124138.2811500235</v>
      </c>
      <c r="I93" s="299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1776484</v>
      </c>
      <c r="E95" s="89">
        <f>AVERAGE(E91:E94)</f>
        <v>2197288.799497453</v>
      </c>
      <c r="F95" s="148">
        <f>AVERAGE(F91:F94)</f>
        <v>1457714</v>
      </c>
      <c r="G95" s="149">
        <f>AVERAGE(G91:G94)</f>
        <v>2131434.5397806638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16.03</v>
      </c>
      <c r="E96" s="139"/>
      <c r="F96" s="93">
        <v>13.56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16.03</v>
      </c>
      <c r="E97" s="154"/>
      <c r="F97" s="95">
        <f>F96*$B$87</f>
        <v>13.56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13.474818000000001</v>
      </c>
      <c r="E98" s="136"/>
      <c r="F98" s="97">
        <f>F97*$B$83/100</f>
        <v>11.398536000000002</v>
      </c>
    </row>
    <row r="99" spans="1:10" ht="19.5" customHeight="1" thickBot="1" x14ac:dyDescent="0.35">
      <c r="A99" s="300" t="s">
        <v>77</v>
      </c>
      <c r="B99" s="312"/>
      <c r="C99" s="152" t="s">
        <v>115</v>
      </c>
      <c r="D99" s="156">
        <f>D98/$B$98</f>
        <v>2.6949636000000003E-2</v>
      </c>
      <c r="E99" s="136"/>
      <c r="F99" s="100">
        <f>F98/$B$98</f>
        <v>2.2797072000000005E-2</v>
      </c>
      <c r="H99" s="91"/>
    </row>
    <row r="100" spans="1:10" ht="19.5" customHeight="1" thickBot="1" x14ac:dyDescent="0.35">
      <c r="A100" s="302"/>
      <c r="B100" s="313"/>
      <c r="C100" s="152" t="s">
        <v>79</v>
      </c>
      <c r="D100" s="158">
        <f>$B$56/$B$116</f>
        <v>3.3333333333333333E-2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16.666666666666668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16.666666666666668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2164361.6696390584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1.6996357963124775E-2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0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2212348</v>
      </c>
      <c r="E108" s="201">
        <f t="shared" ref="E108:E113" si="1">IF(ISBLANK(D108),"-",D108/$D$103*$D$100*$B$116)</f>
        <v>30.665133711718482</v>
      </c>
      <c r="F108" s="173">
        <f t="shared" ref="F108:F113" si="2">IF(ISBLANK(D108), "-", E108/$B$56)</f>
        <v>1.0221711237239495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2189635</v>
      </c>
      <c r="E109" s="202">
        <f t="shared" si="1"/>
        <v>30.350311097014899</v>
      </c>
      <c r="F109" s="174">
        <f t="shared" si="2"/>
        <v>1.0116770365671632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2209258</v>
      </c>
      <c r="E110" s="202">
        <f t="shared" si="1"/>
        <v>30.622303531670312</v>
      </c>
      <c r="F110" s="174">
        <f t="shared" si="2"/>
        <v>1.020743451055677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2176199</v>
      </c>
      <c r="E111" s="202">
        <f t="shared" si="1"/>
        <v>30.164076048753657</v>
      </c>
      <c r="F111" s="174">
        <f t="shared" si="2"/>
        <v>1.0054692016251219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2168627</v>
      </c>
      <c r="E112" s="202">
        <f t="shared" si="1"/>
        <v>30.059121316286102</v>
      </c>
      <c r="F112" s="174">
        <f t="shared" si="2"/>
        <v>1.0019707105428701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2176475</v>
      </c>
      <c r="E113" s="203">
        <f t="shared" si="1"/>
        <v>30.16790165706864</v>
      </c>
      <c r="F113" s="177">
        <f t="shared" si="2"/>
        <v>1.0055967219022881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30.338141227085345</v>
      </c>
      <c r="F115" s="180">
        <f>AVERAGE(F108:F113)</f>
        <v>1.0112713742361781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8.4030338604739272E-3</v>
      </c>
      <c r="F116" s="182">
        <f>STDEV(F108:F113)/F115</f>
        <v>8.4030338604739029E-3</v>
      </c>
      <c r="I116" s="139"/>
    </row>
    <row r="117" spans="1:10" ht="27" customHeight="1" thickBot="1" x14ac:dyDescent="0.45">
      <c r="A117" s="300" t="s">
        <v>77</v>
      </c>
      <c r="B117" s="301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302"/>
      <c r="B118" s="303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95" t="str">
        <f>B20</f>
        <v xml:space="preserve">LAMIVUDINE </v>
      </c>
      <c r="D120" s="295"/>
      <c r="E120" s="139" t="s">
        <v>123</v>
      </c>
      <c r="F120" s="139"/>
      <c r="G120" s="140">
        <f>F115</f>
        <v>1.0112713742361781</v>
      </c>
      <c r="H120" s="139"/>
      <c r="I120" s="139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314" t="s">
        <v>25</v>
      </c>
      <c r="C122" s="314"/>
      <c r="E122" s="208" t="s">
        <v>26</v>
      </c>
      <c r="F122" s="187"/>
      <c r="G122" s="314" t="s">
        <v>27</v>
      </c>
      <c r="H122" s="314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5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279" t="s">
        <v>44</v>
      </c>
      <c r="B1" s="279"/>
      <c r="C1" s="279"/>
      <c r="D1" s="279"/>
      <c r="E1" s="279"/>
      <c r="F1" s="279"/>
      <c r="G1" s="279"/>
      <c r="H1" s="279"/>
      <c r="I1" s="279"/>
    </row>
    <row r="2" spans="1:9" ht="18.75" customHeight="1" x14ac:dyDescent="0.25">
      <c r="A2" s="279"/>
      <c r="B2" s="279"/>
      <c r="C2" s="279"/>
      <c r="D2" s="279"/>
      <c r="E2" s="279"/>
      <c r="F2" s="279"/>
      <c r="G2" s="279"/>
      <c r="H2" s="279"/>
      <c r="I2" s="279"/>
    </row>
    <row r="3" spans="1:9" ht="18.7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8.7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8.7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</row>
    <row r="6" spans="1:9" ht="18.75" customHeight="1" x14ac:dyDescent="0.25">
      <c r="A6" s="279"/>
      <c r="B6" s="279"/>
      <c r="C6" s="279"/>
      <c r="D6" s="279"/>
      <c r="E6" s="279"/>
      <c r="F6" s="279"/>
      <c r="G6" s="279"/>
      <c r="H6" s="279"/>
      <c r="I6" s="279"/>
    </row>
    <row r="7" spans="1:9" ht="18.75" customHeight="1" x14ac:dyDescent="0.25">
      <c r="A7" s="279"/>
      <c r="B7" s="279"/>
      <c r="C7" s="279"/>
      <c r="D7" s="279"/>
      <c r="E7" s="279"/>
      <c r="F7" s="279"/>
      <c r="G7" s="279"/>
      <c r="H7" s="279"/>
      <c r="I7" s="279"/>
    </row>
    <row r="8" spans="1:9" x14ac:dyDescent="0.25">
      <c r="A8" s="280" t="s">
        <v>45</v>
      </c>
      <c r="B8" s="280"/>
      <c r="C8" s="280"/>
      <c r="D8" s="280"/>
      <c r="E8" s="280"/>
      <c r="F8" s="280"/>
      <c r="G8" s="280"/>
      <c r="H8" s="280"/>
      <c r="I8" s="280"/>
    </row>
    <row r="9" spans="1:9" x14ac:dyDescent="0.25">
      <c r="A9" s="280"/>
      <c r="B9" s="280"/>
      <c r="C9" s="280"/>
      <c r="D9" s="280"/>
      <c r="E9" s="280"/>
      <c r="F9" s="280"/>
      <c r="G9" s="280"/>
      <c r="H9" s="280"/>
      <c r="I9" s="280"/>
    </row>
    <row r="10" spans="1:9" x14ac:dyDescent="0.25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9" x14ac:dyDescent="0.25">
      <c r="A11" s="280"/>
      <c r="B11" s="280"/>
      <c r="C11" s="280"/>
      <c r="D11" s="280"/>
      <c r="E11" s="280"/>
      <c r="F11" s="280"/>
      <c r="G11" s="280"/>
      <c r="H11" s="280"/>
      <c r="I11" s="280"/>
    </row>
    <row r="12" spans="1:9" x14ac:dyDescent="0.25">
      <c r="A12" s="280"/>
      <c r="B12" s="280"/>
      <c r="C12" s="280"/>
      <c r="D12" s="280"/>
      <c r="E12" s="280"/>
      <c r="F12" s="280"/>
      <c r="G12" s="280"/>
      <c r="H12" s="280"/>
      <c r="I12" s="280"/>
    </row>
    <row r="13" spans="1:9" x14ac:dyDescent="0.25">
      <c r="A13" s="280"/>
      <c r="B13" s="280"/>
      <c r="C13" s="280"/>
      <c r="D13" s="280"/>
      <c r="E13" s="280"/>
      <c r="F13" s="280"/>
      <c r="G13" s="280"/>
      <c r="H13" s="280"/>
      <c r="I13" s="280"/>
    </row>
    <row r="14" spans="1:9" x14ac:dyDescent="0.25">
      <c r="A14" s="280"/>
      <c r="B14" s="280"/>
      <c r="C14" s="280"/>
      <c r="D14" s="280"/>
      <c r="E14" s="280"/>
      <c r="F14" s="280"/>
      <c r="G14" s="280"/>
      <c r="H14" s="280"/>
      <c r="I14" s="280"/>
    </row>
    <row r="15" spans="1:9" ht="19.5" customHeight="1" thickBot="1" x14ac:dyDescent="0.35">
      <c r="A15" s="139"/>
    </row>
    <row r="16" spans="1:9" ht="19.5" customHeight="1" thickBot="1" x14ac:dyDescent="0.35">
      <c r="A16" s="281" t="s">
        <v>30</v>
      </c>
      <c r="B16" s="282"/>
      <c r="C16" s="282"/>
      <c r="D16" s="282"/>
      <c r="E16" s="282"/>
      <c r="F16" s="282"/>
      <c r="G16" s="282"/>
      <c r="H16" s="283"/>
    </row>
    <row r="17" spans="1:14" ht="20.25" customHeight="1" x14ac:dyDescent="0.25">
      <c r="A17" s="284" t="s">
        <v>46</v>
      </c>
      <c r="B17" s="284"/>
      <c r="C17" s="284"/>
      <c r="D17" s="284"/>
      <c r="E17" s="284"/>
      <c r="F17" s="284"/>
      <c r="G17" s="284"/>
      <c r="H17" s="284"/>
    </row>
    <row r="18" spans="1:14" ht="26.25" customHeight="1" x14ac:dyDescent="0.4">
      <c r="A18" s="49" t="s">
        <v>32</v>
      </c>
      <c r="B18" s="285" t="s">
        <v>5</v>
      </c>
      <c r="C18" s="285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286" t="s">
        <v>132</v>
      </c>
      <c r="C20" s="286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51"/>
    </row>
    <row r="22" spans="1:14" ht="26.25" customHeight="1" x14ac:dyDescent="0.4">
      <c r="A22" s="49" t="s">
        <v>36</v>
      </c>
      <c r="B22" s="52">
        <v>42562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42563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285" t="s">
        <v>129</v>
      </c>
      <c r="C26" s="285"/>
    </row>
    <row r="27" spans="1:14" ht="26.25" customHeight="1" x14ac:dyDescent="0.4">
      <c r="A27" s="146" t="s">
        <v>47</v>
      </c>
      <c r="B27" s="287" t="s">
        <v>135</v>
      </c>
      <c r="C27" s="287"/>
    </row>
    <row r="28" spans="1:14" ht="27" customHeight="1" thickBot="1" x14ac:dyDescent="0.45">
      <c r="A28" s="146" t="s">
        <v>6</v>
      </c>
      <c r="B28" s="141">
        <v>99.4</v>
      </c>
    </row>
    <row r="29" spans="1:14" s="2" customFormat="1" ht="27" customHeight="1" thickBot="1" x14ac:dyDescent="0.45">
      <c r="A29" s="146" t="s">
        <v>48</v>
      </c>
      <c r="B29" s="55">
        <v>0</v>
      </c>
      <c r="C29" s="288" t="s">
        <v>49</v>
      </c>
      <c r="D29" s="289"/>
      <c r="E29" s="289"/>
      <c r="F29" s="289"/>
      <c r="G29" s="290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07">
        <f>B28-B29</f>
        <v>99.4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76" t="s">
        <v>52</v>
      </c>
      <c r="D31" s="277"/>
      <c r="E31" s="277"/>
      <c r="F31" s="277"/>
      <c r="G31" s="277"/>
      <c r="H31" s="278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76" t="s">
        <v>54</v>
      </c>
      <c r="D32" s="277"/>
      <c r="E32" s="277"/>
      <c r="F32" s="277"/>
      <c r="G32" s="277"/>
      <c r="H32" s="2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07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20</v>
      </c>
      <c r="C36" s="139"/>
      <c r="D36" s="296" t="s">
        <v>58</v>
      </c>
      <c r="E36" s="297"/>
      <c r="F36" s="296" t="s">
        <v>59</v>
      </c>
      <c r="G36" s="2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4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20</v>
      </c>
      <c r="C38" s="74">
        <v>1</v>
      </c>
      <c r="D38" s="75">
        <v>17892544</v>
      </c>
      <c r="E38" s="76">
        <f>IF(ISBLANK(D38),"-",$D$48/$D$45*D38)</f>
        <v>19197170.938893225</v>
      </c>
      <c r="F38" s="75">
        <v>19520349</v>
      </c>
      <c r="G38" s="77">
        <f>IF(ISBLANK(F38),"-",$D$48/$F$45*F38)</f>
        <v>19084721.154917844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17841005</v>
      </c>
      <c r="E39" s="80">
        <f>IF(ISBLANK(D39),"-",$D$48/$D$45*D39)</f>
        <v>19141873.995483745</v>
      </c>
      <c r="F39" s="79">
        <v>19414935</v>
      </c>
      <c r="G39" s="81">
        <f>IF(ISBLANK(F39),"-",$D$48/$F$45*F39)</f>
        <v>18981659.63712303</v>
      </c>
      <c r="I39" s="299">
        <f>ABS((F43/D43*D42)-F42)/D42</f>
        <v>9.8840447863940851E-3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17824505</v>
      </c>
      <c r="E40" s="80">
        <f>IF(ISBLANK(D40),"-",$D$48/$D$45*D40)</f>
        <v>19124170.905275237</v>
      </c>
      <c r="F40" s="79">
        <v>19310217</v>
      </c>
      <c r="G40" s="81">
        <f>IF(ISBLANK(F40),"-",$D$48/$F$45*F40)</f>
        <v>18879278.586973738</v>
      </c>
      <c r="I40" s="299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17852684.666666668</v>
      </c>
      <c r="E42" s="89">
        <f>AVERAGE(E38:E41)</f>
        <v>19154405.27988407</v>
      </c>
      <c r="F42" s="88">
        <f>AVERAGE(F38:F41)</f>
        <v>19415167</v>
      </c>
      <c r="G42" s="90">
        <f>AVERAGE(G38:G41)</f>
        <v>18981886.459671538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28.13</v>
      </c>
      <c r="E43" s="139"/>
      <c r="F43" s="93">
        <v>30.87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28.13</v>
      </c>
      <c r="E44" s="154"/>
      <c r="F44" s="95">
        <f>F43*$B$34</f>
        <v>30.87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27.961219999999997</v>
      </c>
      <c r="E45" s="136"/>
      <c r="F45" s="97">
        <f>F44*$B$30/100</f>
        <v>30.68478</v>
      </c>
      <c r="H45" s="91"/>
    </row>
    <row r="46" spans="1:14" ht="19.5" customHeight="1" thickBot="1" x14ac:dyDescent="0.35">
      <c r="A46" s="300" t="s">
        <v>77</v>
      </c>
      <c r="B46" s="301"/>
      <c r="C46" s="94" t="s">
        <v>78</v>
      </c>
      <c r="D46" s="98">
        <f>D45/$B$45</f>
        <v>0.27961219999999998</v>
      </c>
      <c r="E46" s="99"/>
      <c r="F46" s="100">
        <f>F45/$B$45</f>
        <v>0.3068478</v>
      </c>
      <c r="H46" s="91"/>
    </row>
    <row r="47" spans="1:14" ht="27" customHeight="1" thickBot="1" x14ac:dyDescent="0.45">
      <c r="A47" s="302"/>
      <c r="B47" s="303"/>
      <c r="C47" s="101" t="s">
        <v>79</v>
      </c>
      <c r="D47" s="102">
        <v>0.3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30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30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19068145.869777802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6.1449607347133523E-3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60</v>
      </c>
      <c r="C56" s="139" t="str">
        <f>B20</f>
        <v xml:space="preserve"> ZIDOVUDINE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304" t="s">
        <v>93</v>
      </c>
      <c r="D60" s="307">
        <v>159.44</v>
      </c>
      <c r="E60" s="119">
        <v>1</v>
      </c>
      <c r="F60" s="120">
        <v>16772159</v>
      </c>
      <c r="G60" s="195">
        <f>IF(ISBLANK(F60),"-",(F60/$D$50*$D$47*$B$68)*($B$57/$D$60))</f>
        <v>53.075813959622714</v>
      </c>
      <c r="H60" s="121">
        <f t="shared" ref="H60:H71" si="0">IF(ISBLANK(F60),"-",G60/$B$56)</f>
        <v>0.88459689932704522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305"/>
      <c r="D61" s="308"/>
      <c r="E61" s="122">
        <v>2</v>
      </c>
      <c r="F61" s="79">
        <v>16831820</v>
      </c>
      <c r="G61" s="196">
        <f>IF(ISBLANK(F61),"-",(F61/$D$50*$D$47*$B$68)*($B$57/$D$60))</f>
        <v>53.264612321040879</v>
      </c>
      <c r="H61" s="123">
        <f t="shared" si="0"/>
        <v>0.88774353868401468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305"/>
      <c r="D62" s="308"/>
      <c r="E62" s="122">
        <v>3</v>
      </c>
      <c r="F62" s="124">
        <v>16759043</v>
      </c>
      <c r="G62" s="196">
        <f>IF(ISBLANK(F62),"-",(F62/$D$50*$D$47*$B$68)*($B$57/$D$60))</f>
        <v>53.034308129878653</v>
      </c>
      <c r="H62" s="123">
        <f t="shared" si="0"/>
        <v>0.88390513549797756</v>
      </c>
      <c r="L62" s="56"/>
    </row>
    <row r="63" spans="1:12" ht="27" customHeight="1" thickBot="1" x14ac:dyDescent="0.45">
      <c r="A63" s="67" t="s">
        <v>96</v>
      </c>
      <c r="B63" s="68">
        <v>1</v>
      </c>
      <c r="C63" s="306"/>
      <c r="D63" s="309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304" t="s">
        <v>98</v>
      </c>
      <c r="D64" s="307">
        <v>162.32</v>
      </c>
      <c r="E64" s="119">
        <v>1</v>
      </c>
      <c r="F64" s="120">
        <v>17103612</v>
      </c>
      <c r="G64" s="197">
        <f>IF(ISBLANK(F64),"-",(F64/$D$50*$D$47*$B$68)*($B$57/$D$64))</f>
        <v>53.164383220798392</v>
      </c>
      <c r="H64" s="127">
        <f t="shared" si="0"/>
        <v>0.88607305367997324</v>
      </c>
    </row>
    <row r="65" spans="1:8" ht="26.25" customHeight="1" x14ac:dyDescent="0.4">
      <c r="A65" s="67" t="s">
        <v>99</v>
      </c>
      <c r="B65" s="68">
        <v>1</v>
      </c>
      <c r="C65" s="305"/>
      <c r="D65" s="308"/>
      <c r="E65" s="122">
        <v>2</v>
      </c>
      <c r="F65" s="79">
        <v>17218896</v>
      </c>
      <c r="G65" s="198">
        <f>IF(ISBLANK(F65),"-",(F65/$D$50*$D$47*$B$68)*($B$57/$D$64))</f>
        <v>53.522728741921448</v>
      </c>
      <c r="H65" s="128">
        <f t="shared" si="0"/>
        <v>0.89204547903202414</v>
      </c>
    </row>
    <row r="66" spans="1:8" ht="26.25" customHeight="1" x14ac:dyDescent="0.4">
      <c r="A66" s="67" t="s">
        <v>100</v>
      </c>
      <c r="B66" s="68">
        <v>1</v>
      </c>
      <c r="C66" s="305"/>
      <c r="D66" s="308"/>
      <c r="E66" s="122">
        <v>3</v>
      </c>
      <c r="F66" s="79">
        <v>17055601</v>
      </c>
      <c r="G66" s="198">
        <f>IF(ISBLANK(F66),"-",(F66/$D$50*$D$47*$B$68)*($B$57/$D$64))</f>
        <v>53.015147187917513</v>
      </c>
      <c r="H66" s="128">
        <f t="shared" si="0"/>
        <v>0.88358578646529184</v>
      </c>
    </row>
    <row r="67" spans="1:8" ht="27" customHeight="1" thickBot="1" x14ac:dyDescent="0.45">
      <c r="A67" s="67" t="s">
        <v>101</v>
      </c>
      <c r="B67" s="68">
        <v>1</v>
      </c>
      <c r="C67" s="306"/>
      <c r="D67" s="309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304" t="s">
        <v>103</v>
      </c>
      <c r="D68" s="307">
        <v>160.15</v>
      </c>
      <c r="E68" s="119">
        <v>1</v>
      </c>
      <c r="F68" s="120">
        <v>16857881</v>
      </c>
      <c r="G68" s="197">
        <f>IF(ISBLANK(F68),"-",(F68/$D$50*$D$47*$B$68)*($B$57/$D$68))</f>
        <v>53.110576891995507</v>
      </c>
      <c r="H68" s="123">
        <f t="shared" si="0"/>
        <v>0.88517628153325845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305"/>
      <c r="D69" s="308"/>
      <c r="E69" s="122">
        <v>2</v>
      </c>
      <c r="F69" s="79">
        <v>16849885</v>
      </c>
      <c r="G69" s="198">
        <f>IF(ISBLANK(F69),"-",(F69/$D$50*$D$47*$B$68)*($B$57/$D$68))</f>
        <v>53.085385578043983</v>
      </c>
      <c r="H69" s="123">
        <f t="shared" si="0"/>
        <v>0.88475642630073303</v>
      </c>
    </row>
    <row r="70" spans="1:8" ht="26.25" customHeight="1" x14ac:dyDescent="0.4">
      <c r="A70" s="291" t="s">
        <v>77</v>
      </c>
      <c r="B70" s="292"/>
      <c r="C70" s="305"/>
      <c r="D70" s="308"/>
      <c r="E70" s="122">
        <v>3</v>
      </c>
      <c r="F70" s="79">
        <v>16775538</v>
      </c>
      <c r="G70" s="198">
        <f>IF(ISBLANK(F70),"-",(F70/$D$50*$D$47*$B$68)*($B$57/$D$68))</f>
        <v>52.851156136028749</v>
      </c>
      <c r="H70" s="123">
        <f t="shared" si="0"/>
        <v>0.88085260226714579</v>
      </c>
    </row>
    <row r="71" spans="1:8" ht="27" customHeight="1" thickBot="1" x14ac:dyDescent="0.45">
      <c r="A71" s="293"/>
      <c r="B71" s="294"/>
      <c r="C71" s="310"/>
      <c r="D71" s="309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53.124901351916428</v>
      </c>
      <c r="H72" s="134">
        <f>AVERAGE(H60:H71)</f>
        <v>0.88541502253194038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3.5134475056401745E-3</v>
      </c>
      <c r="H73" s="200">
        <f>STDEV(H60:H71)/H72</f>
        <v>3.5134475056401897E-3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95" t="str">
        <f>B20</f>
        <v xml:space="preserve"> ZIDOVUDINE </v>
      </c>
      <c r="D76" s="295"/>
      <c r="E76" s="139" t="s">
        <v>107</v>
      </c>
      <c r="F76" s="139"/>
      <c r="G76" s="140">
        <f>H72</f>
        <v>0.88541502253194038</v>
      </c>
      <c r="H76" s="207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311" t="str">
        <f>B26</f>
        <v>Zidovudine</v>
      </c>
      <c r="C79" s="311"/>
    </row>
    <row r="80" spans="1:8" ht="26.25" customHeight="1" x14ac:dyDescent="0.4">
      <c r="A80" s="146" t="s">
        <v>47</v>
      </c>
      <c r="B80" s="311" t="str">
        <f>B27</f>
        <v>Z1-3</v>
      </c>
      <c r="C80" s="311"/>
    </row>
    <row r="81" spans="1:12" ht="27" customHeight="1" thickBot="1" x14ac:dyDescent="0.45">
      <c r="A81" s="146" t="s">
        <v>6</v>
      </c>
      <c r="B81" s="141">
        <f>B28</f>
        <v>99.4</v>
      </c>
    </row>
    <row r="82" spans="1:12" s="2" customFormat="1" ht="27" customHeight="1" thickBot="1" x14ac:dyDescent="0.45">
      <c r="A82" s="146" t="s">
        <v>48</v>
      </c>
      <c r="B82" s="55">
        <v>0</v>
      </c>
      <c r="C82" s="288" t="s">
        <v>49</v>
      </c>
      <c r="D82" s="289"/>
      <c r="E82" s="289"/>
      <c r="F82" s="289"/>
      <c r="G82" s="290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07">
        <f>B81-B82</f>
        <v>99.4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76" t="s">
        <v>110</v>
      </c>
      <c r="D84" s="277"/>
      <c r="E84" s="277"/>
      <c r="F84" s="277"/>
      <c r="G84" s="277"/>
      <c r="H84" s="278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76" t="s">
        <v>111</v>
      </c>
      <c r="D85" s="277"/>
      <c r="E85" s="277"/>
      <c r="F85" s="277"/>
      <c r="G85" s="277"/>
      <c r="H85" s="278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20</v>
      </c>
      <c r="D89" s="209" t="s">
        <v>58</v>
      </c>
      <c r="E89" s="212"/>
      <c r="F89" s="296" t="s">
        <v>59</v>
      </c>
      <c r="G89" s="298"/>
    </row>
    <row r="90" spans="1:12" ht="27" customHeight="1" thickBot="1" x14ac:dyDescent="0.45">
      <c r="A90" s="67" t="s">
        <v>60</v>
      </c>
      <c r="B90" s="68">
        <v>4</v>
      </c>
      <c r="C90" s="208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20</v>
      </c>
      <c r="C91" s="143">
        <v>1</v>
      </c>
      <c r="D91" s="75">
        <v>3608038</v>
      </c>
      <c r="E91" s="76">
        <f>IF(ISBLANK(D91),"-",$D$101/$D$98*D91)</f>
        <v>4301240.5514971577</v>
      </c>
      <c r="F91" s="75">
        <v>3917331</v>
      </c>
      <c r="G91" s="77">
        <f>IF(ISBLANK(F91),"-",$D$101/$F$98*F91)</f>
        <v>4255454.9845232721</v>
      </c>
      <c r="I91" s="78"/>
    </row>
    <row r="92" spans="1:12" ht="26.25" customHeight="1" x14ac:dyDescent="0.4">
      <c r="A92" s="67" t="s">
        <v>66</v>
      </c>
      <c r="B92" s="68">
        <v>4</v>
      </c>
      <c r="C92" s="154">
        <v>2</v>
      </c>
      <c r="D92" s="79">
        <v>3591387</v>
      </c>
      <c r="E92" s="80">
        <f>IF(ISBLANK(D92),"-",$D$101/$D$98*D92)</f>
        <v>4281390.440045177</v>
      </c>
      <c r="F92" s="79">
        <v>3896364</v>
      </c>
      <c r="G92" s="81">
        <f>IF(ISBLANK(F92),"-",$D$101/$F$98*F92)</f>
        <v>4232678.2202772843</v>
      </c>
      <c r="I92" s="299">
        <f>ABS((F96/D96*D95)-F95)/D95</f>
        <v>1.1810111730414973E-2</v>
      </c>
    </row>
    <row r="93" spans="1:12" ht="26.25" customHeight="1" x14ac:dyDescent="0.4">
      <c r="A93" s="67" t="s">
        <v>67</v>
      </c>
      <c r="B93" s="68">
        <v>20</v>
      </c>
      <c r="C93" s="154">
        <v>3</v>
      </c>
      <c r="D93" s="79">
        <v>3575506</v>
      </c>
      <c r="E93" s="80">
        <f>IF(ISBLANK(D93),"-",$D$101/$D$98*D93)</f>
        <v>4262458.2666040091</v>
      </c>
      <c r="F93" s="79">
        <v>3883514</v>
      </c>
      <c r="G93" s="81">
        <f>IF(ISBLANK(F93),"-",$D$101/$F$98*F93)</f>
        <v>4218719.0739730475</v>
      </c>
      <c r="I93" s="299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3591643.6666666665</v>
      </c>
      <c r="E95" s="89">
        <f>AVERAGE(E91:E94)</f>
        <v>4281696.4193821149</v>
      </c>
      <c r="F95" s="148">
        <f>AVERAGE(F91:F94)</f>
        <v>3899069.6666666665</v>
      </c>
      <c r="G95" s="149">
        <f>AVERAGE(G91:G94)</f>
        <v>4235617.4262578683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28.13</v>
      </c>
      <c r="E96" s="139"/>
      <c r="F96" s="93">
        <v>30.87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28.13</v>
      </c>
      <c r="E97" s="154"/>
      <c r="F97" s="95">
        <f>F96*$B$87</f>
        <v>30.87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27.961219999999997</v>
      </c>
      <c r="E98" s="136"/>
      <c r="F98" s="97">
        <f>F97*$B$83/100</f>
        <v>30.68478</v>
      </c>
    </row>
    <row r="99" spans="1:10" ht="19.5" customHeight="1" thickBot="1" x14ac:dyDescent="0.35">
      <c r="A99" s="300" t="s">
        <v>77</v>
      </c>
      <c r="B99" s="312"/>
      <c r="C99" s="152" t="s">
        <v>115</v>
      </c>
      <c r="D99" s="156">
        <f>D98/$B$98</f>
        <v>5.5922439999999997E-2</v>
      </c>
      <c r="E99" s="136"/>
      <c r="F99" s="100">
        <f>F98/$B$98</f>
        <v>6.1369559999999997E-2</v>
      </c>
      <c r="H99" s="91"/>
    </row>
    <row r="100" spans="1:10" ht="19.5" customHeight="1" thickBot="1" x14ac:dyDescent="0.35">
      <c r="A100" s="302"/>
      <c r="B100" s="313"/>
      <c r="C100" s="152" t="s">
        <v>79</v>
      </c>
      <c r="D100" s="158">
        <f>$B$56/$B$116</f>
        <v>6.6666666666666666E-2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33.333333333333336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33.333333333333336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4258656.9228199916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7.1414941534153255E-3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0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3914698</v>
      </c>
      <c r="E108" s="201">
        <f t="shared" ref="E108:E113" si="1">IF(ISBLANK(D108),"-",D108/$D$103*$D$100*$B$116)</f>
        <v>55.153980293971706</v>
      </c>
      <c r="F108" s="173">
        <f t="shared" ref="F108:F113" si="2">IF(ISBLANK(D108), "-", E108/$B$56)</f>
        <v>0.91923300489952842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3889870</v>
      </c>
      <c r="E109" s="202">
        <f t="shared" si="1"/>
        <v>54.804179869331357</v>
      </c>
      <c r="F109" s="174">
        <f t="shared" si="2"/>
        <v>0.91340299782218926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3920230</v>
      </c>
      <c r="E110" s="202">
        <f t="shared" si="1"/>
        <v>55.231920359587562</v>
      </c>
      <c r="F110" s="174">
        <f t="shared" si="2"/>
        <v>0.92053200599312601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3857643</v>
      </c>
      <c r="E111" s="202">
        <f t="shared" si="1"/>
        <v>54.350135311377244</v>
      </c>
      <c r="F111" s="174">
        <f t="shared" si="2"/>
        <v>0.90583558852295409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3844838</v>
      </c>
      <c r="E112" s="202">
        <f t="shared" si="1"/>
        <v>54.169726320015897</v>
      </c>
      <c r="F112" s="174">
        <f t="shared" si="2"/>
        <v>0.9028287720002649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3844241</v>
      </c>
      <c r="E113" s="203">
        <f t="shared" si="1"/>
        <v>54.161315217490106</v>
      </c>
      <c r="F113" s="177">
        <f t="shared" si="2"/>
        <v>0.90268858695816845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54.645209561962311</v>
      </c>
      <c r="F115" s="180">
        <f>AVERAGE(F108:F113)</f>
        <v>0.91075349269937178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8.8736637469990966E-3</v>
      </c>
      <c r="F116" s="182">
        <f>STDEV(F108:F113)/F115</f>
        <v>8.8736637469990897E-3</v>
      </c>
      <c r="I116" s="139"/>
    </row>
    <row r="117" spans="1:10" ht="27" customHeight="1" thickBot="1" x14ac:dyDescent="0.45">
      <c r="A117" s="300" t="s">
        <v>77</v>
      </c>
      <c r="B117" s="301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302"/>
      <c r="B118" s="303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95" t="str">
        <f>B20</f>
        <v xml:space="preserve"> ZIDOVUDINE </v>
      </c>
      <c r="D120" s="295"/>
      <c r="E120" s="139" t="s">
        <v>123</v>
      </c>
      <c r="F120" s="139"/>
      <c r="G120" s="140">
        <f>F115</f>
        <v>0.91075349269937178</v>
      </c>
      <c r="H120" s="139"/>
      <c r="I120" s="139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314" t="s">
        <v>25</v>
      </c>
      <c r="C122" s="314"/>
      <c r="E122" s="208" t="s">
        <v>26</v>
      </c>
      <c r="F122" s="187"/>
      <c r="G122" s="314" t="s">
        <v>27</v>
      </c>
      <c r="H122" s="314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6" workbookViewId="0">
      <selection activeCell="E31" sqref="E31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s="214" customFormat="1" ht="15" customHeight="1" x14ac:dyDescent="0.3">
      <c r="A14" s="213"/>
      <c r="C14" s="215"/>
      <c r="G14" s="215"/>
    </row>
    <row r="15" spans="1:7" s="214" customFormat="1" ht="18.75" customHeight="1" x14ac:dyDescent="0.3">
      <c r="A15" s="266" t="s">
        <v>0</v>
      </c>
      <c r="B15" s="266"/>
      <c r="C15" s="266"/>
      <c r="D15" s="266"/>
      <c r="E15" s="266"/>
      <c r="F15" s="266"/>
    </row>
    <row r="16" spans="1:7" s="214" customFormat="1" ht="16.5" customHeight="1" x14ac:dyDescent="0.3">
      <c r="A16" s="217" t="s">
        <v>1</v>
      </c>
      <c r="B16" s="218" t="s">
        <v>2</v>
      </c>
    </row>
    <row r="17" spans="1:6" s="214" customFormat="1" ht="16.5" customHeight="1" x14ac:dyDescent="0.3">
      <c r="A17" s="219" t="s">
        <v>3</v>
      </c>
      <c r="B17" s="219" t="s">
        <v>126</v>
      </c>
      <c r="D17" s="220"/>
      <c r="E17" s="220"/>
      <c r="F17" s="221"/>
    </row>
    <row r="18" spans="1:6" s="214" customFormat="1" ht="16.5" customHeight="1" x14ac:dyDescent="0.3">
      <c r="A18" s="222" t="s">
        <v>4</v>
      </c>
      <c r="B18" s="219" t="s">
        <v>125</v>
      </c>
      <c r="C18" s="221"/>
      <c r="D18" s="221"/>
      <c r="E18" s="221"/>
      <c r="F18" s="221"/>
    </row>
    <row r="19" spans="1:6" s="214" customFormat="1" ht="16.5" customHeight="1" x14ac:dyDescent="0.3">
      <c r="A19" s="222" t="s">
        <v>6</v>
      </c>
      <c r="B19" s="223">
        <v>100.4</v>
      </c>
      <c r="C19" s="221"/>
      <c r="D19" s="221"/>
      <c r="E19" s="221"/>
      <c r="F19" s="221"/>
    </row>
    <row r="20" spans="1:6" s="214" customFormat="1" ht="16.5" customHeight="1" x14ac:dyDescent="0.3">
      <c r="A20" s="219" t="s">
        <v>8</v>
      </c>
      <c r="B20" s="223">
        <v>16.29</v>
      </c>
      <c r="C20" s="221"/>
      <c r="D20" s="221"/>
      <c r="E20" s="221"/>
      <c r="F20" s="221"/>
    </row>
    <row r="21" spans="1:6" s="214" customFormat="1" ht="16.5" customHeight="1" x14ac:dyDescent="0.3">
      <c r="A21" s="219" t="s">
        <v>10</v>
      </c>
      <c r="B21" s="224">
        <f>16.29/50*5/50</f>
        <v>3.2579999999999998E-2</v>
      </c>
      <c r="C21" s="221"/>
      <c r="D21" s="221"/>
      <c r="E21" s="221"/>
      <c r="F21" s="221"/>
    </row>
    <row r="22" spans="1:6" s="214" customFormat="1" ht="15.75" customHeight="1" x14ac:dyDescent="0.25">
      <c r="A22" s="221"/>
      <c r="B22" s="221"/>
      <c r="C22" s="221"/>
      <c r="D22" s="221"/>
      <c r="E22" s="221"/>
      <c r="F22" s="221"/>
    </row>
    <row r="23" spans="1:6" s="214" customFormat="1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127</v>
      </c>
      <c r="F23" s="225" t="s">
        <v>16</v>
      </c>
    </row>
    <row r="24" spans="1:6" s="214" customFormat="1" ht="16.5" customHeight="1" x14ac:dyDescent="0.3">
      <c r="A24" s="227">
        <v>1</v>
      </c>
      <c r="B24" s="228">
        <v>1349570</v>
      </c>
      <c r="C24" s="228">
        <v>4204.7</v>
      </c>
      <c r="D24" s="229">
        <v>1</v>
      </c>
      <c r="E24" s="229">
        <v>0</v>
      </c>
      <c r="F24" s="230">
        <v>3.2</v>
      </c>
    </row>
    <row r="25" spans="1:6" s="214" customFormat="1" ht="16.5" customHeight="1" x14ac:dyDescent="0.3">
      <c r="A25" s="227">
        <v>2</v>
      </c>
      <c r="B25" s="228">
        <v>1351651</v>
      </c>
      <c r="C25" s="228">
        <v>4124.5</v>
      </c>
      <c r="D25" s="229">
        <v>1</v>
      </c>
      <c r="E25" s="229">
        <v>0</v>
      </c>
      <c r="F25" s="229">
        <v>3.2</v>
      </c>
    </row>
    <row r="26" spans="1:6" s="214" customFormat="1" ht="16.5" customHeight="1" x14ac:dyDescent="0.3">
      <c r="A26" s="227">
        <v>3</v>
      </c>
      <c r="B26" s="228">
        <v>1351146</v>
      </c>
      <c r="C26" s="228">
        <v>4081.2</v>
      </c>
      <c r="D26" s="229">
        <v>1</v>
      </c>
      <c r="E26" s="229">
        <v>0</v>
      </c>
      <c r="F26" s="229">
        <v>3.2</v>
      </c>
    </row>
    <row r="27" spans="1:6" s="214" customFormat="1" ht="16.5" customHeight="1" x14ac:dyDescent="0.3">
      <c r="A27" s="227">
        <v>4</v>
      </c>
      <c r="B27" s="228">
        <v>1349545</v>
      </c>
      <c r="C27" s="228">
        <v>4092.6</v>
      </c>
      <c r="D27" s="229">
        <v>1</v>
      </c>
      <c r="E27" s="229">
        <v>0</v>
      </c>
      <c r="F27" s="229">
        <v>3.2</v>
      </c>
    </row>
    <row r="28" spans="1:6" s="214" customFormat="1" ht="16.5" customHeight="1" x14ac:dyDescent="0.3">
      <c r="A28" s="227">
        <v>5</v>
      </c>
      <c r="B28" s="228">
        <v>1352202</v>
      </c>
      <c r="C28" s="228">
        <v>4078.1</v>
      </c>
      <c r="D28" s="229">
        <v>1</v>
      </c>
      <c r="E28" s="229">
        <v>0</v>
      </c>
      <c r="F28" s="229">
        <v>3.2</v>
      </c>
    </row>
    <row r="29" spans="1:6" s="214" customFormat="1" ht="16.5" customHeight="1" x14ac:dyDescent="0.3">
      <c r="A29" s="227">
        <v>6</v>
      </c>
      <c r="B29" s="231">
        <v>1352322</v>
      </c>
      <c r="C29" s="231">
        <v>4075.4</v>
      </c>
      <c r="D29" s="232">
        <v>1</v>
      </c>
      <c r="E29" s="232">
        <v>0</v>
      </c>
      <c r="F29" s="232">
        <v>3.2</v>
      </c>
    </row>
    <row r="30" spans="1:6" s="214" customFormat="1" ht="16.5" customHeight="1" x14ac:dyDescent="0.3">
      <c r="A30" s="233" t="s">
        <v>17</v>
      </c>
      <c r="B30" s="234">
        <f>AVERAGE(B24:B29)</f>
        <v>1351072.6666666667</v>
      </c>
      <c r="C30" s="235">
        <f>AVERAGE(C24:C29)</f>
        <v>4109.416666666667</v>
      </c>
      <c r="D30" s="236">
        <v>1.1000000000000001</v>
      </c>
      <c r="E30" s="236">
        <v>0</v>
      </c>
      <c r="F30" s="236">
        <f>AVERAGE(F24:F29)</f>
        <v>3.1999999999999997</v>
      </c>
    </row>
    <row r="31" spans="1:6" s="214" customFormat="1" ht="16.5" customHeight="1" x14ac:dyDescent="0.3">
      <c r="A31" s="237" t="s">
        <v>18</v>
      </c>
      <c r="B31" s="238">
        <f>(STDEV(B24:B29)/B30)</f>
        <v>9.225430271040735E-4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s="214" customFormat="1" ht="16.5" customHeight="1" x14ac:dyDescent="0.3">
      <c r="A35" s="222"/>
      <c r="B35" s="246" t="s">
        <v>130</v>
      </c>
      <c r="C35" s="247"/>
      <c r="D35" s="247"/>
      <c r="E35" s="247"/>
      <c r="F35" s="247"/>
    </row>
    <row r="36" spans="1:6" s="214" customFormat="1" ht="16.5" customHeight="1" x14ac:dyDescent="0.3">
      <c r="A36" s="222"/>
      <c r="B36" s="246" t="s">
        <v>131</v>
      </c>
      <c r="C36" s="247"/>
      <c r="D36" s="247"/>
      <c r="E36" s="247"/>
      <c r="F36" s="247"/>
    </row>
    <row r="37" spans="1:6" s="214" customFormat="1" ht="15.75" customHeight="1" x14ac:dyDescent="0.25">
      <c r="A37" s="221"/>
      <c r="B37" s="221" t="s">
        <v>128</v>
      </c>
      <c r="C37" s="221"/>
      <c r="D37" s="221"/>
      <c r="E37" s="221"/>
      <c r="F37" s="221"/>
    </row>
    <row r="38" spans="1:6" s="214" customFormat="1" ht="16.5" customHeight="1" x14ac:dyDescent="0.3">
      <c r="A38" s="217" t="s">
        <v>1</v>
      </c>
      <c r="B38" s="218" t="s">
        <v>24</v>
      </c>
    </row>
    <row r="39" spans="1:6" s="214" customFormat="1" ht="16.5" customHeight="1" x14ac:dyDescent="0.3">
      <c r="A39" s="222" t="s">
        <v>4</v>
      </c>
      <c r="B39" s="219" t="s">
        <v>126</v>
      </c>
      <c r="C39" s="221"/>
      <c r="D39" s="221"/>
      <c r="E39" s="221"/>
      <c r="F39" s="221"/>
    </row>
    <row r="40" spans="1:6" s="214" customFormat="1" ht="16.5" customHeight="1" x14ac:dyDescent="0.3">
      <c r="A40" s="222" t="s">
        <v>6</v>
      </c>
      <c r="B40" s="219" t="s">
        <v>125</v>
      </c>
      <c r="C40" s="221"/>
      <c r="D40" s="221"/>
      <c r="E40" s="221"/>
      <c r="F40" s="221"/>
    </row>
    <row r="41" spans="1:6" s="214" customFormat="1" ht="16.5" customHeight="1" x14ac:dyDescent="0.3">
      <c r="A41" s="219" t="s">
        <v>8</v>
      </c>
      <c r="B41" s="223">
        <v>100.4</v>
      </c>
      <c r="C41" s="221"/>
      <c r="D41" s="221"/>
      <c r="E41" s="221"/>
      <c r="F41" s="221"/>
    </row>
    <row r="42" spans="1:6" s="214" customFormat="1" ht="16.5" customHeight="1" x14ac:dyDescent="0.3">
      <c r="A42" s="219" t="s">
        <v>10</v>
      </c>
      <c r="B42" s="223">
        <v>16.29</v>
      </c>
      <c r="C42" s="221"/>
      <c r="D42" s="221"/>
      <c r="E42" s="221"/>
      <c r="F42" s="221"/>
    </row>
    <row r="43" spans="1:6" s="214" customFormat="1" ht="15.75" customHeight="1" x14ac:dyDescent="0.3">
      <c r="A43" s="221"/>
      <c r="B43" s="224">
        <f>16.29/50*5/50</f>
        <v>3.2579999999999998E-2</v>
      </c>
      <c r="C43" s="221"/>
      <c r="D43" s="221"/>
      <c r="E43" s="221"/>
      <c r="F43" s="221"/>
    </row>
    <row r="44" spans="1:6" s="214" customFormat="1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127</v>
      </c>
      <c r="F44" s="225" t="s">
        <v>16</v>
      </c>
    </row>
    <row r="45" spans="1:6" s="214" customFormat="1" ht="16.5" customHeight="1" x14ac:dyDescent="0.3">
      <c r="A45" s="227">
        <v>1</v>
      </c>
      <c r="B45" s="228">
        <v>1349570</v>
      </c>
      <c r="C45" s="228">
        <v>4204.7</v>
      </c>
      <c r="D45" s="229">
        <v>1</v>
      </c>
      <c r="E45" s="229">
        <v>0</v>
      </c>
      <c r="F45" s="230">
        <v>3.2</v>
      </c>
    </row>
    <row r="46" spans="1:6" s="214" customFormat="1" ht="16.5" customHeight="1" x14ac:dyDescent="0.3">
      <c r="A46" s="227">
        <v>2</v>
      </c>
      <c r="B46" s="228">
        <v>1351651</v>
      </c>
      <c r="C46" s="228">
        <v>4124.5</v>
      </c>
      <c r="D46" s="229">
        <v>1</v>
      </c>
      <c r="E46" s="229">
        <v>0</v>
      </c>
      <c r="F46" s="229">
        <v>3.2</v>
      </c>
    </row>
    <row r="47" spans="1:6" s="214" customFormat="1" ht="16.5" customHeight="1" x14ac:dyDescent="0.3">
      <c r="A47" s="227">
        <v>3</v>
      </c>
      <c r="B47" s="228">
        <v>1351146</v>
      </c>
      <c r="C47" s="228">
        <v>4081.2</v>
      </c>
      <c r="D47" s="229">
        <v>1</v>
      </c>
      <c r="E47" s="229">
        <v>0</v>
      </c>
      <c r="F47" s="229">
        <v>3.2</v>
      </c>
    </row>
    <row r="48" spans="1:6" s="214" customFormat="1" ht="16.5" customHeight="1" x14ac:dyDescent="0.3">
      <c r="A48" s="227">
        <v>4</v>
      </c>
      <c r="B48" s="228">
        <v>1349545</v>
      </c>
      <c r="C48" s="228">
        <v>4092.6</v>
      </c>
      <c r="D48" s="229">
        <v>1</v>
      </c>
      <c r="E48" s="229">
        <v>0</v>
      </c>
      <c r="F48" s="229">
        <v>3.2</v>
      </c>
    </row>
    <row r="49" spans="1:8" s="214" customFormat="1" ht="16.5" customHeight="1" x14ac:dyDescent="0.3">
      <c r="A49" s="227">
        <v>5</v>
      </c>
      <c r="B49" s="228">
        <v>1352202</v>
      </c>
      <c r="C49" s="228">
        <v>4078.1</v>
      </c>
      <c r="D49" s="229">
        <v>1</v>
      </c>
      <c r="E49" s="229">
        <v>0</v>
      </c>
      <c r="F49" s="229">
        <v>3.2</v>
      </c>
    </row>
    <row r="50" spans="1:8" s="214" customFormat="1" ht="16.5" customHeight="1" x14ac:dyDescent="0.3">
      <c r="A50" s="227">
        <v>6</v>
      </c>
      <c r="B50" s="231">
        <v>1352322</v>
      </c>
      <c r="C50" s="231">
        <v>4075.4</v>
      </c>
      <c r="D50" s="232">
        <v>1</v>
      </c>
      <c r="E50" s="232">
        <v>0</v>
      </c>
      <c r="F50" s="232">
        <v>3.2</v>
      </c>
    </row>
    <row r="51" spans="1:8" s="214" customFormat="1" ht="16.5" customHeight="1" x14ac:dyDescent="0.3">
      <c r="A51" s="233" t="s">
        <v>17</v>
      </c>
      <c r="B51" s="234">
        <f>AVERAGE(B45:B50)</f>
        <v>1351072.6666666667</v>
      </c>
      <c r="C51" s="235">
        <f>AVERAGE(C45:C50)</f>
        <v>4109.416666666667</v>
      </c>
      <c r="D51" s="236">
        <f>AVERAGE(D45:D50)</f>
        <v>1</v>
      </c>
      <c r="E51" s="236">
        <v>0</v>
      </c>
      <c r="F51" s="236">
        <f>AVERAGE(F45:F50)</f>
        <v>3.1999999999999997</v>
      </c>
    </row>
    <row r="52" spans="1:8" s="214" customFormat="1" ht="16.5" customHeight="1" x14ac:dyDescent="0.3">
      <c r="A52" s="237" t="s">
        <v>18</v>
      </c>
      <c r="B52" s="238">
        <f>(STDEV(B45:B50)/B51)</f>
        <v>9.225430271040735E-4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s="214" customFormat="1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s="214" customFormat="1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s="214" customFormat="1" ht="14.25" customHeight="1" thickBot="1" x14ac:dyDescent="0.3">
      <c r="A58" s="248"/>
      <c r="B58" s="249"/>
      <c r="D58" s="250"/>
      <c r="E58" s="251"/>
      <c r="G58" s="216"/>
      <c r="H58" s="216"/>
    </row>
    <row r="59" spans="1:8" s="214" customFormat="1" ht="15" customHeight="1" x14ac:dyDescent="0.3">
      <c r="B59" s="267" t="s">
        <v>25</v>
      </c>
      <c r="C59" s="267"/>
      <c r="F59" s="258" t="s">
        <v>26</v>
      </c>
      <c r="G59" s="253"/>
      <c r="H59" s="258" t="s">
        <v>27</v>
      </c>
    </row>
    <row r="60" spans="1:8" s="214" customFormat="1" ht="15" customHeight="1" x14ac:dyDescent="0.3">
      <c r="A60" s="254" t="s">
        <v>28</v>
      </c>
      <c r="B60" s="255" t="s">
        <v>133</v>
      </c>
      <c r="C60" s="255"/>
      <c r="F60" s="255" t="s">
        <v>134</v>
      </c>
      <c r="H60" s="255"/>
    </row>
    <row r="61" spans="1:8" s="214" customFormat="1" ht="15" customHeight="1" x14ac:dyDescent="0.3">
      <c r="A61" s="254" t="s">
        <v>29</v>
      </c>
      <c r="B61" s="256"/>
      <c r="C61" s="256"/>
      <c r="F61" s="256"/>
      <c r="H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C21" sqref="C21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6" t="s">
        <v>0</v>
      </c>
      <c r="B15" s="266"/>
      <c r="C15" s="266"/>
      <c r="D15" s="266"/>
      <c r="E15" s="266"/>
      <c r="F15" s="266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126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129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99.4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29.53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29.53/50*5/50</f>
        <v>5.9060000000000008E-2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127</v>
      </c>
      <c r="F23" s="225" t="s">
        <v>16</v>
      </c>
    </row>
    <row r="24" spans="1:6" ht="16.5" customHeight="1" x14ac:dyDescent="0.3">
      <c r="A24" s="227">
        <v>1</v>
      </c>
      <c r="B24" s="228">
        <v>2887353</v>
      </c>
      <c r="C24" s="228">
        <v>4714.6000000000004</v>
      </c>
      <c r="D24" s="229">
        <v>1</v>
      </c>
      <c r="E24" s="229">
        <v>7.9</v>
      </c>
      <c r="F24" s="230">
        <v>5.2</v>
      </c>
    </row>
    <row r="25" spans="1:6" ht="16.5" customHeight="1" x14ac:dyDescent="0.3">
      <c r="A25" s="227">
        <v>2</v>
      </c>
      <c r="B25" s="228">
        <v>2886050</v>
      </c>
      <c r="C25" s="228">
        <v>4712.8999999999996</v>
      </c>
      <c r="D25" s="229">
        <v>1</v>
      </c>
      <c r="E25" s="229">
        <v>7.9</v>
      </c>
      <c r="F25" s="229">
        <v>5.2</v>
      </c>
    </row>
    <row r="26" spans="1:6" ht="16.5" customHeight="1" x14ac:dyDescent="0.3">
      <c r="A26" s="227">
        <v>3</v>
      </c>
      <c r="B26" s="228">
        <v>2886272</v>
      </c>
      <c r="C26" s="228">
        <v>4643.1000000000004</v>
      </c>
      <c r="D26" s="229">
        <v>1</v>
      </c>
      <c r="E26" s="229">
        <v>7.8</v>
      </c>
      <c r="F26" s="229">
        <v>5.2</v>
      </c>
    </row>
    <row r="27" spans="1:6" ht="16.5" customHeight="1" x14ac:dyDescent="0.3">
      <c r="A27" s="227">
        <v>4</v>
      </c>
      <c r="B27" s="228">
        <v>2884691</v>
      </c>
      <c r="C27" s="228">
        <v>4633.8</v>
      </c>
      <c r="D27" s="229">
        <v>1</v>
      </c>
      <c r="E27" s="229">
        <v>7.8</v>
      </c>
      <c r="F27" s="229">
        <v>5.2</v>
      </c>
    </row>
    <row r="28" spans="1:6" ht="16.5" customHeight="1" x14ac:dyDescent="0.3">
      <c r="A28" s="227">
        <v>5</v>
      </c>
      <c r="B28" s="228">
        <v>2887612</v>
      </c>
      <c r="C28" s="228">
        <v>4619.1000000000004</v>
      </c>
      <c r="D28" s="229">
        <v>1</v>
      </c>
      <c r="E28" s="229">
        <v>7.8</v>
      </c>
      <c r="F28" s="229">
        <v>5.2</v>
      </c>
    </row>
    <row r="29" spans="1:6" ht="16.5" customHeight="1" x14ac:dyDescent="0.3">
      <c r="A29" s="227">
        <v>6</v>
      </c>
      <c r="B29" s="231">
        <v>2889508</v>
      </c>
      <c r="C29" s="231">
        <v>4645</v>
      </c>
      <c r="D29" s="232">
        <v>1</v>
      </c>
      <c r="E29" s="232">
        <v>7.8</v>
      </c>
      <c r="F29" s="232">
        <v>5.2</v>
      </c>
    </row>
    <row r="30" spans="1:6" ht="16.5" customHeight="1" x14ac:dyDescent="0.3">
      <c r="A30" s="233" t="s">
        <v>17</v>
      </c>
      <c r="B30" s="234">
        <f>AVERAGE(B24:B29)</f>
        <v>2886914.3333333335</v>
      </c>
      <c r="C30" s="235">
        <f>AVERAGE(C24:C29)</f>
        <v>4661.416666666667</v>
      </c>
      <c r="D30" s="236">
        <v>1</v>
      </c>
      <c r="E30" s="236">
        <v>7.83</v>
      </c>
      <c r="F30" s="236">
        <f>AVERAGE(F24:F29)</f>
        <v>5.2</v>
      </c>
    </row>
    <row r="31" spans="1:6" ht="16.5" customHeight="1" x14ac:dyDescent="0.3">
      <c r="A31" s="237" t="s">
        <v>18</v>
      </c>
      <c r="B31" s="238">
        <f>(STDEV(B24:B29)/B30)</f>
        <v>5.6937068409740527E-4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130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131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128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126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129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99.4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29.53</v>
      </c>
      <c r="C42" s="221"/>
      <c r="D42" s="221"/>
      <c r="E42" s="221"/>
      <c r="F42" s="221"/>
    </row>
    <row r="43" spans="1:6" ht="15.75" customHeight="1" x14ac:dyDescent="0.3">
      <c r="A43" s="221"/>
      <c r="B43" s="224">
        <f>29.53/50*5/50</f>
        <v>5.9060000000000008E-2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127</v>
      </c>
      <c r="F44" s="225" t="s">
        <v>16</v>
      </c>
    </row>
    <row r="45" spans="1:6" ht="16.5" customHeight="1" x14ac:dyDescent="0.3">
      <c r="A45" s="227">
        <v>1</v>
      </c>
      <c r="B45" s="228">
        <v>2887353</v>
      </c>
      <c r="C45" s="228">
        <v>4714.6000000000004</v>
      </c>
      <c r="D45" s="229">
        <v>1</v>
      </c>
      <c r="E45" s="229">
        <v>7.9</v>
      </c>
      <c r="F45" s="230">
        <v>5.2</v>
      </c>
    </row>
    <row r="46" spans="1:6" ht="16.5" customHeight="1" x14ac:dyDescent="0.3">
      <c r="A46" s="227">
        <v>2</v>
      </c>
      <c r="B46" s="228">
        <v>2886050</v>
      </c>
      <c r="C46" s="228">
        <v>4712.8999999999996</v>
      </c>
      <c r="D46" s="229">
        <v>1</v>
      </c>
      <c r="E46" s="229">
        <v>7.9</v>
      </c>
      <c r="F46" s="229">
        <v>5.2</v>
      </c>
    </row>
    <row r="47" spans="1:6" ht="16.5" customHeight="1" x14ac:dyDescent="0.3">
      <c r="A47" s="227">
        <v>3</v>
      </c>
      <c r="B47" s="228">
        <v>2886272</v>
      </c>
      <c r="C47" s="228">
        <v>4643.1000000000004</v>
      </c>
      <c r="D47" s="229">
        <v>1</v>
      </c>
      <c r="E47" s="229">
        <v>7.8</v>
      </c>
      <c r="F47" s="229">
        <v>5.2</v>
      </c>
    </row>
    <row r="48" spans="1:6" ht="16.5" customHeight="1" x14ac:dyDescent="0.3">
      <c r="A48" s="227">
        <v>4</v>
      </c>
      <c r="B48" s="228">
        <v>2884691</v>
      </c>
      <c r="C48" s="228">
        <v>4633.8</v>
      </c>
      <c r="D48" s="229">
        <v>1</v>
      </c>
      <c r="E48" s="229">
        <v>7.8</v>
      </c>
      <c r="F48" s="229">
        <v>5.2</v>
      </c>
    </row>
    <row r="49" spans="1:8" ht="16.5" customHeight="1" x14ac:dyDescent="0.3">
      <c r="A49" s="227">
        <v>5</v>
      </c>
      <c r="B49" s="228">
        <v>2887612</v>
      </c>
      <c r="C49" s="228">
        <v>4619.1000000000004</v>
      </c>
      <c r="D49" s="229">
        <v>1</v>
      </c>
      <c r="E49" s="229">
        <v>7.8</v>
      </c>
      <c r="F49" s="229">
        <v>5.2</v>
      </c>
    </row>
    <row r="50" spans="1:8" ht="16.5" customHeight="1" x14ac:dyDescent="0.3">
      <c r="A50" s="227">
        <v>6</v>
      </c>
      <c r="B50" s="231">
        <v>2889508</v>
      </c>
      <c r="C50" s="231">
        <v>4645</v>
      </c>
      <c r="D50" s="232">
        <v>1</v>
      </c>
      <c r="E50" s="232">
        <v>7.8</v>
      </c>
      <c r="F50" s="232">
        <v>5.2</v>
      </c>
    </row>
    <row r="51" spans="1:8" ht="16.5" customHeight="1" x14ac:dyDescent="0.3">
      <c r="A51" s="233" t="s">
        <v>17</v>
      </c>
      <c r="B51" s="234">
        <f>AVERAGE(B45:B50)</f>
        <v>2886914.3333333335</v>
      </c>
      <c r="C51" s="235">
        <f>AVERAGE(C45:C50)</f>
        <v>4661.416666666667</v>
      </c>
      <c r="D51" s="236">
        <f>AVERAGE(D45:D50)</f>
        <v>1</v>
      </c>
      <c r="E51" s="236"/>
      <c r="F51" s="236">
        <f>AVERAGE(F45:F50)</f>
        <v>5.2</v>
      </c>
    </row>
    <row r="52" spans="1:8" ht="16.5" customHeight="1" x14ac:dyDescent="0.3">
      <c r="A52" s="237" t="s">
        <v>18</v>
      </c>
      <c r="B52" s="238">
        <f>(STDEV(B45:B50)/B51)</f>
        <v>5.6937068409740527E-4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/>
      <c r="D58" s="250"/>
      <c r="E58" s="251"/>
      <c r="G58" s="216"/>
      <c r="H58" s="216"/>
    </row>
    <row r="59" spans="1:8" ht="15" customHeight="1" x14ac:dyDescent="0.3">
      <c r="B59" s="267" t="s">
        <v>25</v>
      </c>
      <c r="C59" s="267"/>
      <c r="F59" s="258" t="s">
        <v>26</v>
      </c>
      <c r="G59" s="253"/>
      <c r="H59" s="258" t="s">
        <v>27</v>
      </c>
    </row>
    <row r="60" spans="1:8" ht="15" customHeight="1" x14ac:dyDescent="0.3">
      <c r="A60" s="254" t="s">
        <v>28</v>
      </c>
      <c r="B60" s="255" t="s">
        <v>133</v>
      </c>
      <c r="C60" s="255"/>
      <c r="F60" s="255" t="s">
        <v>134</v>
      </c>
      <c r="H60" s="255"/>
    </row>
    <row r="61" spans="1:8" ht="15" customHeight="1" x14ac:dyDescent="0.3">
      <c r="A61" s="254" t="s">
        <v>29</v>
      </c>
      <c r="B61" s="256"/>
      <c r="C61" s="256"/>
      <c r="F61" s="256"/>
      <c r="H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279" t="s">
        <v>44</v>
      </c>
      <c r="B1" s="279"/>
      <c r="C1" s="279"/>
      <c r="D1" s="279"/>
      <c r="E1" s="279"/>
      <c r="F1" s="279"/>
      <c r="G1" s="279"/>
      <c r="H1" s="279"/>
      <c r="I1" s="279"/>
    </row>
    <row r="2" spans="1:9" ht="18.75" customHeight="1" x14ac:dyDescent="0.25">
      <c r="A2" s="279"/>
      <c r="B2" s="279"/>
      <c r="C2" s="279"/>
      <c r="D2" s="279"/>
      <c r="E2" s="279"/>
      <c r="F2" s="279"/>
      <c r="G2" s="279"/>
      <c r="H2" s="279"/>
      <c r="I2" s="279"/>
    </row>
    <row r="3" spans="1:9" ht="18.7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8.7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8.7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</row>
    <row r="6" spans="1:9" ht="18.75" customHeight="1" x14ac:dyDescent="0.25">
      <c r="A6" s="279"/>
      <c r="B6" s="279"/>
      <c r="C6" s="279"/>
      <c r="D6" s="279"/>
      <c r="E6" s="279"/>
      <c r="F6" s="279"/>
      <c r="G6" s="279"/>
      <c r="H6" s="279"/>
      <c r="I6" s="279"/>
    </row>
    <row r="7" spans="1:9" ht="18.75" customHeight="1" x14ac:dyDescent="0.25">
      <c r="A7" s="279"/>
      <c r="B7" s="279"/>
      <c r="C7" s="279"/>
      <c r="D7" s="279"/>
      <c r="E7" s="279"/>
      <c r="F7" s="279"/>
      <c r="G7" s="279"/>
      <c r="H7" s="279"/>
      <c r="I7" s="279"/>
    </row>
    <row r="8" spans="1:9" x14ac:dyDescent="0.25">
      <c r="A8" s="280" t="s">
        <v>45</v>
      </c>
      <c r="B8" s="280"/>
      <c r="C8" s="280"/>
      <c r="D8" s="280"/>
      <c r="E8" s="280"/>
      <c r="F8" s="280"/>
      <c r="G8" s="280"/>
      <c r="H8" s="280"/>
      <c r="I8" s="280"/>
    </row>
    <row r="9" spans="1:9" x14ac:dyDescent="0.25">
      <c r="A9" s="280"/>
      <c r="B9" s="280"/>
      <c r="C9" s="280"/>
      <c r="D9" s="280"/>
      <c r="E9" s="280"/>
      <c r="F9" s="280"/>
      <c r="G9" s="280"/>
      <c r="H9" s="280"/>
      <c r="I9" s="280"/>
    </row>
    <row r="10" spans="1:9" x14ac:dyDescent="0.25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9" x14ac:dyDescent="0.25">
      <c r="A11" s="280"/>
      <c r="B11" s="280"/>
      <c r="C11" s="280"/>
      <c r="D11" s="280"/>
      <c r="E11" s="280"/>
      <c r="F11" s="280"/>
      <c r="G11" s="280"/>
      <c r="H11" s="280"/>
      <c r="I11" s="280"/>
    </row>
    <row r="12" spans="1:9" x14ac:dyDescent="0.25">
      <c r="A12" s="280"/>
      <c r="B12" s="280"/>
      <c r="C12" s="280"/>
      <c r="D12" s="280"/>
      <c r="E12" s="280"/>
      <c r="F12" s="280"/>
      <c r="G12" s="280"/>
      <c r="H12" s="280"/>
      <c r="I12" s="280"/>
    </row>
    <row r="13" spans="1:9" x14ac:dyDescent="0.25">
      <c r="A13" s="280"/>
      <c r="B13" s="280"/>
      <c r="C13" s="280"/>
      <c r="D13" s="280"/>
      <c r="E13" s="280"/>
      <c r="F13" s="280"/>
      <c r="G13" s="280"/>
      <c r="H13" s="280"/>
      <c r="I13" s="280"/>
    </row>
    <row r="14" spans="1:9" x14ac:dyDescent="0.25">
      <c r="A14" s="280"/>
      <c r="B14" s="280"/>
      <c r="C14" s="280"/>
      <c r="D14" s="280"/>
      <c r="E14" s="280"/>
      <c r="F14" s="280"/>
      <c r="G14" s="280"/>
      <c r="H14" s="280"/>
      <c r="I14" s="280"/>
    </row>
    <row r="15" spans="1:9" ht="19.5" customHeight="1" thickBot="1" x14ac:dyDescent="0.35">
      <c r="A15" s="139"/>
    </row>
    <row r="16" spans="1:9" ht="19.5" customHeight="1" thickBot="1" x14ac:dyDescent="0.35">
      <c r="A16" s="281" t="s">
        <v>30</v>
      </c>
      <c r="B16" s="282"/>
      <c r="C16" s="282"/>
      <c r="D16" s="282"/>
      <c r="E16" s="282"/>
      <c r="F16" s="282"/>
      <c r="G16" s="282"/>
      <c r="H16" s="283"/>
    </row>
    <row r="17" spans="1:14" ht="20.25" customHeight="1" x14ac:dyDescent="0.25">
      <c r="A17" s="284" t="s">
        <v>46</v>
      </c>
      <c r="B17" s="284"/>
      <c r="C17" s="284"/>
      <c r="D17" s="284"/>
      <c r="E17" s="284"/>
      <c r="F17" s="284"/>
      <c r="G17" s="284"/>
      <c r="H17" s="284"/>
    </row>
    <row r="18" spans="1:14" ht="26.25" customHeight="1" x14ac:dyDescent="0.4">
      <c r="A18" s="49" t="s">
        <v>32</v>
      </c>
      <c r="B18" s="285" t="s">
        <v>5</v>
      </c>
      <c r="C18" s="285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59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286" t="s">
        <v>124</v>
      </c>
      <c r="C20" s="286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51"/>
    </row>
    <row r="22" spans="1:14" ht="26.25" customHeight="1" x14ac:dyDescent="0.4">
      <c r="A22" s="49" t="s">
        <v>36</v>
      </c>
      <c r="B22" s="52">
        <v>42563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42564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285" t="s">
        <v>125</v>
      </c>
      <c r="C26" s="285"/>
    </row>
    <row r="27" spans="1:14" ht="26.25" customHeight="1" x14ac:dyDescent="0.4">
      <c r="A27" s="146" t="s">
        <v>47</v>
      </c>
      <c r="B27" s="287" t="s">
        <v>136</v>
      </c>
      <c r="C27" s="287"/>
    </row>
    <row r="28" spans="1:14" ht="27" customHeight="1" thickBot="1" x14ac:dyDescent="0.45">
      <c r="A28" s="146" t="s">
        <v>6</v>
      </c>
      <c r="B28" s="141">
        <v>100.4</v>
      </c>
    </row>
    <row r="29" spans="1:14" s="2" customFormat="1" ht="27" customHeight="1" thickBot="1" x14ac:dyDescent="0.45">
      <c r="A29" s="146" t="s">
        <v>48</v>
      </c>
      <c r="B29" s="55">
        <v>0</v>
      </c>
      <c r="C29" s="288" t="s">
        <v>49</v>
      </c>
      <c r="D29" s="289"/>
      <c r="E29" s="289"/>
      <c r="F29" s="289"/>
      <c r="G29" s="290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62">
        <f>B28-B29</f>
        <v>100.4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76" t="s">
        <v>52</v>
      </c>
      <c r="D31" s="277"/>
      <c r="E31" s="277"/>
      <c r="F31" s="277"/>
      <c r="G31" s="277"/>
      <c r="H31" s="278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76" t="s">
        <v>54</v>
      </c>
      <c r="D32" s="277"/>
      <c r="E32" s="277"/>
      <c r="F32" s="277"/>
      <c r="G32" s="277"/>
      <c r="H32" s="2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62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50</v>
      </c>
      <c r="C36" s="139"/>
      <c r="D36" s="296" t="s">
        <v>58</v>
      </c>
      <c r="E36" s="297"/>
      <c r="F36" s="296" t="s">
        <v>59</v>
      </c>
      <c r="G36" s="2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5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10</v>
      </c>
      <c r="C38" s="74">
        <v>1</v>
      </c>
      <c r="D38" s="75">
        <v>6818711</v>
      </c>
      <c r="E38" s="76">
        <f>IF(ISBLANK(D38),"-",$D$48/$D$45*D38)</f>
        <v>6253724.5126308752</v>
      </c>
      <c r="F38" s="75">
        <v>6300887</v>
      </c>
      <c r="G38" s="77">
        <f>IF(ISBLANK(F38),"-",$D$48/$F$45*F38)</f>
        <v>6330649.4934853716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6823457</v>
      </c>
      <c r="E39" s="80">
        <f>IF(ISBLANK(D39),"-",$D$48/$D$45*D39)</f>
        <v>6258077.2673578234</v>
      </c>
      <c r="F39" s="79">
        <v>6309668</v>
      </c>
      <c r="G39" s="81">
        <f>IF(ISBLANK(F39),"-",$D$48/$F$45*F39)</f>
        <v>6339471.970892488</v>
      </c>
      <c r="I39" s="299">
        <f>ABS((F43/D43*D42)-F42)/D42</f>
        <v>1.1701867508093289E-2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6823770</v>
      </c>
      <c r="E40" s="80">
        <f>IF(ISBLANK(D40),"-",$D$48/$D$45*D40)</f>
        <v>6258364.3327243505</v>
      </c>
      <c r="F40" s="79">
        <v>6310856</v>
      </c>
      <c r="G40" s="81">
        <f>IF(ISBLANK(F40),"-",$D$48/$F$45*F40)</f>
        <v>6340665.5824583294</v>
      </c>
      <c r="I40" s="299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6821979.333333333</v>
      </c>
      <c r="E42" s="89">
        <f>AVERAGE(E38:E41)</f>
        <v>6256722.0375710167</v>
      </c>
      <c r="F42" s="88">
        <f>AVERAGE(F38:F41)</f>
        <v>6307137</v>
      </c>
      <c r="G42" s="90">
        <f>AVERAGE(G38:G41)</f>
        <v>6336929.015612063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16.29</v>
      </c>
      <c r="E43" s="139"/>
      <c r="F43" s="93">
        <v>14.87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16.29</v>
      </c>
      <c r="E44" s="154"/>
      <c r="F44" s="95">
        <f>F43*$B$34</f>
        <v>14.87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16.355160000000001</v>
      </c>
      <c r="E45" s="136"/>
      <c r="F45" s="97">
        <f>F44*$B$30/100</f>
        <v>14.929480000000002</v>
      </c>
      <c r="H45" s="91"/>
    </row>
    <row r="46" spans="1:14" ht="19.5" customHeight="1" thickBot="1" x14ac:dyDescent="0.35">
      <c r="A46" s="300" t="s">
        <v>77</v>
      </c>
      <c r="B46" s="301"/>
      <c r="C46" s="94" t="s">
        <v>78</v>
      </c>
      <c r="D46" s="98">
        <f>D45/$B$45</f>
        <v>0.16355160000000002</v>
      </c>
      <c r="E46" s="99"/>
      <c r="F46" s="100">
        <f>F45/$B$45</f>
        <v>0.14929480000000001</v>
      </c>
      <c r="H46" s="91"/>
    </row>
    <row r="47" spans="1:14" ht="27" customHeight="1" thickBot="1" x14ac:dyDescent="0.45">
      <c r="A47" s="302"/>
      <c r="B47" s="303"/>
      <c r="C47" s="101" t="s">
        <v>79</v>
      </c>
      <c r="D47" s="102">
        <v>0.15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15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15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6296825.5265915403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7.0031936530161858E-3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30</v>
      </c>
      <c r="C56" s="139" t="str">
        <f>B20</f>
        <v xml:space="preserve">LAMIVUDINE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304" t="s">
        <v>93</v>
      </c>
      <c r="D60" s="307">
        <v>156.55000000000001</v>
      </c>
      <c r="E60" s="119">
        <v>1</v>
      </c>
      <c r="F60" s="120">
        <v>7144913</v>
      </c>
      <c r="G60" s="195">
        <f>IF(ISBLANK(F60),"-",(F60/$D$50*$D$47*$B$68)*($B$57/$D$60))</f>
        <v>34.866283807434613</v>
      </c>
      <c r="H60" s="121">
        <f t="shared" ref="H60:H71" si="0">IF(ISBLANK(F60),"-",G60/$B$56)</f>
        <v>1.1622094602478203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305"/>
      <c r="D61" s="308"/>
      <c r="E61" s="122">
        <v>2</v>
      </c>
      <c r="F61" s="79">
        <v>7143585</v>
      </c>
      <c r="G61" s="196">
        <f>IF(ISBLANK(F61),"-",(F61/$D$50*$D$47*$B$68)*($B$57/$D$60))</f>
        <v>34.859803333159249</v>
      </c>
      <c r="H61" s="123">
        <f t="shared" si="0"/>
        <v>1.1619934444386417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305"/>
      <c r="D62" s="308"/>
      <c r="E62" s="122">
        <v>3</v>
      </c>
      <c r="F62" s="124">
        <v>7137664</v>
      </c>
      <c r="G62" s="196">
        <f>IF(ISBLANK(F62),"-",(F62/$D$50*$D$47*$B$68)*($B$57/$D$60))</f>
        <v>34.830909592056472</v>
      </c>
      <c r="H62" s="123">
        <f t="shared" si="0"/>
        <v>1.1610303197352156</v>
      </c>
      <c r="L62" s="56"/>
    </row>
    <row r="63" spans="1:12" ht="27" customHeight="1" thickBot="1" x14ac:dyDescent="0.45">
      <c r="A63" s="67" t="s">
        <v>96</v>
      </c>
      <c r="B63" s="68">
        <v>1</v>
      </c>
      <c r="C63" s="306"/>
      <c r="D63" s="309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304" t="s">
        <v>98</v>
      </c>
      <c r="D64" s="307">
        <v>161.58000000000001</v>
      </c>
      <c r="E64" s="119">
        <v>1</v>
      </c>
      <c r="F64" s="120">
        <v>7410082</v>
      </c>
      <c r="G64" s="197">
        <f>IF(ISBLANK(F64),"-",(F64/$D$50*$D$47*$B$68)*($B$57/$D$64))</f>
        <v>35.034602794602897</v>
      </c>
      <c r="H64" s="127">
        <f t="shared" si="0"/>
        <v>1.1678200931534299</v>
      </c>
    </row>
    <row r="65" spans="1:8" ht="26.25" customHeight="1" x14ac:dyDescent="0.4">
      <c r="A65" s="67" t="s">
        <v>99</v>
      </c>
      <c r="B65" s="68">
        <v>1</v>
      </c>
      <c r="C65" s="305"/>
      <c r="D65" s="308"/>
      <c r="E65" s="122">
        <v>2</v>
      </c>
      <c r="F65" s="79">
        <v>7407470</v>
      </c>
      <c r="G65" s="198">
        <f>IF(ISBLANK(F65),"-",(F65/$D$50*$D$47*$B$68)*($B$57/$D$64))</f>
        <v>35.022253351978712</v>
      </c>
      <c r="H65" s="128">
        <f t="shared" si="0"/>
        <v>1.167408445065957</v>
      </c>
    </row>
    <row r="66" spans="1:8" ht="26.25" customHeight="1" x14ac:dyDescent="0.4">
      <c r="A66" s="67" t="s">
        <v>100</v>
      </c>
      <c r="B66" s="68">
        <v>1</v>
      </c>
      <c r="C66" s="305"/>
      <c r="D66" s="308"/>
      <c r="E66" s="122">
        <v>3</v>
      </c>
      <c r="F66" s="79">
        <v>7413294</v>
      </c>
      <c r="G66" s="198">
        <f>IF(ISBLANK(F66),"-",(F66/$D$50*$D$47*$B$68)*($B$57/$D$64))</f>
        <v>35.049789015777804</v>
      </c>
      <c r="H66" s="128">
        <f t="shared" si="0"/>
        <v>1.1683263005259268</v>
      </c>
    </row>
    <row r="67" spans="1:8" ht="27" customHeight="1" thickBot="1" x14ac:dyDescent="0.45">
      <c r="A67" s="67" t="s">
        <v>101</v>
      </c>
      <c r="B67" s="68">
        <v>1</v>
      </c>
      <c r="C67" s="306"/>
      <c r="D67" s="309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304" t="s">
        <v>103</v>
      </c>
      <c r="D68" s="307">
        <v>164.62</v>
      </c>
      <c r="E68" s="119">
        <v>1</v>
      </c>
      <c r="F68" s="120">
        <v>7561828</v>
      </c>
      <c r="G68" s="197">
        <f>IF(ISBLANK(F68),"-",(F68/$D$50*$D$47*$B$68)*($B$57/$D$68))</f>
        <v>35.091827458038985</v>
      </c>
      <c r="H68" s="123">
        <f t="shared" si="0"/>
        <v>1.1697275819346329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305"/>
      <c r="D69" s="308"/>
      <c r="E69" s="122">
        <v>2</v>
      </c>
      <c r="F69" s="79">
        <v>7575866</v>
      </c>
      <c r="G69" s="198">
        <f>IF(ISBLANK(F69),"-",(F69/$D$50*$D$47*$B$68)*($B$57/$D$68))</f>
        <v>35.156972959081315</v>
      </c>
      <c r="H69" s="123">
        <f t="shared" si="0"/>
        <v>1.1718990986360438</v>
      </c>
    </row>
    <row r="70" spans="1:8" ht="26.25" customHeight="1" x14ac:dyDescent="0.4">
      <c r="A70" s="291" t="s">
        <v>77</v>
      </c>
      <c r="B70" s="292"/>
      <c r="C70" s="305"/>
      <c r="D70" s="308"/>
      <c r="E70" s="122">
        <v>3</v>
      </c>
      <c r="F70" s="79">
        <v>7554560</v>
      </c>
      <c r="G70" s="198">
        <f>IF(ISBLANK(F70),"-",(F70/$D$50*$D$47*$B$68)*($B$57/$D$68))</f>
        <v>35.058099184668443</v>
      </c>
      <c r="H70" s="123">
        <f t="shared" si="0"/>
        <v>1.1686033061556147</v>
      </c>
    </row>
    <row r="71" spans="1:8" ht="27" customHeight="1" thickBot="1" x14ac:dyDescent="0.45">
      <c r="A71" s="293"/>
      <c r="B71" s="294"/>
      <c r="C71" s="310"/>
      <c r="D71" s="309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34.996726832977608</v>
      </c>
      <c r="H72" s="134">
        <f>AVERAGE(H60:H71)</f>
        <v>1.1665575610992533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3.2991965284578325E-3</v>
      </c>
      <c r="H73" s="200">
        <f>STDEV(H60:H71)/H72</f>
        <v>3.2991965284578356E-3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95" t="str">
        <f>B20</f>
        <v xml:space="preserve">LAMIVUDINE </v>
      </c>
      <c r="D76" s="295"/>
      <c r="E76" s="139" t="s">
        <v>107</v>
      </c>
      <c r="F76" s="139"/>
      <c r="G76" s="140">
        <f>H72</f>
        <v>1.1665575610992533</v>
      </c>
      <c r="H76" s="262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311" t="str">
        <f>B26</f>
        <v>Lamivudine</v>
      </c>
      <c r="C79" s="311"/>
    </row>
    <row r="80" spans="1:8" ht="26.25" customHeight="1" x14ac:dyDescent="0.4">
      <c r="A80" s="146" t="s">
        <v>47</v>
      </c>
      <c r="B80" s="311" t="str">
        <f>B27</f>
        <v>L3-7</v>
      </c>
      <c r="C80" s="311"/>
    </row>
    <row r="81" spans="1:12" ht="27" customHeight="1" thickBot="1" x14ac:dyDescent="0.45">
      <c r="A81" s="146" t="s">
        <v>6</v>
      </c>
      <c r="B81" s="141">
        <f>B28</f>
        <v>100.4</v>
      </c>
    </row>
    <row r="82" spans="1:12" s="2" customFormat="1" ht="27" customHeight="1" thickBot="1" x14ac:dyDescent="0.45">
      <c r="A82" s="146" t="s">
        <v>48</v>
      </c>
      <c r="B82" s="55">
        <v>0</v>
      </c>
      <c r="C82" s="288" t="s">
        <v>49</v>
      </c>
      <c r="D82" s="289"/>
      <c r="E82" s="289"/>
      <c r="F82" s="289"/>
      <c r="G82" s="290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62">
        <f>B81-B82</f>
        <v>100.4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76" t="s">
        <v>110</v>
      </c>
      <c r="D84" s="277"/>
      <c r="E84" s="277"/>
      <c r="F84" s="277"/>
      <c r="G84" s="277"/>
      <c r="H84" s="278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76" t="s">
        <v>111</v>
      </c>
      <c r="D85" s="277"/>
      <c r="E85" s="277"/>
      <c r="F85" s="277"/>
      <c r="G85" s="277"/>
      <c r="H85" s="278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50</v>
      </c>
      <c r="D89" s="260" t="s">
        <v>58</v>
      </c>
      <c r="E89" s="261"/>
      <c r="F89" s="296" t="s">
        <v>59</v>
      </c>
      <c r="G89" s="298"/>
    </row>
    <row r="90" spans="1:12" ht="27" customHeight="1" thickBot="1" x14ac:dyDescent="0.45">
      <c r="A90" s="67" t="s">
        <v>60</v>
      </c>
      <c r="B90" s="68">
        <v>5</v>
      </c>
      <c r="C90" s="263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50</v>
      </c>
      <c r="C91" s="143">
        <v>1</v>
      </c>
      <c r="D91" s="75">
        <v>1351143</v>
      </c>
      <c r="E91" s="76">
        <f>IF(ISBLANK(D91),"-",$D$101/$D$98*D91)</f>
        <v>1376877.3891542486</v>
      </c>
      <c r="F91" s="75">
        <v>1245344</v>
      </c>
      <c r="G91" s="77">
        <f>IF(ISBLANK(F91),"-",$D$101/$F$98*F91)</f>
        <v>1390251.5917053595</v>
      </c>
      <c r="I91" s="78"/>
    </row>
    <row r="92" spans="1:12" ht="26.25" customHeight="1" x14ac:dyDescent="0.4">
      <c r="A92" s="67" t="s">
        <v>66</v>
      </c>
      <c r="B92" s="68">
        <v>1</v>
      </c>
      <c r="C92" s="154">
        <v>2</v>
      </c>
      <c r="D92" s="79">
        <v>1350483</v>
      </c>
      <c r="E92" s="80">
        <f>IF(ISBLANK(D92),"-",$D$101/$D$98*D92)</f>
        <v>1376204.8185404483</v>
      </c>
      <c r="F92" s="79">
        <v>1244440</v>
      </c>
      <c r="G92" s="81">
        <f>IF(ISBLANK(F92),"-",$D$101/$F$98*F92)</f>
        <v>1389242.4027271322</v>
      </c>
      <c r="I92" s="299">
        <f>ABS((F96/D96*D95)-F95)/D95</f>
        <v>8.8564776872162836E-3</v>
      </c>
    </row>
    <row r="93" spans="1:12" ht="26.25" customHeight="1" x14ac:dyDescent="0.4">
      <c r="A93" s="67" t="s">
        <v>67</v>
      </c>
      <c r="B93" s="68">
        <v>1</v>
      </c>
      <c r="C93" s="154">
        <v>3</v>
      </c>
      <c r="D93" s="79">
        <v>1349524</v>
      </c>
      <c r="E93" s="80">
        <f>IF(ISBLANK(D93),"-",$D$101/$D$98*D93)</f>
        <v>1375227.553057669</v>
      </c>
      <c r="F93" s="79">
        <v>1244106</v>
      </c>
      <c r="G93" s="81">
        <f>IF(ISBLANK(F93),"-",$D$101/$F$98*F93)</f>
        <v>1388869.5386577428</v>
      </c>
      <c r="I93" s="299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1350383.3333333333</v>
      </c>
      <c r="E95" s="89">
        <f>AVERAGE(E91:E94)</f>
        <v>1376103.2535841221</v>
      </c>
      <c r="F95" s="148">
        <f>AVERAGE(F91:F94)</f>
        <v>1244630</v>
      </c>
      <c r="G95" s="149">
        <f>AVERAGE(G91:G94)</f>
        <v>1389454.5110300782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16.29</v>
      </c>
      <c r="E96" s="139"/>
      <c r="F96" s="93">
        <v>14.87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16.29</v>
      </c>
      <c r="E97" s="154"/>
      <c r="F97" s="95">
        <f>F96*$B$87</f>
        <v>14.87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16.355160000000001</v>
      </c>
      <c r="E98" s="136"/>
      <c r="F98" s="97">
        <f>F97*$B$83/100</f>
        <v>14.929480000000002</v>
      </c>
    </row>
    <row r="99" spans="1:10" ht="19.5" customHeight="1" thickBot="1" x14ac:dyDescent="0.35">
      <c r="A99" s="300" t="s">
        <v>77</v>
      </c>
      <c r="B99" s="312"/>
      <c r="C99" s="152" t="s">
        <v>115</v>
      </c>
      <c r="D99" s="156">
        <f>D98/$B$98</f>
        <v>3.2710320000000001E-2</v>
      </c>
      <c r="E99" s="136"/>
      <c r="F99" s="100">
        <f>F98/$B$98</f>
        <v>2.9858960000000004E-2</v>
      </c>
      <c r="H99" s="91"/>
    </row>
    <row r="100" spans="1:10" ht="19.5" customHeight="1" thickBot="1" x14ac:dyDescent="0.35">
      <c r="A100" s="302"/>
      <c r="B100" s="313"/>
      <c r="C100" s="152" t="s">
        <v>79</v>
      </c>
      <c r="D100" s="158">
        <f>$B$56/$B$116</f>
        <v>3.3333333333333333E-2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16.666666666666668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16.666666666666668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1382778.8823070999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5.3121413003541116E-3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60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1677925</v>
      </c>
      <c r="E108" s="201">
        <f t="shared" ref="E108:E113" si="1">IF(ISBLANK(D108),"-",D108/$D$103*$D$100*$B$116)</f>
        <v>36.403325682855304</v>
      </c>
      <c r="F108" s="173">
        <f t="shared" ref="F108:F113" si="2">IF(ISBLANK(D108), "-", E108/$B$56)</f>
        <v>1.2134441894285102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1661460</v>
      </c>
      <c r="E109" s="202">
        <f t="shared" si="1"/>
        <v>36.046110218893439</v>
      </c>
      <c r="F109" s="174">
        <f t="shared" si="2"/>
        <v>1.201537007296448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1676494</v>
      </c>
      <c r="E110" s="202">
        <f t="shared" si="1"/>
        <v>36.372279504359739</v>
      </c>
      <c r="F110" s="174">
        <f t="shared" si="2"/>
        <v>1.2124093168119914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1660256</v>
      </c>
      <c r="E111" s="202">
        <f t="shared" si="1"/>
        <v>36.019988905889484</v>
      </c>
      <c r="F111" s="174">
        <f t="shared" si="2"/>
        <v>1.2006662968629829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1656205</v>
      </c>
      <c r="E112" s="202">
        <f t="shared" si="1"/>
        <v>35.932100667534819</v>
      </c>
      <c r="F112" s="174">
        <f t="shared" si="2"/>
        <v>1.1977366889178274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1660650</v>
      </c>
      <c r="E113" s="203">
        <f t="shared" si="1"/>
        <v>36.028536910311047</v>
      </c>
      <c r="F113" s="177">
        <f t="shared" si="2"/>
        <v>1.2009512303437015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36.133723648307303</v>
      </c>
      <c r="F115" s="180">
        <f>AVERAGE(F108:F113)</f>
        <v>1.2044574549435769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5.5615267199826696E-3</v>
      </c>
      <c r="F116" s="182">
        <f>STDEV(F108:F113)/F115</f>
        <v>5.5615267199826809E-3</v>
      </c>
      <c r="I116" s="139"/>
    </row>
    <row r="117" spans="1:10" ht="27" customHeight="1" thickBot="1" x14ac:dyDescent="0.45">
      <c r="A117" s="300" t="s">
        <v>77</v>
      </c>
      <c r="B117" s="301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302"/>
      <c r="B118" s="303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95" t="str">
        <f>B20</f>
        <v xml:space="preserve">LAMIVUDINE </v>
      </c>
      <c r="D120" s="295"/>
      <c r="E120" s="139" t="s">
        <v>123</v>
      </c>
      <c r="F120" s="139"/>
      <c r="G120" s="140">
        <f>F115</f>
        <v>1.2044574549435769</v>
      </c>
      <c r="H120" s="139"/>
      <c r="I120" s="139"/>
    </row>
    <row r="121" spans="1:10" ht="19.5" customHeight="1" thickBot="1" x14ac:dyDescent="0.35">
      <c r="A121" s="264"/>
      <c r="B121" s="264"/>
      <c r="C121" s="186"/>
      <c r="D121" s="186"/>
      <c r="E121" s="186"/>
      <c r="F121" s="186"/>
      <c r="G121" s="186"/>
      <c r="H121" s="186"/>
    </row>
    <row r="122" spans="1:10" ht="18.75" x14ac:dyDescent="0.3">
      <c r="B122" s="314" t="s">
        <v>25</v>
      </c>
      <c r="C122" s="314"/>
      <c r="E122" s="263" t="s">
        <v>26</v>
      </c>
      <c r="F122" s="187"/>
      <c r="G122" s="314" t="s">
        <v>27</v>
      </c>
      <c r="H122" s="314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2" sqref="C22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279" t="s">
        <v>44</v>
      </c>
      <c r="B1" s="279"/>
      <c r="C1" s="279"/>
      <c r="D1" s="279"/>
      <c r="E1" s="279"/>
      <c r="F1" s="279"/>
      <c r="G1" s="279"/>
      <c r="H1" s="279"/>
      <c r="I1" s="279"/>
    </row>
    <row r="2" spans="1:9" ht="18.75" customHeight="1" x14ac:dyDescent="0.25">
      <c r="A2" s="279"/>
      <c r="B2" s="279"/>
      <c r="C2" s="279"/>
      <c r="D2" s="279"/>
      <c r="E2" s="279"/>
      <c r="F2" s="279"/>
      <c r="G2" s="279"/>
      <c r="H2" s="279"/>
      <c r="I2" s="279"/>
    </row>
    <row r="3" spans="1:9" ht="18.7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8.7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8.7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</row>
    <row r="6" spans="1:9" ht="18.75" customHeight="1" x14ac:dyDescent="0.25">
      <c r="A6" s="279"/>
      <c r="B6" s="279"/>
      <c r="C6" s="279"/>
      <c r="D6" s="279"/>
      <c r="E6" s="279"/>
      <c r="F6" s="279"/>
      <c r="G6" s="279"/>
      <c r="H6" s="279"/>
      <c r="I6" s="279"/>
    </row>
    <row r="7" spans="1:9" ht="18.75" customHeight="1" x14ac:dyDescent="0.25">
      <c r="A7" s="279"/>
      <c r="B7" s="279"/>
      <c r="C7" s="279"/>
      <c r="D7" s="279"/>
      <c r="E7" s="279"/>
      <c r="F7" s="279"/>
      <c r="G7" s="279"/>
      <c r="H7" s="279"/>
      <c r="I7" s="279"/>
    </row>
    <row r="8" spans="1:9" x14ac:dyDescent="0.25">
      <c r="A8" s="280" t="s">
        <v>45</v>
      </c>
      <c r="B8" s="280"/>
      <c r="C8" s="280"/>
      <c r="D8" s="280"/>
      <c r="E8" s="280"/>
      <c r="F8" s="280"/>
      <c r="G8" s="280"/>
      <c r="H8" s="280"/>
      <c r="I8" s="280"/>
    </row>
    <row r="9" spans="1:9" x14ac:dyDescent="0.25">
      <c r="A9" s="280"/>
      <c r="B9" s="280"/>
      <c r="C9" s="280"/>
      <c r="D9" s="280"/>
      <c r="E9" s="280"/>
      <c r="F9" s="280"/>
      <c r="G9" s="280"/>
      <c r="H9" s="280"/>
      <c r="I9" s="280"/>
    </row>
    <row r="10" spans="1:9" x14ac:dyDescent="0.25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9" x14ac:dyDescent="0.25">
      <c r="A11" s="280"/>
      <c r="B11" s="280"/>
      <c r="C11" s="280"/>
      <c r="D11" s="280"/>
      <c r="E11" s="280"/>
      <c r="F11" s="280"/>
      <c r="G11" s="280"/>
      <c r="H11" s="280"/>
      <c r="I11" s="280"/>
    </row>
    <row r="12" spans="1:9" x14ac:dyDescent="0.25">
      <c r="A12" s="280"/>
      <c r="B12" s="280"/>
      <c r="C12" s="280"/>
      <c r="D12" s="280"/>
      <c r="E12" s="280"/>
      <c r="F12" s="280"/>
      <c r="G12" s="280"/>
      <c r="H12" s="280"/>
      <c r="I12" s="280"/>
    </row>
    <row r="13" spans="1:9" x14ac:dyDescent="0.25">
      <c r="A13" s="280"/>
      <c r="B13" s="280"/>
      <c r="C13" s="280"/>
      <c r="D13" s="280"/>
      <c r="E13" s="280"/>
      <c r="F13" s="280"/>
      <c r="G13" s="280"/>
      <c r="H13" s="280"/>
      <c r="I13" s="280"/>
    </row>
    <row r="14" spans="1:9" x14ac:dyDescent="0.25">
      <c r="A14" s="280"/>
      <c r="B14" s="280"/>
      <c r="C14" s="280"/>
      <c r="D14" s="280"/>
      <c r="E14" s="280"/>
      <c r="F14" s="280"/>
      <c r="G14" s="280"/>
      <c r="H14" s="280"/>
      <c r="I14" s="280"/>
    </row>
    <row r="15" spans="1:9" ht="19.5" customHeight="1" thickBot="1" x14ac:dyDescent="0.35">
      <c r="A15" s="139"/>
    </row>
    <row r="16" spans="1:9" ht="19.5" customHeight="1" thickBot="1" x14ac:dyDescent="0.35">
      <c r="A16" s="281" t="s">
        <v>30</v>
      </c>
      <c r="B16" s="282"/>
      <c r="C16" s="282"/>
      <c r="D16" s="282"/>
      <c r="E16" s="282"/>
      <c r="F16" s="282"/>
      <c r="G16" s="282"/>
      <c r="H16" s="283"/>
    </row>
    <row r="17" spans="1:14" ht="20.25" customHeight="1" x14ac:dyDescent="0.25">
      <c r="A17" s="284" t="s">
        <v>46</v>
      </c>
      <c r="B17" s="284"/>
      <c r="C17" s="284"/>
      <c r="D17" s="284"/>
      <c r="E17" s="284"/>
      <c r="F17" s="284"/>
      <c r="G17" s="284"/>
      <c r="H17" s="284"/>
    </row>
    <row r="18" spans="1:14" ht="26.25" customHeight="1" x14ac:dyDescent="0.4">
      <c r="A18" s="49" t="s">
        <v>32</v>
      </c>
      <c r="B18" s="285" t="s">
        <v>5</v>
      </c>
      <c r="C18" s="285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59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286" t="s">
        <v>132</v>
      </c>
      <c r="C20" s="286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51"/>
    </row>
    <row r="22" spans="1:14" ht="26.25" customHeight="1" x14ac:dyDescent="0.4">
      <c r="A22" s="49" t="s">
        <v>36</v>
      </c>
      <c r="B22" s="52">
        <v>42563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42564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285" t="s">
        <v>129</v>
      </c>
      <c r="C26" s="285"/>
    </row>
    <row r="27" spans="1:14" ht="26.25" customHeight="1" x14ac:dyDescent="0.4">
      <c r="A27" s="146" t="s">
        <v>47</v>
      </c>
      <c r="B27" s="287" t="s">
        <v>135</v>
      </c>
      <c r="C27" s="287"/>
    </row>
    <row r="28" spans="1:14" ht="27" customHeight="1" thickBot="1" x14ac:dyDescent="0.45">
      <c r="A28" s="146" t="s">
        <v>6</v>
      </c>
      <c r="B28" s="141">
        <v>99.4</v>
      </c>
    </row>
    <row r="29" spans="1:14" s="2" customFormat="1" ht="27" customHeight="1" thickBot="1" x14ac:dyDescent="0.45">
      <c r="A29" s="146" t="s">
        <v>48</v>
      </c>
      <c r="B29" s="55">
        <v>0</v>
      </c>
      <c r="C29" s="288" t="s">
        <v>49</v>
      </c>
      <c r="D29" s="289"/>
      <c r="E29" s="289"/>
      <c r="F29" s="289"/>
      <c r="G29" s="290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62">
        <f>B28-B29</f>
        <v>99.4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76" t="s">
        <v>52</v>
      </c>
      <c r="D31" s="277"/>
      <c r="E31" s="277"/>
      <c r="F31" s="277"/>
      <c r="G31" s="277"/>
      <c r="H31" s="278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76" t="s">
        <v>54</v>
      </c>
      <c r="D32" s="277"/>
      <c r="E32" s="277"/>
      <c r="F32" s="277"/>
      <c r="G32" s="277"/>
      <c r="H32" s="2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62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50</v>
      </c>
      <c r="C36" s="139"/>
      <c r="D36" s="296" t="s">
        <v>58</v>
      </c>
      <c r="E36" s="297"/>
      <c r="F36" s="296" t="s">
        <v>59</v>
      </c>
      <c r="G36" s="2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5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10</v>
      </c>
      <c r="C38" s="74">
        <v>1</v>
      </c>
      <c r="D38" s="75">
        <v>14489205</v>
      </c>
      <c r="E38" s="76">
        <f>IF(ISBLANK(D38),"-",$D$48/$D$45*D38)</f>
        <v>14808667.446603086</v>
      </c>
      <c r="F38" s="75">
        <v>15536565</v>
      </c>
      <c r="G38" s="77">
        <f>IF(ISBLANK(F38),"-",$D$48/$F$45*F38)</f>
        <v>14942970.442155803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14491457</v>
      </c>
      <c r="E39" s="80">
        <f>IF(ISBLANK(D39),"-",$D$48/$D$45*D39)</f>
        <v>14810969.099391473</v>
      </c>
      <c r="F39" s="79">
        <v>15558292</v>
      </c>
      <c r="G39" s="81">
        <f>IF(ISBLANK(F39),"-",$D$48/$F$45*F39)</f>
        <v>14963867.33402326</v>
      </c>
      <c r="I39" s="299">
        <f>ABS((F43/D43*D42)-F42)/D42</f>
        <v>1.0501437038957128E-2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14493224</v>
      </c>
      <c r="E40" s="80">
        <f>IF(ISBLANK(D40),"-",$D$48/$D$45*D40)</f>
        <v>14812775.058750743</v>
      </c>
      <c r="F40" s="79">
        <v>15559126</v>
      </c>
      <c r="G40" s="81">
        <f>IF(ISBLANK(F40),"-",$D$48/$F$45*F40)</f>
        <v>14964669.469974725</v>
      </c>
      <c r="I40" s="299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14491295.333333334</v>
      </c>
      <c r="E42" s="89">
        <f>AVERAGE(E38:E41)</f>
        <v>14810803.868248433</v>
      </c>
      <c r="F42" s="88">
        <f>AVERAGE(F38:F41)</f>
        <v>15551327.666666666</v>
      </c>
      <c r="G42" s="90">
        <f>AVERAGE(G38:G41)</f>
        <v>14957169.082051262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29.53</v>
      </c>
      <c r="E43" s="139"/>
      <c r="F43" s="93">
        <v>31.38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29.53</v>
      </c>
      <c r="E44" s="154"/>
      <c r="F44" s="95">
        <f>F43*$B$34</f>
        <v>31.38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29.352820000000001</v>
      </c>
      <c r="E45" s="136"/>
      <c r="F45" s="97">
        <f>F44*$B$30/100</f>
        <v>31.19172</v>
      </c>
      <c r="H45" s="91"/>
    </row>
    <row r="46" spans="1:14" ht="19.5" customHeight="1" thickBot="1" x14ac:dyDescent="0.35">
      <c r="A46" s="300" t="s">
        <v>77</v>
      </c>
      <c r="B46" s="301"/>
      <c r="C46" s="94" t="s">
        <v>78</v>
      </c>
      <c r="D46" s="98">
        <f>D45/$B$45</f>
        <v>0.29352820000000002</v>
      </c>
      <c r="E46" s="99"/>
      <c r="F46" s="100">
        <f>F45/$B$45</f>
        <v>0.31191720000000001</v>
      </c>
      <c r="H46" s="91"/>
    </row>
    <row r="47" spans="1:14" ht="27" customHeight="1" thickBot="1" x14ac:dyDescent="0.45">
      <c r="A47" s="302"/>
      <c r="B47" s="303"/>
      <c r="C47" s="101" t="s">
        <v>79</v>
      </c>
      <c r="D47" s="102">
        <v>0.3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30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30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14883986.475149848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5.4121778691961905E-3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60</v>
      </c>
      <c r="C56" s="139" t="str">
        <f>B20</f>
        <v xml:space="preserve"> ZIDOVUDINE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304" t="s">
        <v>93</v>
      </c>
      <c r="D60" s="307">
        <v>156.55000000000001</v>
      </c>
      <c r="E60" s="119">
        <v>1</v>
      </c>
      <c r="F60" s="120">
        <v>12601311</v>
      </c>
      <c r="G60" s="195">
        <f>IF(ISBLANK(F60),"-",(F60/$D$50*$D$47*$B$68)*($B$57/$D$60))</f>
        <v>52.030360498073364</v>
      </c>
      <c r="H60" s="121">
        <f t="shared" ref="H60:H71" si="0">IF(ISBLANK(F60),"-",G60/$B$56)</f>
        <v>0.86717267496788941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305"/>
      <c r="D61" s="308"/>
      <c r="E61" s="122">
        <v>2</v>
      </c>
      <c r="F61" s="79">
        <v>12602930</v>
      </c>
      <c r="G61" s="196">
        <f>IF(ISBLANK(F61),"-",(F61/$D$50*$D$47*$B$68)*($B$57/$D$60))</f>
        <v>52.03704529092122</v>
      </c>
      <c r="H61" s="123">
        <f t="shared" si="0"/>
        <v>0.8672840881820203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305"/>
      <c r="D62" s="308"/>
      <c r="E62" s="122">
        <v>3</v>
      </c>
      <c r="F62" s="124">
        <v>12595483</v>
      </c>
      <c r="G62" s="196">
        <f>IF(ISBLANK(F62),"-",(F62/$D$50*$D$47*$B$68)*($B$57/$D$60))</f>
        <v>52.006296895406727</v>
      </c>
      <c r="H62" s="123">
        <f t="shared" si="0"/>
        <v>0.86677161492344545</v>
      </c>
      <c r="L62" s="56"/>
    </row>
    <row r="63" spans="1:12" ht="27" customHeight="1" thickBot="1" x14ac:dyDescent="0.45">
      <c r="A63" s="67" t="s">
        <v>96</v>
      </c>
      <c r="B63" s="68">
        <v>1</v>
      </c>
      <c r="C63" s="306"/>
      <c r="D63" s="309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304" t="s">
        <v>98</v>
      </c>
      <c r="D64" s="307">
        <v>161.58000000000001</v>
      </c>
      <c r="E64" s="119">
        <v>1</v>
      </c>
      <c r="F64" s="120">
        <v>13077275</v>
      </c>
      <c r="G64" s="197">
        <f>IF(ISBLANK(F64),"-",(F64/$D$50*$D$47*$B$68)*($B$57/$D$64))</f>
        <v>52.314710889872849</v>
      </c>
      <c r="H64" s="127">
        <f t="shared" si="0"/>
        <v>0.87191184816454748</v>
      </c>
    </row>
    <row r="65" spans="1:8" ht="26.25" customHeight="1" x14ac:dyDescent="0.4">
      <c r="A65" s="67" t="s">
        <v>99</v>
      </c>
      <c r="B65" s="68">
        <v>1</v>
      </c>
      <c r="C65" s="305"/>
      <c r="D65" s="308"/>
      <c r="E65" s="122">
        <v>2</v>
      </c>
      <c r="F65" s="79">
        <v>13080674</v>
      </c>
      <c r="G65" s="198">
        <f>IF(ISBLANK(F65),"-",(F65/$D$50*$D$47*$B$68)*($B$57/$D$64))</f>
        <v>52.3283083482359</v>
      </c>
      <c r="H65" s="128">
        <f t="shared" si="0"/>
        <v>0.87213847247059839</v>
      </c>
    </row>
    <row r="66" spans="1:8" ht="26.25" customHeight="1" x14ac:dyDescent="0.4">
      <c r="A66" s="67" t="s">
        <v>100</v>
      </c>
      <c r="B66" s="68">
        <v>1</v>
      </c>
      <c r="C66" s="305"/>
      <c r="D66" s="308"/>
      <c r="E66" s="122">
        <v>3</v>
      </c>
      <c r="F66" s="79">
        <v>13091315</v>
      </c>
      <c r="G66" s="198">
        <f>IF(ISBLANK(F66),"-",(F66/$D$50*$D$47*$B$68)*($B$57/$D$64))</f>
        <v>52.370876913826145</v>
      </c>
      <c r="H66" s="128">
        <f t="shared" si="0"/>
        <v>0.87284794856376913</v>
      </c>
    </row>
    <row r="67" spans="1:8" ht="27" customHeight="1" thickBot="1" x14ac:dyDescent="0.45">
      <c r="A67" s="67" t="s">
        <v>101</v>
      </c>
      <c r="B67" s="68">
        <v>1</v>
      </c>
      <c r="C67" s="306"/>
      <c r="D67" s="309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304" t="s">
        <v>103</v>
      </c>
      <c r="D68" s="307">
        <v>164.62</v>
      </c>
      <c r="E68" s="119">
        <v>1</v>
      </c>
      <c r="F68" s="120">
        <v>13327669</v>
      </c>
      <c r="G68" s="197">
        <f>IF(ISBLANK(F68),"-",(F68/$D$50*$D$47*$B$68)*($B$57/$D$68))</f>
        <v>52.331812627371463</v>
      </c>
      <c r="H68" s="123">
        <f t="shared" si="0"/>
        <v>0.87219687712285776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305"/>
      <c r="D69" s="308"/>
      <c r="E69" s="122">
        <v>2</v>
      </c>
      <c r="F69" s="79">
        <v>13364471</v>
      </c>
      <c r="G69" s="198">
        <f>IF(ISBLANK(F69),"-",(F69/$D$50*$D$47*$B$68)*($B$57/$D$68))</f>
        <v>52.476317669349356</v>
      </c>
      <c r="H69" s="123">
        <f t="shared" si="0"/>
        <v>0.87460529448915592</v>
      </c>
    </row>
    <row r="70" spans="1:8" ht="26.25" customHeight="1" x14ac:dyDescent="0.4">
      <c r="A70" s="291" t="s">
        <v>77</v>
      </c>
      <c r="B70" s="292"/>
      <c r="C70" s="305"/>
      <c r="D70" s="308"/>
      <c r="E70" s="122">
        <v>3</v>
      </c>
      <c r="F70" s="79">
        <v>13319666</v>
      </c>
      <c r="G70" s="198">
        <f>IF(ISBLANK(F70),"-",(F70/$D$50*$D$47*$B$68)*($B$57/$D$68))</f>
        <v>52.300388415346326</v>
      </c>
      <c r="H70" s="123">
        <f t="shared" si="0"/>
        <v>0.87167314025577214</v>
      </c>
    </row>
    <row r="71" spans="1:8" ht="27" customHeight="1" thickBot="1" x14ac:dyDescent="0.45">
      <c r="A71" s="293"/>
      <c r="B71" s="294"/>
      <c r="C71" s="310"/>
      <c r="D71" s="309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52.244013060933703</v>
      </c>
      <c r="H72" s="134">
        <f>AVERAGE(H60:H71)</f>
        <v>0.87073355101556171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3.3017634013547716E-3</v>
      </c>
      <c r="H73" s="200">
        <f>STDEV(H60:H71)/H72</f>
        <v>3.3017634013547863E-3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95" t="str">
        <f>B20</f>
        <v xml:space="preserve"> ZIDOVUDINE </v>
      </c>
      <c r="D76" s="295"/>
      <c r="E76" s="139" t="s">
        <v>107</v>
      </c>
      <c r="F76" s="139"/>
      <c r="G76" s="140">
        <f>H72</f>
        <v>0.87073355101556171</v>
      </c>
      <c r="H76" s="262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311" t="str">
        <f>B26</f>
        <v>Zidovudine</v>
      </c>
      <c r="C79" s="311"/>
    </row>
    <row r="80" spans="1:8" ht="26.25" customHeight="1" x14ac:dyDescent="0.4">
      <c r="A80" s="146" t="s">
        <v>47</v>
      </c>
      <c r="B80" s="311" t="str">
        <f>B27</f>
        <v>Z1-3</v>
      </c>
      <c r="C80" s="311"/>
    </row>
    <row r="81" spans="1:12" ht="27" customHeight="1" thickBot="1" x14ac:dyDescent="0.45">
      <c r="A81" s="146" t="s">
        <v>6</v>
      </c>
      <c r="B81" s="141">
        <f>B28</f>
        <v>99.4</v>
      </c>
    </row>
    <row r="82" spans="1:12" s="2" customFormat="1" ht="27" customHeight="1" thickBot="1" x14ac:dyDescent="0.45">
      <c r="A82" s="146" t="s">
        <v>48</v>
      </c>
      <c r="B82" s="55">
        <v>0</v>
      </c>
      <c r="C82" s="288" t="s">
        <v>49</v>
      </c>
      <c r="D82" s="289"/>
      <c r="E82" s="289"/>
      <c r="F82" s="289"/>
      <c r="G82" s="290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62">
        <f>B81-B82</f>
        <v>99.4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76" t="s">
        <v>110</v>
      </c>
      <c r="D84" s="277"/>
      <c r="E84" s="277"/>
      <c r="F84" s="277"/>
      <c r="G84" s="277"/>
      <c r="H84" s="278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76" t="s">
        <v>111</v>
      </c>
      <c r="D85" s="277"/>
      <c r="E85" s="277"/>
      <c r="F85" s="277"/>
      <c r="G85" s="277"/>
      <c r="H85" s="278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50</v>
      </c>
      <c r="D89" s="260" t="s">
        <v>58</v>
      </c>
      <c r="E89" s="261"/>
      <c r="F89" s="296" t="s">
        <v>59</v>
      </c>
      <c r="G89" s="298"/>
    </row>
    <row r="90" spans="1:12" ht="27" customHeight="1" thickBot="1" x14ac:dyDescent="0.45">
      <c r="A90" s="67" t="s">
        <v>60</v>
      </c>
      <c r="B90" s="68">
        <v>5</v>
      </c>
      <c r="C90" s="263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50</v>
      </c>
      <c r="C91" s="143">
        <v>1</v>
      </c>
      <c r="D91" s="75">
        <v>2888129</v>
      </c>
      <c r="E91" s="76">
        <f>IF(ISBLANK(D91),"-",$D$101/$D$98*D91)</f>
        <v>3279785.9512873604</v>
      </c>
      <c r="F91" s="75">
        <v>3092870</v>
      </c>
      <c r="G91" s="77">
        <f>IF(ISBLANK(F91),"-",$D$101/$F$98*F91)</f>
        <v>3305225.4465821912</v>
      </c>
      <c r="I91" s="78"/>
    </row>
    <row r="92" spans="1:12" ht="26.25" customHeight="1" x14ac:dyDescent="0.4">
      <c r="A92" s="67" t="s">
        <v>66</v>
      </c>
      <c r="B92" s="68">
        <v>1</v>
      </c>
      <c r="C92" s="154">
        <v>2</v>
      </c>
      <c r="D92" s="79">
        <v>2887466</v>
      </c>
      <c r="E92" s="80">
        <f>IF(ISBLANK(D92),"-",$D$101/$D$98*D92)</f>
        <v>3279033.0423675361</v>
      </c>
      <c r="F92" s="79">
        <v>3091699</v>
      </c>
      <c r="G92" s="81">
        <f>IF(ISBLANK(F92),"-",$D$101/$F$98*F92)</f>
        <v>3303974.0461036884</v>
      </c>
      <c r="I92" s="299">
        <f>ABS((F96/D96*D95)-F95)/D95</f>
        <v>8.3366398732990562E-3</v>
      </c>
    </row>
    <row r="93" spans="1:12" ht="26.25" customHeight="1" x14ac:dyDescent="0.4">
      <c r="A93" s="67" t="s">
        <v>67</v>
      </c>
      <c r="B93" s="68">
        <v>1</v>
      </c>
      <c r="C93" s="154">
        <v>3</v>
      </c>
      <c r="D93" s="79">
        <v>2884640</v>
      </c>
      <c r="E93" s="80">
        <f>IF(ISBLANK(D93),"-",$D$101/$D$98*D93)</f>
        <v>3275823.8106821305</v>
      </c>
      <c r="F93" s="79">
        <v>3090411</v>
      </c>
      <c r="G93" s="81">
        <f>IF(ISBLANK(F93),"-",$D$101/$F$98*F93)</f>
        <v>3302597.6124433023</v>
      </c>
      <c r="I93" s="299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2886745</v>
      </c>
      <c r="E95" s="89">
        <f>AVERAGE(E91:E94)</f>
        <v>3278214.2681123423</v>
      </c>
      <c r="F95" s="148">
        <f>AVERAGE(F91:F94)</f>
        <v>3091660</v>
      </c>
      <c r="G95" s="149">
        <f>AVERAGE(G91:G94)</f>
        <v>3303932.3683763943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29.53</v>
      </c>
      <c r="E96" s="139"/>
      <c r="F96" s="93">
        <v>31.38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29.53</v>
      </c>
      <c r="E97" s="154"/>
      <c r="F97" s="95">
        <f>F96*$B$87</f>
        <v>31.38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29.352820000000001</v>
      </c>
      <c r="E98" s="136"/>
      <c r="F98" s="97">
        <f>F97*$B$83/100</f>
        <v>31.19172</v>
      </c>
    </row>
    <row r="99" spans="1:10" ht="19.5" customHeight="1" thickBot="1" x14ac:dyDescent="0.35">
      <c r="A99" s="300" t="s">
        <v>77</v>
      </c>
      <c r="B99" s="312"/>
      <c r="C99" s="152" t="s">
        <v>115</v>
      </c>
      <c r="D99" s="156">
        <f>D98/$B$98</f>
        <v>5.8705640000000003E-2</v>
      </c>
      <c r="E99" s="136"/>
      <c r="F99" s="100">
        <f>F98/$B$98</f>
        <v>6.2383439999999998E-2</v>
      </c>
      <c r="H99" s="91"/>
    </row>
    <row r="100" spans="1:10" ht="19.5" customHeight="1" thickBot="1" x14ac:dyDescent="0.35">
      <c r="A100" s="302"/>
      <c r="B100" s="313"/>
      <c r="C100" s="152" t="s">
        <v>79</v>
      </c>
      <c r="D100" s="158">
        <f>$B$56/$B$116</f>
        <v>6.6666666666666666E-2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33.333333333333336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33.333333333333336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3291073.3182443678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4.3066513073196575E-3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60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2974683</v>
      </c>
      <c r="E108" s="201">
        <f t="shared" ref="E108:E113" si="1">IF(ISBLANK(D108),"-",D108/$D$103*$D$100*$B$116)</f>
        <v>54.231845583802176</v>
      </c>
      <c r="F108" s="173">
        <f t="shared" ref="F108:F113" si="2">IF(ISBLANK(D108), "-", E108/$B$56)</f>
        <v>0.90386409306336957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2952065</v>
      </c>
      <c r="E109" s="202">
        <f t="shared" si="1"/>
        <v>53.819493785841033</v>
      </c>
      <c r="F109" s="174">
        <f t="shared" si="2"/>
        <v>0.89699156309735051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2975353</v>
      </c>
      <c r="E110" s="202">
        <f t="shared" si="1"/>
        <v>54.244060443853193</v>
      </c>
      <c r="F110" s="174">
        <f t="shared" si="2"/>
        <v>0.90406767406421984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2949997</v>
      </c>
      <c r="E111" s="202">
        <f t="shared" si="1"/>
        <v>53.781791799892517</v>
      </c>
      <c r="F111" s="174">
        <f t="shared" si="2"/>
        <v>0.89636319666487529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2944252</v>
      </c>
      <c r="E112" s="202">
        <f t="shared" si="1"/>
        <v>53.677053932738623</v>
      </c>
      <c r="F112" s="174">
        <f t="shared" si="2"/>
        <v>0.89461756554564376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2952817</v>
      </c>
      <c r="E113" s="203">
        <f t="shared" si="1"/>
        <v>53.833203598913222</v>
      </c>
      <c r="F113" s="177">
        <f t="shared" si="2"/>
        <v>0.89722005998188703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53.931241524173458</v>
      </c>
      <c r="F115" s="180">
        <f>AVERAGE(F108:F113)</f>
        <v>0.89885402540289094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4.521117077871748E-3</v>
      </c>
      <c r="F116" s="182">
        <f>STDEV(F108:F113)/F115</f>
        <v>4.5211170778717167E-3</v>
      </c>
      <c r="I116" s="139"/>
    </row>
    <row r="117" spans="1:10" ht="27" customHeight="1" thickBot="1" x14ac:dyDescent="0.45">
      <c r="A117" s="300" t="s">
        <v>77</v>
      </c>
      <c r="B117" s="301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302"/>
      <c r="B118" s="303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95" t="str">
        <f>B20</f>
        <v xml:space="preserve"> ZIDOVUDINE </v>
      </c>
      <c r="D120" s="295"/>
      <c r="E120" s="139" t="s">
        <v>123</v>
      </c>
      <c r="F120" s="139"/>
      <c r="G120" s="140">
        <f>F115</f>
        <v>0.89885402540289094</v>
      </c>
      <c r="H120" s="139"/>
      <c r="I120" s="139"/>
    </row>
    <row r="121" spans="1:10" ht="19.5" customHeight="1" thickBot="1" x14ac:dyDescent="0.35">
      <c r="A121" s="264"/>
      <c r="B121" s="264"/>
      <c r="C121" s="186"/>
      <c r="D121" s="186"/>
      <c r="E121" s="186"/>
      <c r="F121" s="186"/>
      <c r="G121" s="186"/>
      <c r="H121" s="186"/>
    </row>
    <row r="122" spans="1:10" ht="18.75" x14ac:dyDescent="0.3">
      <c r="B122" s="314" t="s">
        <v>25</v>
      </c>
      <c r="C122" s="314"/>
      <c r="E122" s="263" t="s">
        <v>26</v>
      </c>
      <c r="F122" s="187"/>
      <c r="G122" s="314" t="s">
        <v>27</v>
      </c>
      <c r="H122" s="314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SST(LAM)(S1)</vt:lpstr>
      <vt:lpstr>SST(ZID)(S1) </vt:lpstr>
      <vt:lpstr>Uniformity</vt:lpstr>
      <vt:lpstr>Lamivudine (S1)</vt:lpstr>
      <vt:lpstr>Zidovudine (S1)</vt:lpstr>
      <vt:lpstr>SST(LAM)  (S2) </vt:lpstr>
      <vt:lpstr>SST(ZID)  (S2)</vt:lpstr>
      <vt:lpstr>Lamivudine (S2)</vt:lpstr>
      <vt:lpstr>Zidovudine (S2)</vt:lpstr>
      <vt:lpstr>'Lamivudine (S1)'!Print_Area</vt:lpstr>
      <vt:lpstr>'Lamivudine (S2)'!Print_Area</vt:lpstr>
      <vt:lpstr>Uniformity!Print_Area</vt:lpstr>
      <vt:lpstr>'Zidovudine (S1)'!Print_Area</vt:lpstr>
      <vt:lpstr>'Zidovudine (S2)'!Print_Area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2016-07-13T08:14:56Z</cp:lastPrinted>
  <dcterms:created xsi:type="dcterms:W3CDTF">2005-07-05T10:19:27Z</dcterms:created>
  <dcterms:modified xsi:type="dcterms:W3CDTF">2016-07-18T07:46:45Z</dcterms:modified>
</cp:coreProperties>
</file>