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3"/>
  </bookViews>
  <sheets>
    <sheet name="SST" sheetId="1" r:id="rId1"/>
    <sheet name="Uniformity" sheetId="2" r:id="rId2"/>
    <sheet name="zidovudine" sheetId="3" r:id="rId3"/>
    <sheet name="SST(LAM)(S1)" sheetId="4" r:id="rId4"/>
    <sheet name="SST(ZID)(S1) " sheetId="5" r:id="rId5"/>
    <sheet name="Uniformity (2)" sheetId="6" r:id="rId6"/>
    <sheet name="Lamivudine (S1)" sheetId="7" r:id="rId7"/>
    <sheet name="Zidovudine (S1)" sheetId="8" r:id="rId8"/>
  </sheets>
  <definedNames>
    <definedName name="_xlnm.Print_Area" localSheetId="6">'Lamivudine (S1)'!$A$1:$I$124</definedName>
    <definedName name="_xlnm.Print_Area" localSheetId="0">SST!$A$15:$G$65</definedName>
    <definedName name="_xlnm.Print_Area" localSheetId="1">Uniformity!$A$1:$F$54</definedName>
    <definedName name="_xlnm.Print_Area" localSheetId="5">'Uniformity (2)'!$A$12:$F$54</definedName>
    <definedName name="_xlnm.Print_Area" localSheetId="7">'Zidovudine (S1)'!$A$1:$I$124</definedName>
  </definedNames>
  <calcPr calcId="145621"/>
</workbook>
</file>

<file path=xl/calcChain.xml><?xml version="1.0" encoding="utf-8"?>
<calcChain xmlns="http://schemas.openxmlformats.org/spreadsheetml/2006/main">
  <c r="C120" i="8" l="1"/>
  <c r="B116" i="8"/>
  <c r="D100" i="8"/>
  <c r="D101" i="8" s="1"/>
  <c r="B98" i="8"/>
  <c r="F97" i="8"/>
  <c r="F98" i="8" s="1"/>
  <c r="F99" i="8" s="1"/>
  <c r="F95" i="8"/>
  <c r="D95" i="8"/>
  <c r="G94" i="8"/>
  <c r="E94" i="8"/>
  <c r="I92" i="8"/>
  <c r="B87" i="8"/>
  <c r="D97" i="8" s="1"/>
  <c r="D98" i="8" s="1"/>
  <c r="D99" i="8" s="1"/>
  <c r="B83" i="8"/>
  <c r="B81" i="8"/>
  <c r="B80" i="8"/>
  <c r="B79" i="8"/>
  <c r="C76" i="8"/>
  <c r="H71" i="8"/>
  <c r="G71" i="8"/>
  <c r="B68" i="8"/>
  <c r="H67" i="8"/>
  <c r="G67" i="8"/>
  <c r="H63" i="8"/>
  <c r="G63" i="8"/>
  <c r="B57" i="8"/>
  <c r="B69" i="8" s="1"/>
  <c r="C56" i="8"/>
  <c r="B55" i="8"/>
  <c r="B45" i="8"/>
  <c r="D48" i="8" s="1"/>
  <c r="F42" i="8"/>
  <c r="D42" i="8"/>
  <c r="I39" i="8" s="1"/>
  <c r="G41" i="8"/>
  <c r="E41" i="8"/>
  <c r="B34" i="8"/>
  <c r="D44" i="8" s="1"/>
  <c r="D45" i="8" s="1"/>
  <c r="D46" i="8" s="1"/>
  <c r="B30" i="8"/>
  <c r="C120" i="7"/>
  <c r="B116" i="7"/>
  <c r="D100" i="7"/>
  <c r="D101" i="7" s="1"/>
  <c r="B98" i="7"/>
  <c r="F97" i="7"/>
  <c r="F98" i="7" s="1"/>
  <c r="F99" i="7" s="1"/>
  <c r="F95" i="7"/>
  <c r="D95" i="7"/>
  <c r="G94" i="7"/>
  <c r="E94" i="7"/>
  <c r="I92" i="7"/>
  <c r="B87" i="7"/>
  <c r="D97" i="7" s="1"/>
  <c r="D98" i="7" s="1"/>
  <c r="D99" i="7" s="1"/>
  <c r="B83" i="7"/>
  <c r="B80" i="7"/>
  <c r="B79" i="7"/>
  <c r="C76" i="7"/>
  <c r="H71" i="7"/>
  <c r="G71" i="7"/>
  <c r="B68" i="7"/>
  <c r="H67" i="7"/>
  <c r="G67" i="7"/>
  <c r="H63" i="7"/>
  <c r="G63" i="7"/>
  <c r="C56" i="7"/>
  <c r="B55" i="7"/>
  <c r="D48" i="7"/>
  <c r="G39" i="7" s="1"/>
  <c r="B45" i="7"/>
  <c r="F44" i="7"/>
  <c r="F45" i="7" s="1"/>
  <c r="D44" i="7"/>
  <c r="F42" i="7"/>
  <c r="D42" i="7"/>
  <c r="G41" i="7"/>
  <c r="E41" i="7"/>
  <c r="I39" i="7"/>
  <c r="B34" i="7"/>
  <c r="B30" i="7"/>
  <c r="D45" i="7" s="1"/>
  <c r="C49" i="6"/>
  <c r="C46" i="6"/>
  <c r="C50" i="6" s="1"/>
  <c r="C45" i="6"/>
  <c r="D43" i="6"/>
  <c r="D41" i="6"/>
  <c r="D39" i="6"/>
  <c r="D37" i="6"/>
  <c r="D35" i="6"/>
  <c r="D33" i="6"/>
  <c r="D31" i="6"/>
  <c r="D29" i="6"/>
  <c r="D27" i="6"/>
  <c r="D25" i="6"/>
  <c r="C19" i="6"/>
  <c r="B53" i="5"/>
  <c r="F51" i="5"/>
  <c r="D51" i="5"/>
  <c r="C51" i="5"/>
  <c r="B51" i="5"/>
  <c r="B52" i="5" s="1"/>
  <c r="B43" i="5"/>
  <c r="B32" i="5"/>
  <c r="F30" i="5"/>
  <c r="C30" i="5"/>
  <c r="B30" i="5"/>
  <c r="B31" i="5" s="1"/>
  <c r="B21" i="5"/>
  <c r="B53" i="4"/>
  <c r="B52" i="4"/>
  <c r="B43" i="4"/>
  <c r="B32" i="4"/>
  <c r="B31" i="4"/>
  <c r="F30" i="4"/>
  <c r="C30" i="4"/>
  <c r="B30" i="4"/>
  <c r="B21" i="4"/>
  <c r="D49" i="8" l="1"/>
  <c r="E40" i="8"/>
  <c r="E38" i="8"/>
  <c r="G40" i="8"/>
  <c r="E39" i="8"/>
  <c r="D102" i="8"/>
  <c r="G93" i="8"/>
  <c r="E92" i="8"/>
  <c r="E93" i="8"/>
  <c r="G91" i="8"/>
  <c r="E91" i="8"/>
  <c r="G92" i="8"/>
  <c r="E38" i="7"/>
  <c r="D46" i="7"/>
  <c r="E39" i="7"/>
  <c r="G40" i="7"/>
  <c r="F46" i="7"/>
  <c r="D102" i="7"/>
  <c r="G93" i="7"/>
  <c r="E92" i="7"/>
  <c r="E91" i="7"/>
  <c r="E93" i="7"/>
  <c r="G91" i="7"/>
  <c r="G92" i="7"/>
  <c r="D26" i="6"/>
  <c r="D30" i="6"/>
  <c r="D34" i="6"/>
  <c r="D38" i="6"/>
  <c r="D42" i="6"/>
  <c r="B49" i="6"/>
  <c r="D50" i="6"/>
  <c r="G38" i="7"/>
  <c r="G42" i="7" s="1"/>
  <c r="E40" i="7"/>
  <c r="D49" i="7"/>
  <c r="F44" i="8"/>
  <c r="F45" i="8" s="1"/>
  <c r="F46" i="8" s="1"/>
  <c r="D24" i="6"/>
  <c r="D28" i="6"/>
  <c r="D32" i="6"/>
  <c r="D36" i="6"/>
  <c r="D40" i="6"/>
  <c r="D49" i="6"/>
  <c r="B57" i="7"/>
  <c r="B69" i="7" s="1"/>
  <c r="B21" i="1"/>
  <c r="C124" i="3"/>
  <c r="B116" i="3"/>
  <c r="D100" i="3" s="1"/>
  <c r="B98" i="3"/>
  <c r="D97" i="3"/>
  <c r="F95" i="3"/>
  <c r="D95" i="3"/>
  <c r="I92" i="3" s="1"/>
  <c r="B87" i="3"/>
  <c r="F97" i="3" s="1"/>
  <c r="B83" i="3"/>
  <c r="C76" i="3"/>
  <c r="B68" i="3"/>
  <c r="C56" i="3"/>
  <c r="B55" i="3"/>
  <c r="B45" i="3"/>
  <c r="D48" i="3" s="1"/>
  <c r="F42" i="3"/>
  <c r="D42" i="3"/>
  <c r="I39" i="3" s="1"/>
  <c r="B34" i="3"/>
  <c r="D44" i="3" s="1"/>
  <c r="B30" i="3"/>
  <c r="C46" i="2"/>
  <c r="B57" i="3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E95" i="8" l="1"/>
  <c r="D105" i="8"/>
  <c r="D103" i="8"/>
  <c r="G39" i="8"/>
  <c r="G95" i="8"/>
  <c r="D105" i="7"/>
  <c r="D103" i="7"/>
  <c r="E95" i="7"/>
  <c r="D50" i="7"/>
  <c r="E42" i="7"/>
  <c r="D52" i="7"/>
  <c r="G38" i="8"/>
  <c r="G42" i="8" s="1"/>
  <c r="G95" i="7"/>
  <c r="D52" i="8"/>
  <c r="D50" i="8"/>
  <c r="E42" i="8"/>
  <c r="D29" i="2"/>
  <c r="D25" i="2"/>
  <c r="D33" i="2"/>
  <c r="D37" i="2"/>
  <c r="D101" i="3"/>
  <c r="D102" i="3" s="1"/>
  <c r="F44" i="3"/>
  <c r="F45" i="3" s="1"/>
  <c r="G40" i="3" s="1"/>
  <c r="D45" i="3"/>
  <c r="E38" i="3" s="1"/>
  <c r="G41" i="3"/>
  <c r="B69" i="3"/>
  <c r="D98" i="3"/>
  <c r="E41" i="3"/>
  <c r="F98" i="3"/>
  <c r="G94" i="3" s="1"/>
  <c r="D41" i="2"/>
  <c r="C50" i="2"/>
  <c r="D26" i="2"/>
  <c r="D30" i="2"/>
  <c r="D34" i="2"/>
  <c r="D38" i="2"/>
  <c r="D42" i="2"/>
  <c r="B49" i="2"/>
  <c r="D50" i="2"/>
  <c r="D49" i="3"/>
  <c r="E92" i="3"/>
  <c r="G93" i="3"/>
  <c r="D31" i="2"/>
  <c r="D39" i="2"/>
  <c r="C49" i="2"/>
  <c r="G92" i="3"/>
  <c r="E94" i="3"/>
  <c r="D27" i="2"/>
  <c r="D35" i="2"/>
  <c r="D43" i="2"/>
  <c r="D24" i="2"/>
  <c r="D28" i="2"/>
  <c r="D32" i="2"/>
  <c r="D36" i="2"/>
  <c r="D40" i="2"/>
  <c r="D49" i="2"/>
  <c r="E91" i="3"/>
  <c r="G68" i="8" l="1"/>
  <c r="H68" i="8" s="1"/>
  <c r="G69" i="8"/>
  <c r="H69" i="8" s="1"/>
  <c r="G66" i="8"/>
  <c r="H66" i="8" s="1"/>
  <c r="G64" i="8"/>
  <c r="H64" i="8" s="1"/>
  <c r="G62" i="8"/>
  <c r="H62" i="8" s="1"/>
  <c r="G60" i="8"/>
  <c r="D51" i="8"/>
  <c r="G70" i="8"/>
  <c r="H70" i="8" s="1"/>
  <c r="G65" i="8"/>
  <c r="H65" i="8" s="1"/>
  <c r="G61" i="8"/>
  <c r="H61" i="8" s="1"/>
  <c r="E112" i="7"/>
  <c r="F112" i="7" s="1"/>
  <c r="E110" i="7"/>
  <c r="F110" i="7" s="1"/>
  <c r="E108" i="7"/>
  <c r="E113" i="7"/>
  <c r="F113" i="7" s="1"/>
  <c r="E111" i="7"/>
  <c r="F111" i="7" s="1"/>
  <c r="E109" i="7"/>
  <c r="F109" i="7" s="1"/>
  <c r="D104" i="7"/>
  <c r="E112" i="8"/>
  <c r="F112" i="8" s="1"/>
  <c r="E110" i="8"/>
  <c r="F110" i="8" s="1"/>
  <c r="E108" i="8"/>
  <c r="E113" i="8"/>
  <c r="F113" i="8" s="1"/>
  <c r="E111" i="8"/>
  <c r="F111" i="8" s="1"/>
  <c r="E109" i="8"/>
  <c r="F109" i="8" s="1"/>
  <c r="D104" i="8"/>
  <c r="G69" i="7"/>
  <c r="H69" i="7" s="1"/>
  <c r="G62" i="7"/>
  <c r="H62" i="7" s="1"/>
  <c r="G70" i="7"/>
  <c r="H70" i="7" s="1"/>
  <c r="G65" i="7"/>
  <c r="H65" i="7" s="1"/>
  <c r="G61" i="7"/>
  <c r="H61" i="7" s="1"/>
  <c r="D51" i="7"/>
  <c r="G68" i="7"/>
  <c r="H68" i="7" s="1"/>
  <c r="G66" i="7"/>
  <c r="H66" i="7" s="1"/>
  <c r="G64" i="7"/>
  <c r="H64" i="7" s="1"/>
  <c r="G60" i="7"/>
  <c r="G39" i="3"/>
  <c r="G38" i="3"/>
  <c r="F46" i="3"/>
  <c r="E39" i="3"/>
  <c r="E40" i="3"/>
  <c r="D46" i="3"/>
  <c r="G42" i="3"/>
  <c r="F99" i="3"/>
  <c r="G91" i="3"/>
  <c r="G95" i="3" s="1"/>
  <c r="D99" i="3"/>
  <c r="E93" i="3"/>
  <c r="G74" i="7" l="1"/>
  <c r="G72" i="7"/>
  <c r="G73" i="7" s="1"/>
  <c r="H60" i="7"/>
  <c r="H60" i="8"/>
  <c r="G74" i="8"/>
  <c r="G72" i="8"/>
  <c r="G73" i="8" s="1"/>
  <c r="E115" i="7"/>
  <c r="E116" i="7" s="1"/>
  <c r="E117" i="7"/>
  <c r="F108" i="7"/>
  <c r="E115" i="8"/>
  <c r="E116" i="8" s="1"/>
  <c r="E117" i="8"/>
  <c r="F108" i="8"/>
  <c r="D50" i="3"/>
  <c r="G70" i="3" s="1"/>
  <c r="H70" i="3" s="1"/>
  <c r="D52" i="3"/>
  <c r="E42" i="3"/>
  <c r="D105" i="3"/>
  <c r="E95" i="3"/>
  <c r="D103" i="3"/>
  <c r="D104" i="3" s="1"/>
  <c r="G67" i="3"/>
  <c r="H67" i="3" s="1"/>
  <c r="G63" i="3"/>
  <c r="H63" i="3" s="1"/>
  <c r="G69" i="3"/>
  <c r="H69" i="3" s="1"/>
  <c r="G66" i="3"/>
  <c r="H66" i="3" s="1"/>
  <c r="G71" i="3"/>
  <c r="H71" i="3" s="1"/>
  <c r="G62" i="3"/>
  <c r="H62" i="3" s="1"/>
  <c r="H74" i="7" l="1"/>
  <c r="H72" i="7"/>
  <c r="F117" i="7"/>
  <c r="F115" i="7"/>
  <c r="F117" i="8"/>
  <c r="F115" i="8"/>
  <c r="H74" i="8"/>
  <c r="H72" i="8"/>
  <c r="E109" i="3"/>
  <c r="F109" i="3" s="1"/>
  <c r="G61" i="3"/>
  <c r="H61" i="3" s="1"/>
  <c r="G60" i="3"/>
  <c r="H60" i="3" s="1"/>
  <c r="G68" i="3"/>
  <c r="H68" i="3" s="1"/>
  <c r="G65" i="3"/>
  <c r="H65" i="3" s="1"/>
  <c r="D51" i="3"/>
  <c r="G64" i="3"/>
  <c r="H64" i="3" s="1"/>
  <c r="E108" i="3"/>
  <c r="F108" i="3" s="1"/>
  <c r="E110" i="3"/>
  <c r="F110" i="3" s="1"/>
  <c r="E111" i="3"/>
  <c r="F111" i="3" s="1"/>
  <c r="E112" i="3"/>
  <c r="F112" i="3" s="1"/>
  <c r="E113" i="3"/>
  <c r="F113" i="3" s="1"/>
  <c r="G120" i="8" l="1"/>
  <c r="F116" i="8"/>
  <c r="G76" i="7"/>
  <c r="H73" i="7"/>
  <c r="G76" i="8"/>
  <c r="H73" i="8"/>
  <c r="G120" i="7"/>
  <c r="F116" i="7"/>
  <c r="G74" i="3"/>
  <c r="G72" i="3"/>
  <c r="G73" i="3" s="1"/>
  <c r="E115" i="3"/>
  <c r="E116" i="3" s="1"/>
  <c r="E117" i="3"/>
  <c r="E119" i="3"/>
  <c r="E120" i="3"/>
  <c r="H74" i="3"/>
  <c r="H72" i="3"/>
  <c r="F125" i="3"/>
  <c r="F120" i="3"/>
  <c r="F117" i="3"/>
  <c r="D125" i="3"/>
  <c r="F115" i="3"/>
  <c r="F119" i="3"/>
  <c r="G124" i="3" l="1"/>
  <c r="F116" i="3"/>
  <c r="G76" i="3"/>
  <c r="H73" i="3"/>
</calcChain>
</file>

<file path=xl/sharedStrings.xml><?xml version="1.0" encoding="utf-8"?>
<sst xmlns="http://schemas.openxmlformats.org/spreadsheetml/2006/main" count="687" uniqueCount="152">
  <si>
    <t>HPLC System Suitability Report</t>
  </si>
  <si>
    <t>Analysis Data</t>
  </si>
  <si>
    <t>Assay</t>
  </si>
  <si>
    <t>Sample(s)</t>
  </si>
  <si>
    <t>Reference Substance:</t>
  </si>
  <si>
    <t>LAMIVUDINE 30MG &amp; ZIDOVUDINE 60MG</t>
  </si>
  <si>
    <t>% age Purity:</t>
  </si>
  <si>
    <t>NDQD2016061031r1</t>
  </si>
  <si>
    <t>Weight (mg):</t>
  </si>
  <si>
    <t>LAMIVUDINE 30mg &amp; ZIDOVUDINE 60mg</t>
  </si>
  <si>
    <t>Standard Conc (mg/mL):</t>
  </si>
  <si>
    <t>2016-06-10 12:46:46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</si>
  <si>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</si>
  <si>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</si>
  <si>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</si>
  <si>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</si>
  <si>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</si>
  <si>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</si>
  <si>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</si>
  <si>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</si>
  <si>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</si>
  <si>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</si>
  <si>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</si>
  <si>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</si>
  <si>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</si>
  <si>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</si>
  <si>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</si>
  <si>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</si>
  <si>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</si>
  <si>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</si>
  <si>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</si>
  <si>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</si>
  <si>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</si>
  <si>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</si>
  <si>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</si>
  <si>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</si>
  <si>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</si>
  <si>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</si>
  <si>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</si>
  <si>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</si>
  <si>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</si>
  <si>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</si>
  <si>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</si>
  <si>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</si>
  <si>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</si>
  <si>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</si>
  <si>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</si>
  <si>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</si>
  <si>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</si>
  <si>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</si>
  <si>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</si>
  <si>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</si>
  <si>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</si>
  <si>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</si>
  <si>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</si>
  <si>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</si>
  <si>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</si>
  <si>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</si>
  <si>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</si>
  <si>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</si>
  <si>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</si>
  <si>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</si>
  <si>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</si>
  <si>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</si>
  <si>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</si>
  <si>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</si>
  <si>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</si>
  <si>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</si>
  <si>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</si>
  <si>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</si>
  <si>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</si>
  <si>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</si>
  <si>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</si>
  <si>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</si>
  <si>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</si>
  <si>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</si>
  <si>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</si>
  <si>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</si>
  <si>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</si>
  <si>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</si>
  <si>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</si>
  <si>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</si>
  <si>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</si>
  <si>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</si>
  <si>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</si>
  <si>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</si>
  <si>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</si>
  <si>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</si>
  <si>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</si>
  <si>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</si>
  <si>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</si>
  <si>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</si>
  <si>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</si>
  <si>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</si>
  <si>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</si>
  <si>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</si>
  <si>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</si>
  <si>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</si>
  <si>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</si>
  <si>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</si>
  <si>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</si>
  <si>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</si>
  <si>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</si>
  <si>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</si>
  <si>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</si>
  <si>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</si>
  <si>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</si>
  <si>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</si>
  <si>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</si>
  <si>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</si>
  <si>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</si>
  <si>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</si>
  <si>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</si>
  <si>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</si>
  <si>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</si>
  <si>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</si>
  <si>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</si>
  <si>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</si>
  <si>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</si>
  <si>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</si>
  <si>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</si>
  <si>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</si>
  <si>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</si>
  <si>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</si>
  <si>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</si>
  <si>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</si>
  <si>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</si>
  <si>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</si>
  <si>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</si>
  <si>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</si>
  <si>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ZIDOVUDINE</t>
  </si>
  <si>
    <t>Z1-1</t>
  </si>
  <si>
    <t xml:space="preserve"> ZIDOVUDINE </t>
  </si>
  <si>
    <t>EACH TABLET CONTAINS LAMIVUDINE 30mg &amp; ZIDOVUDINE 60mg</t>
  </si>
  <si>
    <t>Lamivudine and Zidovudine tablets for oral suspension</t>
  </si>
  <si>
    <t>SALLY/SARAH</t>
  </si>
  <si>
    <t>LAMIVUDINE 150MG &amp; ZIDOVUDINE 300MG</t>
  </si>
  <si>
    <t xml:space="preserve">LAMIVUDINE </t>
  </si>
  <si>
    <t>Resolution(USP)</t>
  </si>
  <si>
    <r>
      <t>The number of Theoretical Plates (USP) for all peaks is NLT</t>
    </r>
    <r>
      <rPr>
        <b/>
        <sz val="12"/>
        <color rgb="FF000000"/>
        <rFont val="Book Antiqua"/>
        <family val="1"/>
      </rPr>
      <t xml:space="preserve"> 2000</t>
    </r>
  </si>
  <si>
    <r>
      <t>The Assymetry of all peaks is NMT</t>
    </r>
    <r>
      <rPr>
        <b/>
        <sz val="12"/>
        <color rgb="FF000000"/>
        <rFont val="Book Antiqua"/>
        <family val="1"/>
      </rPr>
      <t xml:space="preserve"> 2.0</t>
    </r>
  </si>
  <si>
    <t>The Resolution between the peak pair of Lamivudine and Zidovudine peaks is NLT 3.0</t>
  </si>
  <si>
    <t>LAMIVUDINE</t>
  </si>
  <si>
    <t xml:space="preserve">                                                                                                          The Resolution between the peak pair of Lamivudine  and Zidovudine is NLT 8</t>
  </si>
  <si>
    <t>RUTTO/JOYFRIDA</t>
  </si>
  <si>
    <t>Zidovudine</t>
  </si>
  <si>
    <t>NDQD2016061030</t>
  </si>
  <si>
    <t>2016-06-10 12:43:37</t>
  </si>
  <si>
    <t>Lamivudine</t>
  </si>
  <si>
    <t>L3-7</t>
  </si>
  <si>
    <t>Capsule No.</t>
  </si>
  <si>
    <t>Z1-3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</si>
</sst>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6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14" fontId="2" fillId="2" borderId="7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14" fontId="2" fillId="2" borderId="7" xfId="1" applyNumberFormat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0" fillId="2" borderId="18" xfId="1" applyFont="1" applyFill="1" applyBorder="1" applyAlignment="1">
      <alignment horizontal="center" wrapText="1"/>
    </xf>
    <xf numFmtId="0" fontId="10" fillId="2" borderId="19" xfId="1" applyFont="1" applyFill="1" applyBorder="1" applyAlignment="1">
      <alignment horizontal="center" wrapText="1"/>
    </xf>
    <xf numFmtId="0" fontId="10" fillId="2" borderId="20" xfId="1" applyFont="1" applyFill="1" applyBorder="1" applyAlignment="1">
      <alignment horizontal="center" wrapText="1"/>
    </xf>
    <xf numFmtId="0" fontId="10" fillId="2" borderId="0" xfId="1" applyFont="1" applyFill="1" applyAlignment="1">
      <alignment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9" fillId="2" borderId="0" xfId="1" applyFont="1" applyFill="1"/>
    <xf numFmtId="164" fontId="1" fillId="2" borderId="0" xfId="1" applyNumberFormat="1" applyFont="1" applyFill="1" applyAlignment="1">
      <alignment horizontal="center"/>
    </xf>
    <xf numFmtId="164" fontId="1" fillId="2" borderId="0" xfId="1" applyNumberFormat="1" applyFont="1" applyFill="1"/>
    <xf numFmtId="164" fontId="5" fillId="2" borderId="12" xfId="1" applyNumberFormat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wrapText="1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5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2" xfId="1" applyFont="1" applyFill="1" applyBorder="1" applyAlignment="1">
      <alignment horizontal="right" vertical="center"/>
    </xf>
    <xf numFmtId="166" fontId="6" fillId="2" borderId="12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12" xfId="1" applyNumberFormat="1" applyFont="1" applyFill="1" applyBorder="1" applyAlignment="1">
      <alignment horizontal="center" vertical="center"/>
    </xf>
    <xf numFmtId="2" fontId="8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8" fillId="2" borderId="0" xfId="1" applyNumberFormat="1" applyFont="1" applyFill="1"/>
    <xf numFmtId="0" fontId="5" fillId="2" borderId="12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6" fontId="5" fillId="2" borderId="13" xfId="1" applyNumberFormat="1" applyFont="1" applyFill="1" applyBorder="1" applyAlignment="1">
      <alignment horizontal="center" vertical="center"/>
    </xf>
    <xf numFmtId="165" fontId="5" fillId="2" borderId="16" xfId="1" applyNumberFormat="1" applyFont="1" applyFill="1" applyBorder="1" applyAlignment="1">
      <alignment horizontal="center"/>
    </xf>
    <xf numFmtId="2" fontId="5" fillId="2" borderId="12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5" fillId="2" borderId="11" xfId="1" applyFont="1" applyFill="1" applyBorder="1"/>
    <xf numFmtId="0" fontId="6" fillId="2" borderId="11" xfId="1" applyFont="1" applyFill="1" applyBorder="1"/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1" fillId="2" borderId="0" xfId="1" applyFont="1" applyFill="1"/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2" fillId="2" borderId="0" xfId="1" applyFont="1" applyFill="1"/>
    <xf numFmtId="0" fontId="13" fillId="3" borderId="0" xfId="1" applyFont="1" applyFill="1" applyAlignment="1" applyProtection="1">
      <alignment horizontal="left" wrapText="1"/>
      <protection locked="0"/>
    </xf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4" fillId="3" borderId="0" xfId="1" applyFont="1" applyFill="1" applyAlignment="1" applyProtection="1">
      <alignment horizontal="left"/>
      <protection locked="0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2" fillId="2" borderId="9" xfId="1" applyFont="1" applyFill="1" applyBorder="1" applyAlignment="1">
      <alignment horizontal="center" vertical="center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3" xfId="1" applyFont="1" applyFill="1" applyBorder="1" applyAlignment="1">
      <alignment horizontal="center" vertic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0" fontId="12" fillId="2" borderId="0" xfId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0" fontId="19" fillId="2" borderId="10" xfId="1" applyFont="1" applyFill="1" applyBorder="1" applyAlignment="1">
      <alignment horizontal="left" vertical="center" wrapText="1"/>
    </xf>
    <xf numFmtId="166" fontId="11" fillId="6" borderId="27" xfId="1" applyNumberFormat="1" applyFont="1" applyFill="1" applyBorder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7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66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2" fontId="13" fillId="7" borderId="27" xfId="1" applyNumberFormat="1" applyFont="1" applyFill="1" applyBorder="1" applyAlignment="1">
      <alignment horizontal="center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9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2" fillId="2" borderId="10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</cellXfs>
  <cellStyles count="3">
    <cellStyle name="Normal" xfId="0" builtinId="0"/>
    <cellStyle name="Normal 2" xfId="1"/>
    <cellStyle name="Normal 3" xfId="2"/>
  </cellStyles>
  <dxfs count="6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6" workbookViewId="0">
      <selection activeCell="E62" sqref="E6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134</v>
      </c>
      <c r="D17" s="9"/>
      <c r="E17" s="10"/>
    </row>
    <row r="18" spans="1:6" ht="16.5" customHeight="1" x14ac:dyDescent="0.3">
      <c r="A18" s="11" t="s">
        <v>4</v>
      </c>
      <c r="B18" s="8" t="s">
        <v>130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</v>
      </c>
      <c r="C19" s="10"/>
      <c r="D19" s="10"/>
      <c r="E19" s="10"/>
    </row>
    <row r="20" spans="1:6" ht="16.5" customHeight="1" x14ac:dyDescent="0.3">
      <c r="A20" s="7" t="s">
        <v>8</v>
      </c>
      <c r="B20" s="12">
        <v>13.99</v>
      </c>
      <c r="C20" s="10"/>
      <c r="D20" s="10"/>
      <c r="E20" s="10"/>
    </row>
    <row r="21" spans="1:6" ht="16.5" customHeight="1" x14ac:dyDescent="0.3">
      <c r="A21" s="7" t="s">
        <v>10</v>
      </c>
      <c r="B21" s="13">
        <f>13.99/50</f>
        <v>0.27979999999999999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95445417</v>
      </c>
      <c r="C24" s="18">
        <v>6189.7</v>
      </c>
      <c r="D24" s="19">
        <v>1.1000000000000001</v>
      </c>
      <c r="E24" s="20">
        <v>3.9</v>
      </c>
    </row>
    <row r="25" spans="1:6" ht="16.5" customHeight="1" x14ac:dyDescent="0.3">
      <c r="A25" s="17">
        <v>2</v>
      </c>
      <c r="B25" s="18">
        <v>95824980</v>
      </c>
      <c r="C25" s="18">
        <v>6379.8</v>
      </c>
      <c r="D25" s="19">
        <v>1.1000000000000001</v>
      </c>
      <c r="E25" s="19">
        <v>3.9</v>
      </c>
    </row>
    <row r="26" spans="1:6" ht="16.5" customHeight="1" x14ac:dyDescent="0.3">
      <c r="A26" s="17">
        <v>3</v>
      </c>
      <c r="B26" s="18">
        <v>95767138</v>
      </c>
      <c r="C26" s="18">
        <v>6422.2</v>
      </c>
      <c r="D26" s="19">
        <v>1.1000000000000001</v>
      </c>
      <c r="E26" s="19">
        <v>3.9</v>
      </c>
    </row>
    <row r="27" spans="1:6" ht="16.5" customHeight="1" x14ac:dyDescent="0.3">
      <c r="A27" s="17">
        <v>4</v>
      </c>
      <c r="B27" s="18">
        <v>95756053</v>
      </c>
      <c r="C27" s="18">
        <v>6437.5</v>
      </c>
      <c r="D27" s="19">
        <v>1.1000000000000001</v>
      </c>
      <c r="E27" s="19">
        <v>3.9</v>
      </c>
    </row>
    <row r="28" spans="1:6" ht="16.5" customHeight="1" x14ac:dyDescent="0.3">
      <c r="A28" s="17">
        <v>5</v>
      </c>
      <c r="B28" s="18">
        <v>95710579</v>
      </c>
      <c r="C28" s="18">
        <v>6448.9</v>
      </c>
      <c r="D28" s="19">
        <v>1.2</v>
      </c>
      <c r="E28" s="19">
        <v>3.9</v>
      </c>
    </row>
    <row r="29" spans="1:6" ht="16.5" customHeight="1" x14ac:dyDescent="0.3">
      <c r="A29" s="17">
        <v>6</v>
      </c>
      <c r="B29" s="21">
        <v>95691828</v>
      </c>
      <c r="C29" s="21">
        <v>6453.1</v>
      </c>
      <c r="D29" s="22">
        <v>1.1000000000000001</v>
      </c>
      <c r="E29" s="22">
        <v>3.9</v>
      </c>
    </row>
    <row r="30" spans="1:6" ht="16.5" customHeight="1" x14ac:dyDescent="0.3">
      <c r="A30" s="23" t="s">
        <v>17</v>
      </c>
      <c r="B30" s="24">
        <f>AVERAGE(B24:B29)</f>
        <v>95699332.5</v>
      </c>
      <c r="C30" s="25">
        <f>AVERAGE(C24:C29)</f>
        <v>6388.5333333333328</v>
      </c>
      <c r="D30" s="26">
        <f>AVERAGE(D24:D29)</f>
        <v>1.1166666666666669</v>
      </c>
      <c r="E30" s="26">
        <f>AVERAGE(E24:E29)</f>
        <v>3.9</v>
      </c>
    </row>
    <row r="31" spans="1:6" ht="16.5" customHeight="1" x14ac:dyDescent="0.3">
      <c r="A31" s="27" t="s">
        <v>18</v>
      </c>
      <c r="B31" s="28">
        <f>(STDEV(B24:B29)/B30)</f>
        <v>1.388299205337742E-3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7" t="s">
        <v>25</v>
      </c>
      <c r="C59" s="287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135</v>
      </c>
      <c r="C60" s="48"/>
      <c r="E60" s="285">
        <v>42950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C44" sqref="C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1" t="s">
        <v>30</v>
      </c>
      <c r="B11" s="292"/>
      <c r="C11" s="292"/>
      <c r="D11" s="292"/>
      <c r="E11" s="292"/>
      <c r="F11" s="293"/>
      <c r="G11" s="91"/>
    </row>
    <row r="12" spans="1:7" ht="16.5" customHeight="1" x14ac:dyDescent="0.3">
      <c r="A12" s="290" t="s">
        <v>31</v>
      </c>
      <c r="B12" s="290"/>
      <c r="C12" s="290"/>
      <c r="D12" s="290"/>
      <c r="E12" s="290"/>
      <c r="F12" s="290"/>
      <c r="G12" s="90"/>
    </row>
    <row r="14" spans="1:7" ht="16.5" customHeight="1" x14ac:dyDescent="0.3">
      <c r="A14" s="295" t="s">
        <v>32</v>
      </c>
      <c r="B14" s="295"/>
      <c r="C14" s="60" t="s">
        <v>5</v>
      </c>
    </row>
    <row r="15" spans="1:7" ht="16.5" customHeight="1" x14ac:dyDescent="0.3">
      <c r="A15" s="295" t="s">
        <v>33</v>
      </c>
      <c r="B15" s="295"/>
      <c r="C15" s="60" t="s">
        <v>7</v>
      </c>
    </row>
    <row r="16" spans="1:7" ht="16.5" customHeight="1" x14ac:dyDescent="0.3">
      <c r="A16" s="295" t="s">
        <v>34</v>
      </c>
      <c r="B16" s="295"/>
      <c r="C16" s="60" t="s">
        <v>9</v>
      </c>
    </row>
    <row r="17" spans="1:5" ht="16.5" customHeight="1" x14ac:dyDescent="0.3">
      <c r="A17" s="295" t="s">
        <v>35</v>
      </c>
      <c r="B17" s="295"/>
      <c r="C17" s="60" t="s">
        <v>9</v>
      </c>
    </row>
    <row r="18" spans="1:5" ht="16.5" customHeight="1" x14ac:dyDescent="0.3">
      <c r="A18" s="295" t="s">
        <v>36</v>
      </c>
      <c r="B18" s="295"/>
      <c r="C18" s="97" t="s">
        <v>11</v>
      </c>
    </row>
    <row r="19" spans="1:5" ht="16.5" customHeight="1" x14ac:dyDescent="0.3">
      <c r="A19" s="295" t="s">
        <v>37</v>
      </c>
      <c r="B19" s="29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0" t="s">
        <v>1</v>
      </c>
      <c r="B21" s="290"/>
      <c r="C21" s="59" t="s">
        <v>38</v>
      </c>
      <c r="D21" s="66"/>
    </row>
    <row r="22" spans="1:5" ht="15.75" customHeight="1" x14ac:dyDescent="0.3">
      <c r="A22" s="294"/>
      <c r="B22" s="294"/>
      <c r="C22" s="57"/>
      <c r="D22" s="294"/>
      <c r="E22" s="294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161.34</v>
      </c>
      <c r="D24" s="87">
        <f t="shared" ref="D24:D43" si="0">(C24-$C$46)/$C$46</f>
        <v>1.8504489512051101E-3</v>
      </c>
      <c r="E24" s="53"/>
    </row>
    <row r="25" spans="1:5" ht="15.75" customHeight="1" x14ac:dyDescent="0.3">
      <c r="C25" s="95">
        <v>161.22999999999999</v>
      </c>
      <c r="D25" s="88">
        <f t="shared" si="0"/>
        <v>1.167397324921199E-3</v>
      </c>
      <c r="E25" s="53"/>
    </row>
    <row r="26" spans="1:5" ht="15.75" customHeight="1" x14ac:dyDescent="0.3">
      <c r="C26" s="95">
        <v>160.91</v>
      </c>
      <c r="D26" s="88">
        <f t="shared" si="0"/>
        <v>-8.1966195154079924E-4</v>
      </c>
      <c r="E26" s="53"/>
    </row>
    <row r="27" spans="1:5" ht="15.75" customHeight="1" x14ac:dyDescent="0.3">
      <c r="C27" s="95">
        <v>160.27000000000001</v>
      </c>
      <c r="D27" s="88">
        <f t="shared" si="0"/>
        <v>-4.7937805044647955E-3</v>
      </c>
      <c r="E27" s="53"/>
    </row>
    <row r="28" spans="1:5" ht="15.75" customHeight="1" x14ac:dyDescent="0.3">
      <c r="C28" s="95">
        <v>163.21</v>
      </c>
      <c r="D28" s="88">
        <f t="shared" si="0"/>
        <v>1.3462326598030188E-2</v>
      </c>
      <c r="E28" s="53"/>
    </row>
    <row r="29" spans="1:5" ht="15.75" customHeight="1" x14ac:dyDescent="0.3">
      <c r="C29" s="95">
        <v>161.63</v>
      </c>
      <c r="D29" s="88">
        <f t="shared" si="0"/>
        <v>3.6512214204987852E-3</v>
      </c>
      <c r="E29" s="53"/>
    </row>
    <row r="30" spans="1:5" ht="15.75" customHeight="1" x14ac:dyDescent="0.3">
      <c r="C30" s="95">
        <v>161.78</v>
      </c>
      <c r="D30" s="88">
        <f t="shared" si="0"/>
        <v>4.5826554563404018E-3</v>
      </c>
      <c r="E30" s="53"/>
    </row>
    <row r="31" spans="1:5" ht="15.75" customHeight="1" x14ac:dyDescent="0.3">
      <c r="C31" s="95">
        <v>161.1</v>
      </c>
      <c r="D31" s="88">
        <f t="shared" si="0"/>
        <v>3.601544938585232E-4</v>
      </c>
      <c r="E31" s="53"/>
    </row>
    <row r="32" spans="1:5" ht="15.75" customHeight="1" x14ac:dyDescent="0.3">
      <c r="C32" s="95">
        <v>162.27000000000001</v>
      </c>
      <c r="D32" s="88">
        <f t="shared" si="0"/>
        <v>7.6253399734229578E-3</v>
      </c>
      <c r="E32" s="53"/>
    </row>
    <row r="33" spans="1:7" ht="15.75" customHeight="1" x14ac:dyDescent="0.3">
      <c r="C33" s="95">
        <v>160.26</v>
      </c>
      <c r="D33" s="88">
        <f t="shared" si="0"/>
        <v>-4.8558761068543546E-3</v>
      </c>
      <c r="E33" s="53"/>
    </row>
    <row r="34" spans="1:7" ht="15.75" customHeight="1" x14ac:dyDescent="0.3">
      <c r="C34" s="95">
        <v>161.75</v>
      </c>
      <c r="D34" s="88">
        <f t="shared" si="0"/>
        <v>4.3963686491720784E-3</v>
      </c>
      <c r="E34" s="53"/>
    </row>
    <row r="35" spans="1:7" ht="15.75" customHeight="1" x14ac:dyDescent="0.3">
      <c r="C35" s="95">
        <v>159.09</v>
      </c>
      <c r="D35" s="88">
        <f t="shared" si="0"/>
        <v>-1.2121061586418612E-2</v>
      </c>
      <c r="E35" s="53"/>
    </row>
    <row r="36" spans="1:7" ht="15.75" customHeight="1" x14ac:dyDescent="0.3">
      <c r="C36" s="95">
        <v>161.37</v>
      </c>
      <c r="D36" s="88">
        <f t="shared" si="0"/>
        <v>2.0367357583734335E-3</v>
      </c>
      <c r="E36" s="53"/>
    </row>
    <row r="37" spans="1:7" ht="15.75" customHeight="1" x14ac:dyDescent="0.3">
      <c r="C37" s="95">
        <v>160.69</v>
      </c>
      <c r="D37" s="88">
        <f t="shared" si="0"/>
        <v>-2.1857652041084451E-3</v>
      </c>
      <c r="E37" s="53"/>
    </row>
    <row r="38" spans="1:7" ht="15.75" customHeight="1" x14ac:dyDescent="0.3">
      <c r="C38" s="95">
        <v>160.33000000000001</v>
      </c>
      <c r="D38" s="88">
        <f t="shared" si="0"/>
        <v>-4.4212068901281487E-3</v>
      </c>
      <c r="E38" s="53"/>
    </row>
    <row r="39" spans="1:7" ht="15.75" customHeight="1" x14ac:dyDescent="0.3">
      <c r="C39" s="95">
        <v>160.86000000000001</v>
      </c>
      <c r="D39" s="88">
        <f t="shared" si="0"/>
        <v>-1.1301399634878872E-3</v>
      </c>
      <c r="E39" s="53"/>
    </row>
    <row r="40" spans="1:7" ht="15.75" customHeight="1" x14ac:dyDescent="0.3">
      <c r="C40" s="95">
        <v>158.26</v>
      </c>
      <c r="D40" s="88">
        <f t="shared" si="0"/>
        <v>-1.727499658474211E-2</v>
      </c>
      <c r="E40" s="53"/>
    </row>
    <row r="41" spans="1:7" ht="15.75" customHeight="1" x14ac:dyDescent="0.3">
      <c r="C41" s="95">
        <v>159.4</v>
      </c>
      <c r="D41" s="88">
        <f t="shared" si="0"/>
        <v>-1.0196097912345997E-2</v>
      </c>
      <c r="E41" s="53"/>
    </row>
    <row r="42" spans="1:7" ht="15.75" customHeight="1" x14ac:dyDescent="0.3">
      <c r="C42" s="95">
        <v>163.44</v>
      </c>
      <c r="D42" s="88">
        <f t="shared" si="0"/>
        <v>1.4890525452987215E-2</v>
      </c>
      <c r="E42" s="53"/>
    </row>
    <row r="43" spans="1:7" ht="16.5" customHeight="1" x14ac:dyDescent="0.3">
      <c r="C43" s="96">
        <v>161.65</v>
      </c>
      <c r="D43" s="89">
        <f t="shared" si="0"/>
        <v>3.775412625277726E-3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3220.8400000000006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161.04200000000003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288">
        <f>C46</f>
        <v>161.04200000000003</v>
      </c>
      <c r="C49" s="93">
        <f>-IF(C46&lt;=80,10%,IF(C46&lt;250,7.5%,5%))</f>
        <v>-7.4999999999999997E-2</v>
      </c>
      <c r="D49" s="81">
        <f>IF(C46&lt;=80,C46*0.9,IF(C46&lt;250,C46*0.925,C46*0.95))</f>
        <v>148.96385000000004</v>
      </c>
    </row>
    <row r="50" spans="1:6" ht="17.25" customHeight="1" x14ac:dyDescent="0.3">
      <c r="B50" s="289"/>
      <c r="C50" s="94">
        <f>IF(C46&lt;=80, 10%, IF(C46&lt;250, 7.5%, 5%))</f>
        <v>7.4999999999999997E-2</v>
      </c>
      <c r="D50" s="81">
        <f>IF(C46&lt;=80, C46*1.1, IF(C46&lt;250, C46*1.075, C46*1.05))</f>
        <v>173.12015000000002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6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6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6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6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6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6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6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6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6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5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5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5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5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5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5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5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5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5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4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4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49" zoomScale="50" zoomScaleNormal="40" zoomScalePageLayoutView="50" workbookViewId="0">
      <selection activeCell="F71" sqref="F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6" t="s">
        <v>44</v>
      </c>
      <c r="B1" s="326"/>
      <c r="C1" s="326"/>
      <c r="D1" s="326"/>
      <c r="E1" s="326"/>
      <c r="F1" s="326"/>
      <c r="G1" s="326"/>
      <c r="H1" s="326"/>
      <c r="I1" s="326"/>
    </row>
    <row r="2" spans="1:9" ht="18.75" customHeight="1" x14ac:dyDescent="0.25">
      <c r="A2" s="326"/>
      <c r="B2" s="326"/>
      <c r="C2" s="326"/>
      <c r="D2" s="326"/>
      <c r="E2" s="326"/>
      <c r="F2" s="326"/>
      <c r="G2" s="326"/>
      <c r="H2" s="326"/>
      <c r="I2" s="326"/>
    </row>
    <row r="3" spans="1:9" ht="18.75" customHeight="1" x14ac:dyDescent="0.25">
      <c r="A3" s="326"/>
      <c r="B3" s="326"/>
      <c r="C3" s="326"/>
      <c r="D3" s="326"/>
      <c r="E3" s="326"/>
      <c r="F3" s="326"/>
      <c r="G3" s="326"/>
      <c r="H3" s="326"/>
      <c r="I3" s="326"/>
    </row>
    <row r="4" spans="1:9" ht="18.75" customHeight="1" x14ac:dyDescent="0.25">
      <c r="A4" s="326"/>
      <c r="B4" s="326"/>
      <c r="C4" s="326"/>
      <c r="D4" s="326"/>
      <c r="E4" s="326"/>
      <c r="F4" s="326"/>
      <c r="G4" s="326"/>
      <c r="H4" s="326"/>
      <c r="I4" s="326"/>
    </row>
    <row r="5" spans="1:9" ht="18.75" customHeight="1" x14ac:dyDescent="0.25">
      <c r="A5" s="326"/>
      <c r="B5" s="326"/>
      <c r="C5" s="326"/>
      <c r="D5" s="326"/>
      <c r="E5" s="326"/>
      <c r="F5" s="326"/>
      <c r="G5" s="326"/>
      <c r="H5" s="326"/>
      <c r="I5" s="326"/>
    </row>
    <row r="6" spans="1:9" ht="18.75" customHeight="1" x14ac:dyDescent="0.25">
      <c r="A6" s="326"/>
      <c r="B6" s="326"/>
      <c r="C6" s="326"/>
      <c r="D6" s="326"/>
      <c r="E6" s="326"/>
      <c r="F6" s="326"/>
      <c r="G6" s="326"/>
      <c r="H6" s="326"/>
      <c r="I6" s="326"/>
    </row>
    <row r="7" spans="1:9" ht="18.75" customHeight="1" x14ac:dyDescent="0.25">
      <c r="A7" s="326"/>
      <c r="B7" s="326"/>
      <c r="C7" s="326"/>
      <c r="D7" s="326"/>
      <c r="E7" s="326"/>
      <c r="F7" s="326"/>
      <c r="G7" s="326"/>
      <c r="H7" s="326"/>
      <c r="I7" s="326"/>
    </row>
    <row r="8" spans="1:9" x14ac:dyDescent="0.25">
      <c r="A8" s="327" t="s">
        <v>45</v>
      </c>
      <c r="B8" s="327"/>
      <c r="C8" s="327"/>
      <c r="D8" s="327"/>
      <c r="E8" s="327"/>
      <c r="F8" s="327"/>
      <c r="G8" s="327"/>
      <c r="H8" s="327"/>
      <c r="I8" s="327"/>
    </row>
    <row r="9" spans="1:9" x14ac:dyDescent="0.25">
      <c r="A9" s="327"/>
      <c r="B9" s="327"/>
      <c r="C9" s="327"/>
      <c r="D9" s="327"/>
      <c r="E9" s="327"/>
      <c r="F9" s="327"/>
      <c r="G9" s="327"/>
      <c r="H9" s="327"/>
      <c r="I9" s="327"/>
    </row>
    <row r="10" spans="1:9" x14ac:dyDescent="0.25">
      <c r="A10" s="327"/>
      <c r="B10" s="327"/>
      <c r="C10" s="327"/>
      <c r="D10" s="327"/>
      <c r="E10" s="327"/>
      <c r="F10" s="327"/>
      <c r="G10" s="327"/>
      <c r="H10" s="327"/>
      <c r="I10" s="327"/>
    </row>
    <row r="11" spans="1:9" x14ac:dyDescent="0.25">
      <c r="A11" s="327"/>
      <c r="B11" s="327"/>
      <c r="C11" s="327"/>
      <c r="D11" s="327"/>
      <c r="E11" s="327"/>
      <c r="F11" s="327"/>
      <c r="G11" s="327"/>
      <c r="H11" s="327"/>
      <c r="I11" s="327"/>
    </row>
    <row r="12" spans="1:9" x14ac:dyDescent="0.25">
      <c r="A12" s="327"/>
      <c r="B12" s="327"/>
      <c r="C12" s="327"/>
      <c r="D12" s="327"/>
      <c r="E12" s="327"/>
      <c r="F12" s="327"/>
      <c r="G12" s="327"/>
      <c r="H12" s="327"/>
      <c r="I12" s="327"/>
    </row>
    <row r="13" spans="1:9" x14ac:dyDescent="0.25">
      <c r="A13" s="327"/>
      <c r="B13" s="327"/>
      <c r="C13" s="327"/>
      <c r="D13" s="327"/>
      <c r="E13" s="327"/>
      <c r="F13" s="327"/>
      <c r="G13" s="327"/>
      <c r="H13" s="327"/>
      <c r="I13" s="327"/>
    </row>
    <row r="14" spans="1:9" x14ac:dyDescent="0.25">
      <c r="A14" s="327"/>
      <c r="B14" s="327"/>
      <c r="C14" s="327"/>
      <c r="D14" s="327"/>
      <c r="E14" s="327"/>
      <c r="F14" s="327"/>
      <c r="G14" s="327"/>
      <c r="H14" s="327"/>
      <c r="I14" s="327"/>
    </row>
    <row r="15" spans="1:9" ht="19.5" customHeight="1" x14ac:dyDescent="0.3">
      <c r="A15" s="98"/>
    </row>
    <row r="16" spans="1:9" ht="19.5" customHeight="1" x14ac:dyDescent="0.3">
      <c r="A16" s="299" t="s">
        <v>30</v>
      </c>
      <c r="B16" s="300"/>
      <c r="C16" s="300"/>
      <c r="D16" s="300"/>
      <c r="E16" s="300"/>
      <c r="F16" s="300"/>
      <c r="G16" s="300"/>
      <c r="H16" s="301"/>
    </row>
    <row r="17" spans="1:14" ht="20.25" customHeight="1" x14ac:dyDescent="0.25">
      <c r="A17" s="302" t="s">
        <v>46</v>
      </c>
      <c r="B17" s="302"/>
      <c r="C17" s="302"/>
      <c r="D17" s="302"/>
      <c r="E17" s="302"/>
      <c r="F17" s="302"/>
      <c r="G17" s="302"/>
      <c r="H17" s="302"/>
    </row>
    <row r="18" spans="1:14" ht="26.25" customHeight="1" x14ac:dyDescent="0.4">
      <c r="A18" s="100" t="s">
        <v>32</v>
      </c>
      <c r="B18" s="298" t="s">
        <v>5</v>
      </c>
      <c r="C18" s="298"/>
      <c r="D18" s="246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303" t="s">
        <v>132</v>
      </c>
      <c r="C20" s="303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303" t="s">
        <v>133</v>
      </c>
      <c r="C21" s="303"/>
      <c r="D21" s="303"/>
      <c r="E21" s="303"/>
      <c r="F21" s="303"/>
      <c r="G21" s="303"/>
      <c r="H21" s="303"/>
      <c r="I21" s="104"/>
    </row>
    <row r="22" spans="1:14" ht="26.25" customHeight="1" x14ac:dyDescent="0.4">
      <c r="A22" s="100" t="s">
        <v>36</v>
      </c>
      <c r="B22" s="105">
        <v>42800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>
        <v>42802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8" t="s">
        <v>130</v>
      </c>
      <c r="C26" s="298"/>
    </row>
    <row r="27" spans="1:14" ht="26.25" customHeight="1" x14ac:dyDescent="0.4">
      <c r="A27" s="109" t="s">
        <v>47</v>
      </c>
      <c r="B27" s="304" t="s">
        <v>131</v>
      </c>
      <c r="C27" s="304"/>
    </row>
    <row r="28" spans="1:14" ht="27" customHeight="1" x14ac:dyDescent="0.4">
      <c r="A28" s="109" t="s">
        <v>6</v>
      </c>
      <c r="B28" s="110">
        <v>99</v>
      </c>
    </row>
    <row r="29" spans="1:14" s="14" customFormat="1" ht="27" customHeight="1" x14ac:dyDescent="0.4">
      <c r="A29" s="109" t="s">
        <v>48</v>
      </c>
      <c r="B29" s="111">
        <v>0</v>
      </c>
      <c r="C29" s="305" t="s">
        <v>49</v>
      </c>
      <c r="D29" s="306"/>
      <c r="E29" s="306"/>
      <c r="F29" s="306"/>
      <c r="G29" s="307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99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308" t="s">
        <v>52</v>
      </c>
      <c r="D31" s="309"/>
      <c r="E31" s="309"/>
      <c r="F31" s="309"/>
      <c r="G31" s="309"/>
      <c r="H31" s="310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308" t="s">
        <v>54</v>
      </c>
      <c r="D32" s="309"/>
      <c r="E32" s="309"/>
      <c r="F32" s="309"/>
      <c r="G32" s="309"/>
      <c r="H32" s="31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50</v>
      </c>
      <c r="C36" s="99"/>
      <c r="D36" s="311" t="s">
        <v>58</v>
      </c>
      <c r="E36" s="312"/>
      <c r="F36" s="311" t="s">
        <v>59</v>
      </c>
      <c r="G36" s="313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1</v>
      </c>
      <c r="C38" s="131">
        <v>1</v>
      </c>
      <c r="D38" s="132">
        <v>96216919</v>
      </c>
      <c r="E38" s="133">
        <f>IF(ISBLANK(D38),"-",$D$48/$D$45*D38)</f>
        <v>104205297.07366735</v>
      </c>
      <c r="F38" s="132">
        <v>109664860</v>
      </c>
      <c r="G38" s="134">
        <f>IF(ISBLANK(F38),"-",$D$48/$F$45*F38)</f>
        <v>106104009.4430899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96330715</v>
      </c>
      <c r="E39" s="138">
        <f>IF(ISBLANK(D39),"-",$D$48/$D$45*D39)</f>
        <v>104328540.94916284</v>
      </c>
      <c r="F39" s="137">
        <v>109713148</v>
      </c>
      <c r="G39" s="139">
        <f>IF(ISBLANK(F39),"-",$D$48/$F$45*F39)</f>
        <v>106150729.5173962</v>
      </c>
      <c r="I39" s="315">
        <f>ABS((F43/D43*D42)-F42)/D42</f>
        <v>2.0029187488622077E-2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95995995</v>
      </c>
      <c r="E40" s="138">
        <f>IF(ISBLANK(D40),"-",$D$48/$D$45*D40)</f>
        <v>103966030.93118462</v>
      </c>
      <c r="F40" s="137">
        <v>109388651</v>
      </c>
      <c r="G40" s="139">
        <f>IF(ISBLANK(F40),"-",$D$48/$F$45*F40)</f>
        <v>105836769.03130926</v>
      </c>
      <c r="I40" s="315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96181209.666666672</v>
      </c>
      <c r="E42" s="148">
        <f>AVERAGE(E38:E41)</f>
        <v>104166622.98467159</v>
      </c>
      <c r="F42" s="147">
        <f>AVERAGE(F38:F41)</f>
        <v>109588886.33333333</v>
      </c>
      <c r="G42" s="149">
        <f>AVERAGE(G38:G41)</f>
        <v>106030502.66393179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13.99</v>
      </c>
      <c r="E43" s="140"/>
      <c r="F43" s="152">
        <v>15.66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13.99</v>
      </c>
      <c r="E44" s="155"/>
      <c r="F44" s="154">
        <f>F43*$B$34</f>
        <v>15.66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50</v>
      </c>
      <c r="C45" s="153" t="s">
        <v>76</v>
      </c>
      <c r="D45" s="157">
        <f>D44*$B$30/100</f>
        <v>13.850099999999999</v>
      </c>
      <c r="E45" s="158"/>
      <c r="F45" s="157">
        <f>F44*$B$30/100</f>
        <v>15.503399999999999</v>
      </c>
      <c r="H45" s="150"/>
    </row>
    <row r="46" spans="1:14" ht="19.5" customHeight="1" x14ac:dyDescent="0.3">
      <c r="A46" s="316" t="s">
        <v>77</v>
      </c>
      <c r="B46" s="317"/>
      <c r="C46" s="153" t="s">
        <v>78</v>
      </c>
      <c r="D46" s="159">
        <f>D45/$B$45</f>
        <v>0.27700199999999997</v>
      </c>
      <c r="E46" s="160"/>
      <c r="F46" s="161">
        <f>F45/$B$45</f>
        <v>0.31006800000000001</v>
      </c>
      <c r="H46" s="150"/>
    </row>
    <row r="47" spans="1:14" ht="27" customHeight="1" x14ac:dyDescent="0.4">
      <c r="A47" s="318"/>
      <c r="B47" s="319"/>
      <c r="C47" s="162" t="s">
        <v>79</v>
      </c>
      <c r="D47" s="163">
        <v>0.3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15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105098562.8243017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9.8297595382638749E-3</v>
      </c>
      <c r="F51" s="170"/>
      <c r="H51" s="150"/>
    </row>
    <row r="52" spans="1:12" ht="19.5" customHeight="1" x14ac:dyDescent="0.3">
      <c r="C52" s="172" t="s">
        <v>19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>EACH TABLET CONTAINS LAMIVUDINE 30mg &amp; ZIDOVUDINE 60mg</v>
      </c>
    </row>
    <row r="56" spans="1:12" ht="26.25" customHeight="1" x14ac:dyDescent="0.4">
      <c r="A56" s="177" t="s">
        <v>86</v>
      </c>
      <c r="B56" s="178">
        <v>60</v>
      </c>
      <c r="C56" s="99" t="str">
        <f>B20</f>
        <v xml:space="preserve"> ZIDOVUDINE </v>
      </c>
      <c r="H56" s="179"/>
    </row>
    <row r="57" spans="1:12" ht="18.75" x14ac:dyDescent="0.3">
      <c r="A57" s="176" t="s">
        <v>87</v>
      </c>
      <c r="B57" s="247">
        <f>Uniformity!C46</f>
        <v>161.04200000000003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88</v>
      </c>
      <c r="B59" s="123">
        <v>200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1</v>
      </c>
      <c r="C60" s="320" t="s">
        <v>93</v>
      </c>
      <c r="D60" s="323">
        <v>161.43</v>
      </c>
      <c r="E60" s="182">
        <v>1</v>
      </c>
      <c r="F60" s="183">
        <v>107272053</v>
      </c>
      <c r="G60" s="248">
        <f>IF(ISBLANK(F60),"-",(F60/$D$50*$D$47*$B$68)*($B$57/$D$60))</f>
        <v>61.093636157120862</v>
      </c>
      <c r="H60" s="266">
        <f t="shared" ref="H60:H71" si="0">IF(ISBLANK(F60),"-",(G60/$B$56)*100)</f>
        <v>101.82272692853478</v>
      </c>
      <c r="L60" s="112"/>
    </row>
    <row r="61" spans="1:12" s="14" customFormat="1" ht="26.25" customHeight="1" x14ac:dyDescent="0.4">
      <c r="A61" s="124" t="s">
        <v>94</v>
      </c>
      <c r="B61" s="125">
        <v>1</v>
      </c>
      <c r="C61" s="321"/>
      <c r="D61" s="324"/>
      <c r="E61" s="184">
        <v>2</v>
      </c>
      <c r="F61" s="137">
        <v>106676373</v>
      </c>
      <c r="G61" s="249">
        <f>IF(ISBLANK(F61),"-",(F61/$D$50*$D$47*$B$68)*($B$57/$D$60))</f>
        <v>60.754384169596449</v>
      </c>
      <c r="H61" s="267">
        <f t="shared" si="0"/>
        <v>101.25730694932741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321"/>
      <c r="D62" s="324"/>
      <c r="E62" s="184">
        <v>3</v>
      </c>
      <c r="F62" s="185">
        <v>107413809</v>
      </c>
      <c r="G62" s="249">
        <f>IF(ISBLANK(F62),"-",(F62/$D$50*$D$47*$B$68)*($B$57/$D$60))</f>
        <v>61.174369108946522</v>
      </c>
      <c r="H62" s="267">
        <f t="shared" si="0"/>
        <v>101.95728184824419</v>
      </c>
      <c r="L62" s="112"/>
    </row>
    <row r="63" spans="1:12" ht="27" customHeight="1" x14ac:dyDescent="0.4">
      <c r="A63" s="124" t="s">
        <v>96</v>
      </c>
      <c r="B63" s="125">
        <v>1</v>
      </c>
      <c r="C63" s="322"/>
      <c r="D63" s="325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320" t="s">
        <v>98</v>
      </c>
      <c r="D64" s="323">
        <v>162.62</v>
      </c>
      <c r="E64" s="182">
        <v>1</v>
      </c>
      <c r="F64" s="183">
        <v>108036869</v>
      </c>
      <c r="G64" s="248">
        <f>IF(ISBLANK(F64),"-",(F64/$D$50*$D$47*$B$68)*($B$57/$D$64))</f>
        <v>61.078963890007337</v>
      </c>
      <c r="H64" s="266">
        <f t="shared" si="0"/>
        <v>101.79827315001222</v>
      </c>
    </row>
    <row r="65" spans="1:8" ht="26.25" customHeight="1" x14ac:dyDescent="0.4">
      <c r="A65" s="124" t="s">
        <v>99</v>
      </c>
      <c r="B65" s="125">
        <v>1</v>
      </c>
      <c r="C65" s="321"/>
      <c r="D65" s="324"/>
      <c r="E65" s="184">
        <v>2</v>
      </c>
      <c r="F65" s="137">
        <v>107614562</v>
      </c>
      <c r="G65" s="249">
        <f>IF(ISBLANK(F65),"-",(F65/$D$50*$D$47*$B$68)*($B$57/$D$64))</f>
        <v>60.840211376700999</v>
      </c>
      <c r="H65" s="267">
        <f t="shared" si="0"/>
        <v>101.40035229450166</v>
      </c>
    </row>
    <row r="66" spans="1:8" ht="26.25" customHeight="1" x14ac:dyDescent="0.4">
      <c r="A66" s="124" t="s">
        <v>100</v>
      </c>
      <c r="B66" s="125">
        <v>1</v>
      </c>
      <c r="C66" s="321"/>
      <c r="D66" s="324"/>
      <c r="E66" s="184">
        <v>3</v>
      </c>
      <c r="F66" s="137">
        <v>107925670</v>
      </c>
      <c r="G66" s="249">
        <f>IF(ISBLANK(F66),"-",(F66/$D$50*$D$47*$B$68)*($B$57/$D$64))</f>
        <v>61.016097205990377</v>
      </c>
      <c r="H66" s="267">
        <f t="shared" si="0"/>
        <v>101.69349534331728</v>
      </c>
    </row>
    <row r="67" spans="1:8" ht="27" customHeight="1" x14ac:dyDescent="0.4">
      <c r="A67" s="124" t="s">
        <v>101</v>
      </c>
      <c r="B67" s="125">
        <v>1</v>
      </c>
      <c r="C67" s="322"/>
      <c r="D67" s="325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102</v>
      </c>
      <c r="B68" s="188">
        <f>(B67/B66)*(B65/B64)*(B63/B62)*(B61/B60)*B59</f>
        <v>200</v>
      </c>
      <c r="C68" s="320" t="s">
        <v>103</v>
      </c>
      <c r="D68" s="323">
        <v>160.77000000000001</v>
      </c>
      <c r="E68" s="182">
        <v>1</v>
      </c>
      <c r="F68" s="183">
        <v>106812486</v>
      </c>
      <c r="G68" s="248">
        <f>IF(ISBLANK(F68),"-",(F68/$D$50*$D$47*$B$68)*($B$57/$D$68))</f>
        <v>61.08163309372118</v>
      </c>
      <c r="H68" s="267">
        <f t="shared" si="0"/>
        <v>101.80272182286862</v>
      </c>
    </row>
    <row r="69" spans="1:8" ht="27" customHeight="1" x14ac:dyDescent="0.4">
      <c r="A69" s="172" t="s">
        <v>104</v>
      </c>
      <c r="B69" s="189">
        <f>(D47*B68)/B56*B57</f>
        <v>161.04200000000003</v>
      </c>
      <c r="C69" s="321"/>
      <c r="D69" s="324"/>
      <c r="E69" s="184">
        <v>2</v>
      </c>
      <c r="F69" s="137">
        <v>106859739</v>
      </c>
      <c r="G69" s="249">
        <f>IF(ISBLANK(F69),"-",(F69/$D$50*$D$47*$B$68)*($B$57/$D$68))</f>
        <v>61.108655125663951</v>
      </c>
      <c r="H69" s="267">
        <f t="shared" si="0"/>
        <v>101.84775854277326</v>
      </c>
    </row>
    <row r="70" spans="1:8" ht="26.25" customHeight="1" x14ac:dyDescent="0.4">
      <c r="A70" s="333" t="s">
        <v>77</v>
      </c>
      <c r="B70" s="334"/>
      <c r="C70" s="321"/>
      <c r="D70" s="324"/>
      <c r="E70" s="184">
        <v>3</v>
      </c>
      <c r="F70" s="137">
        <v>106914403</v>
      </c>
      <c r="G70" s="249">
        <f>IF(ISBLANK(F70),"-",(F70/$D$50*$D$47*$B$68)*($B$57/$D$68))</f>
        <v>61.139915201301861</v>
      </c>
      <c r="H70" s="267">
        <f t="shared" si="0"/>
        <v>101.89985866883644</v>
      </c>
    </row>
    <row r="71" spans="1:8" ht="27" customHeight="1" x14ac:dyDescent="0.4">
      <c r="A71" s="335"/>
      <c r="B71" s="336"/>
      <c r="C71" s="332"/>
      <c r="D71" s="325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70</v>
      </c>
      <c r="G72" s="254">
        <f>AVERAGE(G60:G71)</f>
        <v>61.031985036561068</v>
      </c>
      <c r="H72" s="269">
        <f>AVERAGE(H60:H71)</f>
        <v>101.7199750609351</v>
      </c>
    </row>
    <row r="73" spans="1:8" ht="26.25" customHeight="1" x14ac:dyDescent="0.4">
      <c r="C73" s="190"/>
      <c r="D73" s="190"/>
      <c r="E73" s="190"/>
      <c r="F73" s="193" t="s">
        <v>83</v>
      </c>
      <c r="G73" s="253">
        <f>STDEV(G60:G71)/G72</f>
        <v>2.3198097778467188E-3</v>
      </c>
      <c r="H73" s="253">
        <f>STDEV(H60:H71)/H72</f>
        <v>2.3198097778467327E-3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19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105</v>
      </c>
      <c r="B76" s="197" t="s">
        <v>106</v>
      </c>
      <c r="C76" s="328" t="str">
        <f>B26</f>
        <v>ZIDOVUDINE</v>
      </c>
      <c r="D76" s="328"/>
      <c r="E76" s="198" t="s">
        <v>107</v>
      </c>
      <c r="F76" s="198"/>
      <c r="G76" s="199">
        <f>H72</f>
        <v>101.7199750609351</v>
      </c>
      <c r="H76" s="200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4"/>
      <c r="C79" s="314"/>
    </row>
    <row r="80" spans="1:8" ht="26.25" customHeight="1" x14ac:dyDescent="0.4">
      <c r="A80" s="109" t="s">
        <v>47</v>
      </c>
      <c r="B80" s="314"/>
      <c r="C80" s="314"/>
    </row>
    <row r="81" spans="1:12" ht="27" customHeight="1" x14ac:dyDescent="0.4">
      <c r="A81" s="109" t="s">
        <v>6</v>
      </c>
      <c r="B81" s="201">
        <v>1</v>
      </c>
    </row>
    <row r="82" spans="1:12" s="14" customFormat="1" ht="27" customHeight="1" x14ac:dyDescent="0.4">
      <c r="A82" s="109" t="s">
        <v>48</v>
      </c>
      <c r="B82" s="111">
        <v>0</v>
      </c>
      <c r="C82" s="305" t="s">
        <v>49</v>
      </c>
      <c r="D82" s="306"/>
      <c r="E82" s="306"/>
      <c r="F82" s="306"/>
      <c r="G82" s="307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1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/>
      <c r="C84" s="308" t="s">
        <v>110</v>
      </c>
      <c r="D84" s="309"/>
      <c r="E84" s="309"/>
      <c r="F84" s="309"/>
      <c r="G84" s="309"/>
      <c r="H84" s="310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/>
      <c r="C85" s="308" t="s">
        <v>111</v>
      </c>
      <c r="D85" s="309"/>
      <c r="E85" s="309"/>
      <c r="F85" s="309"/>
      <c r="G85" s="309"/>
      <c r="H85" s="31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 t="e">
        <f>B84/B85</f>
        <v>#DIV/0!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1</v>
      </c>
      <c r="D89" s="202" t="s">
        <v>58</v>
      </c>
      <c r="E89" s="203"/>
      <c r="F89" s="311" t="s">
        <v>59</v>
      </c>
      <c r="G89" s="313"/>
    </row>
    <row r="90" spans="1:12" ht="27" customHeight="1" x14ac:dyDescent="0.4">
      <c r="A90" s="124" t="s">
        <v>60</v>
      </c>
      <c r="B90" s="125">
        <v>1</v>
      </c>
      <c r="C90" s="204" t="s">
        <v>61</v>
      </c>
      <c r="D90" s="127" t="s">
        <v>62</v>
      </c>
      <c r="E90" s="128" t="s">
        <v>63</v>
      </c>
      <c r="F90" s="127" t="s">
        <v>62</v>
      </c>
      <c r="G90" s="205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1</v>
      </c>
      <c r="C91" s="206">
        <v>1</v>
      </c>
      <c r="D91" s="132"/>
      <c r="E91" s="133" t="str">
        <f>IF(ISBLANK(D91),"-",$D$101/$D$98*D91)</f>
        <v>-</v>
      </c>
      <c r="F91" s="132"/>
      <c r="G91" s="134" t="str">
        <f>IF(ISBLANK(F91),"-",$D$101/$F$98*F91)</f>
        <v>-</v>
      </c>
      <c r="I91" s="135"/>
    </row>
    <row r="92" spans="1:12" ht="26.25" customHeight="1" x14ac:dyDescent="0.4">
      <c r="A92" s="124" t="s">
        <v>66</v>
      </c>
      <c r="B92" s="125">
        <v>1</v>
      </c>
      <c r="C92" s="191">
        <v>2</v>
      </c>
      <c r="D92" s="137"/>
      <c r="E92" s="138" t="str">
        <f>IF(ISBLANK(D92),"-",$D$101/$D$98*D92)</f>
        <v>-</v>
      </c>
      <c r="F92" s="137"/>
      <c r="G92" s="139" t="str">
        <f>IF(ISBLANK(F92),"-",$D$101/$F$98*F92)</f>
        <v>-</v>
      </c>
      <c r="I92" s="315" t="e">
        <f>ABS((F96/D96*D95)-F95)/D95</f>
        <v>#DIV/0!</v>
      </c>
    </row>
    <row r="93" spans="1:12" ht="26.25" customHeight="1" x14ac:dyDescent="0.4">
      <c r="A93" s="124" t="s">
        <v>67</v>
      </c>
      <c r="B93" s="125">
        <v>1</v>
      </c>
      <c r="C93" s="191">
        <v>3</v>
      </c>
      <c r="D93" s="137"/>
      <c r="E93" s="138" t="str">
        <f>IF(ISBLANK(D93),"-",$D$101/$D$98*D93)</f>
        <v>-</v>
      </c>
      <c r="F93" s="137"/>
      <c r="G93" s="139" t="str">
        <f>IF(ISBLANK(F93),"-",$D$101/$F$98*F93)</f>
        <v>-</v>
      </c>
      <c r="I93" s="315"/>
    </row>
    <row r="94" spans="1:12" ht="27" customHeight="1" x14ac:dyDescent="0.4">
      <c r="A94" s="124" t="s">
        <v>68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09" t="s">
        <v>70</v>
      </c>
      <c r="D95" s="210" t="e">
        <f>AVERAGE(D91:D94)</f>
        <v>#DIV/0!</v>
      </c>
      <c r="E95" s="148" t="e">
        <f>AVERAGE(E91:E94)</f>
        <v>#DIV/0!</v>
      </c>
      <c r="F95" s="211" t="e">
        <f>AVERAGE(F91:F94)</f>
        <v>#DIV/0!</v>
      </c>
      <c r="G95" s="212" t="e">
        <f>AVERAGE(G91:G94)</f>
        <v>#DIV/0!</v>
      </c>
    </row>
    <row r="96" spans="1:12" ht="26.25" customHeight="1" x14ac:dyDescent="0.4">
      <c r="A96" s="124" t="s">
        <v>71</v>
      </c>
      <c r="B96" s="110">
        <v>1</v>
      </c>
      <c r="C96" s="213" t="s">
        <v>112</v>
      </c>
      <c r="D96" s="214">
        <v>25.12</v>
      </c>
      <c r="E96" s="140"/>
      <c r="F96" s="152">
        <v>25.78</v>
      </c>
    </row>
    <row r="97" spans="1:10" ht="26.25" customHeight="1" x14ac:dyDescent="0.4">
      <c r="A97" s="124" t="s">
        <v>73</v>
      </c>
      <c r="B97" s="110">
        <v>1</v>
      </c>
      <c r="C97" s="215" t="s">
        <v>113</v>
      </c>
      <c r="D97" s="216" t="e">
        <f>D96*$B$87</f>
        <v>#DIV/0!</v>
      </c>
      <c r="E97" s="155"/>
      <c r="F97" s="154" t="e">
        <f>F96*$B$87</f>
        <v>#DIV/0!</v>
      </c>
    </row>
    <row r="98" spans="1:10" ht="19.5" customHeight="1" x14ac:dyDescent="0.3">
      <c r="A98" s="124" t="s">
        <v>75</v>
      </c>
      <c r="B98" s="217">
        <f>(B97/B96)*(B95/B94)*(B93/B92)*(B91/B90)*B89</f>
        <v>1</v>
      </c>
      <c r="C98" s="215" t="s">
        <v>114</v>
      </c>
      <c r="D98" s="218" t="e">
        <f>D97*$B$83/100</f>
        <v>#DIV/0!</v>
      </c>
      <c r="E98" s="158"/>
      <c r="F98" s="157" t="e">
        <f>F97*$B$83/100</f>
        <v>#DIV/0!</v>
      </c>
    </row>
    <row r="99" spans="1:10" ht="19.5" customHeight="1" x14ac:dyDescent="0.3">
      <c r="A99" s="316" t="s">
        <v>77</v>
      </c>
      <c r="B99" s="330"/>
      <c r="C99" s="215" t="s">
        <v>115</v>
      </c>
      <c r="D99" s="219" t="e">
        <f>D98/$B$98</f>
        <v>#DIV/0!</v>
      </c>
      <c r="E99" s="158"/>
      <c r="F99" s="161" t="e">
        <f>F98/$B$98</f>
        <v>#DIV/0!</v>
      </c>
      <c r="G99" s="220"/>
      <c r="H99" s="150"/>
    </row>
    <row r="100" spans="1:10" ht="19.5" customHeight="1" x14ac:dyDescent="0.3">
      <c r="A100" s="318"/>
      <c r="B100" s="331"/>
      <c r="C100" s="215" t="s">
        <v>79</v>
      </c>
      <c r="D100" s="221">
        <f>$B$56/$B$116</f>
        <v>60</v>
      </c>
      <c r="F100" s="166"/>
      <c r="G100" s="222"/>
      <c r="H100" s="150"/>
    </row>
    <row r="101" spans="1:10" ht="18.75" x14ac:dyDescent="0.3">
      <c r="C101" s="215" t="s">
        <v>80</v>
      </c>
      <c r="D101" s="216">
        <f>D100*$B$98</f>
        <v>60</v>
      </c>
      <c r="F101" s="166"/>
      <c r="G101" s="220"/>
      <c r="H101" s="150"/>
    </row>
    <row r="102" spans="1:10" ht="19.5" customHeight="1" x14ac:dyDescent="0.3">
      <c r="C102" s="223" t="s">
        <v>81</v>
      </c>
      <c r="D102" s="224">
        <f>D101/B34</f>
        <v>60</v>
      </c>
      <c r="F102" s="170"/>
      <c r="G102" s="220"/>
      <c r="H102" s="150"/>
      <c r="J102" s="225"/>
    </row>
    <row r="103" spans="1:10" ht="18.75" x14ac:dyDescent="0.3">
      <c r="C103" s="226" t="s">
        <v>116</v>
      </c>
      <c r="D103" s="227" t="e">
        <f>AVERAGE(E91:E94,G91:G94)</f>
        <v>#DIV/0!</v>
      </c>
      <c r="F103" s="170"/>
      <c r="G103" s="228"/>
      <c r="H103" s="150"/>
      <c r="J103" s="229"/>
    </row>
    <row r="104" spans="1:10" ht="18.75" x14ac:dyDescent="0.3">
      <c r="C104" s="193" t="s">
        <v>83</v>
      </c>
      <c r="D104" s="230" t="e">
        <f>STDEV(E91:E94,G91:G94)/D103</f>
        <v>#DIV/0!</v>
      </c>
      <c r="F104" s="170"/>
      <c r="G104" s="220"/>
      <c r="H104" s="150"/>
      <c r="J104" s="229"/>
    </row>
    <row r="105" spans="1:10" ht="19.5" customHeight="1" x14ac:dyDescent="0.3">
      <c r="C105" s="195" t="s">
        <v>19</v>
      </c>
      <c r="D105" s="231">
        <f>COUNT(E91:E94,G91:G94)</f>
        <v>0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117</v>
      </c>
      <c r="B107" s="123">
        <v>1</v>
      </c>
      <c r="C107" s="270" t="s">
        <v>118</v>
      </c>
      <c r="D107" s="270" t="s">
        <v>62</v>
      </c>
      <c r="E107" s="270" t="s">
        <v>119</v>
      </c>
      <c r="F107" s="232" t="s">
        <v>120</v>
      </c>
    </row>
    <row r="108" spans="1:10" ht="26.25" customHeight="1" x14ac:dyDescent="0.4">
      <c r="A108" s="124" t="s">
        <v>121</v>
      </c>
      <c r="B108" s="125">
        <v>1</v>
      </c>
      <c r="C108" s="275">
        <v>1</v>
      </c>
      <c r="D108" s="276"/>
      <c r="E108" s="250" t="str">
        <f t="shared" ref="E108:E113" si="1">IF(ISBLANK(D108),"-",D108/$D$103*$D$100*$B$116)</f>
        <v>-</v>
      </c>
      <c r="F108" s="277" t="str">
        <f t="shared" ref="F108:F113" si="2">IF(ISBLANK(D108), "-", (E108/$B$56)*100)</f>
        <v>-</v>
      </c>
    </row>
    <row r="109" spans="1:10" ht="26.25" customHeight="1" x14ac:dyDescent="0.4">
      <c r="A109" s="124" t="s">
        <v>94</v>
      </c>
      <c r="B109" s="125">
        <v>1</v>
      </c>
      <c r="C109" s="271">
        <v>2</v>
      </c>
      <c r="D109" s="273"/>
      <c r="E109" s="251" t="str">
        <f t="shared" si="1"/>
        <v>-</v>
      </c>
      <c r="F109" s="278" t="str">
        <f t="shared" si="2"/>
        <v>-</v>
      </c>
    </row>
    <row r="110" spans="1:10" ht="26.25" customHeight="1" x14ac:dyDescent="0.4">
      <c r="A110" s="124" t="s">
        <v>95</v>
      </c>
      <c r="B110" s="125">
        <v>1</v>
      </c>
      <c r="C110" s="271">
        <v>3</v>
      </c>
      <c r="D110" s="273"/>
      <c r="E110" s="251" t="str">
        <f t="shared" si="1"/>
        <v>-</v>
      </c>
      <c r="F110" s="278" t="str">
        <f t="shared" si="2"/>
        <v>-</v>
      </c>
    </row>
    <row r="111" spans="1:10" ht="26.25" customHeight="1" x14ac:dyDescent="0.4">
      <c r="A111" s="124" t="s">
        <v>96</v>
      </c>
      <c r="B111" s="125">
        <v>1</v>
      </c>
      <c r="C111" s="271">
        <v>4</v>
      </c>
      <c r="D111" s="273"/>
      <c r="E111" s="251" t="str">
        <f t="shared" si="1"/>
        <v>-</v>
      </c>
      <c r="F111" s="278" t="str">
        <f t="shared" si="2"/>
        <v>-</v>
      </c>
    </row>
    <row r="112" spans="1:10" ht="26.25" customHeight="1" x14ac:dyDescent="0.4">
      <c r="A112" s="124" t="s">
        <v>97</v>
      </c>
      <c r="B112" s="125">
        <v>1</v>
      </c>
      <c r="C112" s="271">
        <v>5</v>
      </c>
      <c r="D112" s="273"/>
      <c r="E112" s="251" t="str">
        <f t="shared" si="1"/>
        <v>-</v>
      </c>
      <c r="F112" s="278" t="str">
        <f t="shared" si="2"/>
        <v>-</v>
      </c>
    </row>
    <row r="113" spans="1:10" ht="27" customHeight="1" x14ac:dyDescent="0.4">
      <c r="A113" s="124" t="s">
        <v>99</v>
      </c>
      <c r="B113" s="125">
        <v>1</v>
      </c>
      <c r="C113" s="272">
        <v>6</v>
      </c>
      <c r="D113" s="274"/>
      <c r="E113" s="252" t="str">
        <f t="shared" si="1"/>
        <v>-</v>
      </c>
      <c r="F113" s="279" t="str">
        <f t="shared" si="2"/>
        <v>-</v>
      </c>
    </row>
    <row r="114" spans="1:10" ht="27" customHeight="1" x14ac:dyDescent="0.4">
      <c r="A114" s="124" t="s">
        <v>100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101</v>
      </c>
      <c r="B115" s="125">
        <v>1</v>
      </c>
      <c r="C115" s="233"/>
      <c r="D115" s="257" t="s">
        <v>70</v>
      </c>
      <c r="E115" s="259" t="e">
        <f>AVERAGE(E108:E113)</f>
        <v>#DIV/0!</v>
      </c>
      <c r="F115" s="281" t="e">
        <f>AVERAGE(F108:F113)</f>
        <v>#DIV/0!</v>
      </c>
    </row>
    <row r="116" spans="1:10" ht="27" customHeight="1" x14ac:dyDescent="0.4">
      <c r="A116" s="124" t="s">
        <v>102</v>
      </c>
      <c r="B116" s="156">
        <f>(B115/B114)*(B113/B112)*(B111/B110)*(B109/B108)*B107</f>
        <v>1</v>
      </c>
      <c r="C116" s="234"/>
      <c r="D116" s="258" t="s">
        <v>83</v>
      </c>
      <c r="E116" s="256" t="e">
        <f>STDEV(E108:E113)/E115</f>
        <v>#DIV/0!</v>
      </c>
      <c r="F116" s="235" t="e">
        <f>STDEV(F108:F113)/F115</f>
        <v>#DIV/0!</v>
      </c>
      <c r="I116" s="98"/>
    </row>
    <row r="117" spans="1:10" ht="27" customHeight="1" x14ac:dyDescent="0.4">
      <c r="A117" s="316" t="s">
        <v>77</v>
      </c>
      <c r="B117" s="317"/>
      <c r="C117" s="236"/>
      <c r="D117" s="195" t="s">
        <v>19</v>
      </c>
      <c r="E117" s="261">
        <f>COUNT(E108:E113)</f>
        <v>0</v>
      </c>
      <c r="F117" s="262">
        <f>COUNT(F108:F113)</f>
        <v>0</v>
      </c>
      <c r="I117" s="98"/>
      <c r="J117" s="229"/>
    </row>
    <row r="118" spans="1:10" ht="26.25" customHeight="1" x14ac:dyDescent="0.3">
      <c r="A118" s="318"/>
      <c r="B118" s="319"/>
      <c r="C118" s="98"/>
      <c r="D118" s="260"/>
      <c r="E118" s="296" t="s">
        <v>122</v>
      </c>
      <c r="F118" s="297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123</v>
      </c>
      <c r="E119" s="263">
        <f>MIN(E108:E113)</f>
        <v>0</v>
      </c>
      <c r="F119" s="282">
        <f>MIN(F108:F113)</f>
        <v>0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124</v>
      </c>
      <c r="E120" s="264">
        <f>MAX(E108:E113)</f>
        <v>0</v>
      </c>
      <c r="F120" s="283">
        <f>MAX(F108:F113)</f>
        <v>0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105</v>
      </c>
      <c r="B124" s="197" t="s">
        <v>125</v>
      </c>
      <c r="C124" s="328" t="str">
        <f>B26</f>
        <v>ZIDOVUDINE</v>
      </c>
      <c r="D124" s="328"/>
      <c r="E124" s="198" t="s">
        <v>126</v>
      </c>
      <c r="F124" s="198"/>
      <c r="G124" s="284" t="e">
        <f>F115</f>
        <v>#DIV/0!</v>
      </c>
      <c r="H124" s="98"/>
      <c r="I124" s="98"/>
    </row>
    <row r="125" spans="1:10" ht="45.75" customHeight="1" x14ac:dyDescent="0.65">
      <c r="A125" s="108"/>
      <c r="B125" s="197" t="s">
        <v>127</v>
      </c>
      <c r="C125" s="109" t="s">
        <v>128</v>
      </c>
      <c r="D125" s="284">
        <f>MIN(F108:F113)</f>
        <v>0</v>
      </c>
      <c r="E125" s="209" t="s">
        <v>129</v>
      </c>
      <c r="F125" s="284">
        <f>MAX(F108:F113)</f>
        <v>0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29" t="s">
        <v>25</v>
      </c>
      <c r="C127" s="329"/>
      <c r="E127" s="204" t="s">
        <v>26</v>
      </c>
      <c r="F127" s="239"/>
      <c r="G127" s="329" t="s">
        <v>27</v>
      </c>
      <c r="H127" s="329"/>
    </row>
    <row r="128" spans="1:10" ht="69.95" customHeight="1" x14ac:dyDescent="0.3">
      <c r="A128" s="240" t="s">
        <v>28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29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47" priority="1" operator="greaterThan">
      <formula>0.02</formula>
    </cfRule>
  </conditionalFormatting>
  <conditionalFormatting sqref="D51">
    <cfRule type="cellIs" dxfId="46" priority="2" operator="greaterThan">
      <formula>0.02</formula>
    </cfRule>
  </conditionalFormatting>
  <conditionalFormatting sqref="G73">
    <cfRule type="cellIs" dxfId="45" priority="3" operator="greaterThan">
      <formula>0.02</formula>
    </cfRule>
  </conditionalFormatting>
  <conditionalFormatting sqref="H73">
    <cfRule type="cellIs" dxfId="44" priority="4" operator="greaterThan">
      <formula>0.02</formula>
    </cfRule>
  </conditionalFormatting>
  <conditionalFormatting sqref="D104">
    <cfRule type="cellIs" dxfId="43" priority="5" operator="greaterThan">
      <formula>0.02</formula>
    </cfRule>
  </conditionalFormatting>
  <conditionalFormatting sqref="I39">
    <cfRule type="cellIs" dxfId="42" priority="6" operator="lessThanOrEqual">
      <formula>0.02</formula>
    </cfRule>
  </conditionalFormatting>
  <conditionalFormatting sqref="I39">
    <cfRule type="cellIs" dxfId="41" priority="7" operator="greaterThan">
      <formula>0.02</formula>
    </cfRule>
  </conditionalFormatting>
  <conditionalFormatting sqref="I92">
    <cfRule type="cellIs" dxfId="40" priority="8" operator="lessThanOrEqual">
      <formula>0.02</formula>
    </cfRule>
  </conditionalFormatting>
  <conditionalFormatting sqref="I92">
    <cfRule type="cellIs" dxfId="3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abSelected="1" topLeftCell="A31" workbookViewId="0">
      <selection activeCell="B28" sqref="B28"/>
    </sheetView>
  </sheetViews>
  <sheetFormatPr defaultRowHeight="13.5" x14ac:dyDescent="0.25"/>
  <cols>
    <col min="1" max="1" width="27.5703125" style="338" customWidth="1"/>
    <col min="2" max="2" width="20.42578125" style="338" customWidth="1"/>
    <col min="3" max="3" width="31.85546875" style="338" customWidth="1"/>
    <col min="4" max="5" width="25.85546875" style="338" customWidth="1"/>
    <col min="6" max="6" width="25.7109375" style="338" customWidth="1"/>
    <col min="7" max="7" width="23.140625" style="338" customWidth="1"/>
    <col min="8" max="8" width="28.42578125" style="338" customWidth="1"/>
    <col min="9" max="9" width="21.5703125" style="338" customWidth="1"/>
    <col min="10" max="10" width="9.140625" style="338" customWidth="1"/>
    <col min="11" max="16384" width="9.140625" style="376"/>
  </cols>
  <sheetData>
    <row r="14" spans="1:7" ht="15" customHeight="1" x14ac:dyDescent="0.3">
      <c r="A14" s="337"/>
      <c r="C14" s="339"/>
      <c r="G14" s="339"/>
    </row>
    <row r="15" spans="1:7" ht="18.75" customHeight="1" x14ac:dyDescent="0.3">
      <c r="A15" s="340" t="s">
        <v>0</v>
      </c>
      <c r="B15" s="340"/>
      <c r="C15" s="340"/>
      <c r="D15" s="340"/>
      <c r="E15" s="340"/>
      <c r="F15" s="340"/>
    </row>
    <row r="16" spans="1:7" ht="16.5" customHeight="1" x14ac:dyDescent="0.3">
      <c r="A16" s="341" t="s">
        <v>1</v>
      </c>
      <c r="B16" s="342" t="s">
        <v>2</v>
      </c>
    </row>
    <row r="17" spans="1:6" ht="16.5" customHeight="1" x14ac:dyDescent="0.3">
      <c r="A17" s="343" t="s">
        <v>3</v>
      </c>
      <c r="B17" s="343" t="s">
        <v>136</v>
      </c>
      <c r="D17" s="344"/>
      <c r="E17" s="344"/>
      <c r="F17" s="345"/>
    </row>
    <row r="18" spans="1:6" ht="16.5" customHeight="1" x14ac:dyDescent="0.3">
      <c r="A18" s="346" t="s">
        <v>4</v>
      </c>
      <c r="B18" s="343" t="s">
        <v>137</v>
      </c>
      <c r="C18" s="345"/>
      <c r="D18" s="345"/>
      <c r="E18" s="345"/>
      <c r="F18" s="345"/>
    </row>
    <row r="19" spans="1:6" ht="16.5" customHeight="1" x14ac:dyDescent="0.3">
      <c r="A19" s="346" t="s">
        <v>6</v>
      </c>
      <c r="B19" s="347">
        <v>100.4</v>
      </c>
      <c r="C19" s="345"/>
      <c r="D19" s="345"/>
      <c r="E19" s="345"/>
      <c r="F19" s="345"/>
    </row>
    <row r="20" spans="1:6" ht="16.5" customHeight="1" x14ac:dyDescent="0.3">
      <c r="A20" s="343" t="s">
        <v>8</v>
      </c>
      <c r="B20" s="347">
        <v>16.03</v>
      </c>
      <c r="C20" s="345"/>
      <c r="D20" s="345"/>
      <c r="E20" s="345"/>
      <c r="F20" s="345"/>
    </row>
    <row r="21" spans="1:6" ht="16.5" customHeight="1" x14ac:dyDescent="0.3">
      <c r="A21" s="343" t="s">
        <v>10</v>
      </c>
      <c r="B21" s="348">
        <f>16.03/20*4/20</f>
        <v>0.16030000000000003</v>
      </c>
      <c r="C21" s="345"/>
      <c r="D21" s="345"/>
      <c r="E21" s="345"/>
      <c r="F21" s="345"/>
    </row>
    <row r="22" spans="1:6" ht="15.75" customHeight="1" x14ac:dyDescent="0.25">
      <c r="A22" s="345"/>
      <c r="B22" s="345"/>
      <c r="C22" s="345"/>
      <c r="D22" s="345"/>
      <c r="E22" s="345"/>
      <c r="F22" s="345"/>
    </row>
    <row r="23" spans="1:6" ht="16.5" customHeight="1" x14ac:dyDescent="0.3">
      <c r="A23" s="349" t="s">
        <v>12</v>
      </c>
      <c r="B23" s="350" t="s">
        <v>13</v>
      </c>
      <c r="C23" s="349" t="s">
        <v>14</v>
      </c>
      <c r="D23" s="349" t="s">
        <v>15</v>
      </c>
      <c r="E23" s="349" t="s">
        <v>138</v>
      </c>
      <c r="F23" s="349" t="s">
        <v>16</v>
      </c>
    </row>
    <row r="24" spans="1:6" ht="16.5" customHeight="1" x14ac:dyDescent="0.3">
      <c r="A24" s="351">
        <v>1</v>
      </c>
      <c r="B24" s="352">
        <v>8908084</v>
      </c>
      <c r="C24" s="352">
        <v>6707.4</v>
      </c>
      <c r="D24" s="353">
        <v>1</v>
      </c>
      <c r="E24" s="353">
        <v>0</v>
      </c>
      <c r="F24" s="354">
        <v>4.2</v>
      </c>
    </row>
    <row r="25" spans="1:6" ht="16.5" customHeight="1" x14ac:dyDescent="0.3">
      <c r="A25" s="351">
        <v>2</v>
      </c>
      <c r="B25" s="352">
        <v>8917100</v>
      </c>
      <c r="C25" s="352">
        <v>6608</v>
      </c>
      <c r="D25" s="353">
        <v>1</v>
      </c>
      <c r="E25" s="353">
        <v>0</v>
      </c>
      <c r="F25" s="353">
        <v>4.2</v>
      </c>
    </row>
    <row r="26" spans="1:6" ht="16.5" customHeight="1" x14ac:dyDescent="0.3">
      <c r="A26" s="351">
        <v>3</v>
      </c>
      <c r="B26" s="352">
        <v>8922833</v>
      </c>
      <c r="C26" s="352">
        <v>6625.3</v>
      </c>
      <c r="D26" s="353">
        <v>1.1000000000000001</v>
      </c>
      <c r="E26" s="353">
        <v>0</v>
      </c>
      <c r="F26" s="353">
        <v>4.2</v>
      </c>
    </row>
    <row r="27" spans="1:6" ht="16.5" customHeight="1" x14ac:dyDescent="0.3">
      <c r="A27" s="351">
        <v>4</v>
      </c>
      <c r="B27" s="352">
        <v>8909196</v>
      </c>
      <c r="C27" s="352">
        <v>6633.7</v>
      </c>
      <c r="D27" s="353">
        <v>1.1000000000000001</v>
      </c>
      <c r="E27" s="353">
        <v>0</v>
      </c>
      <c r="F27" s="353">
        <v>4.2</v>
      </c>
    </row>
    <row r="28" spans="1:6" ht="16.5" customHeight="1" x14ac:dyDescent="0.3">
      <c r="A28" s="351">
        <v>5</v>
      </c>
      <c r="B28" s="352">
        <v>8895607</v>
      </c>
      <c r="C28" s="352">
        <v>6644.3</v>
      </c>
      <c r="D28" s="353">
        <v>1</v>
      </c>
      <c r="E28" s="353">
        <v>0</v>
      </c>
      <c r="F28" s="353">
        <v>4.2</v>
      </c>
    </row>
    <row r="29" spans="1:6" ht="16.5" customHeight="1" x14ac:dyDescent="0.3">
      <c r="A29" s="351">
        <v>6</v>
      </c>
      <c r="B29" s="355">
        <v>8882956</v>
      </c>
      <c r="C29" s="355">
        <v>6544.9</v>
      </c>
      <c r="D29" s="356">
        <v>1.1000000000000001</v>
      </c>
      <c r="E29" s="356">
        <v>0</v>
      </c>
      <c r="F29" s="356">
        <v>4.0999999999999996</v>
      </c>
    </row>
    <row r="30" spans="1:6" ht="16.5" customHeight="1" x14ac:dyDescent="0.3">
      <c r="A30" s="357" t="s">
        <v>17</v>
      </c>
      <c r="B30" s="358">
        <f>AVERAGE(B24:B29)</f>
        <v>8905962.666666666</v>
      </c>
      <c r="C30" s="359">
        <f>AVERAGE(C24:C29)</f>
        <v>6627.2666666666673</v>
      </c>
      <c r="D30" s="360">
        <v>1.1000000000000001</v>
      </c>
      <c r="E30" s="360">
        <v>0</v>
      </c>
      <c r="F30" s="360">
        <f>AVERAGE(F24:F29)</f>
        <v>4.1833333333333336</v>
      </c>
    </row>
    <row r="31" spans="1:6" ht="16.5" customHeight="1" x14ac:dyDescent="0.3">
      <c r="A31" s="361" t="s">
        <v>18</v>
      </c>
      <c r="B31" s="362">
        <f>(STDEV(B24:B29)/B30)</f>
        <v>1.6349996352289101E-3</v>
      </c>
      <c r="C31" s="363"/>
      <c r="D31" s="363"/>
      <c r="E31" s="363"/>
      <c r="F31" s="364"/>
    </row>
    <row r="32" spans="1:6" s="338" customFormat="1" ht="16.5" customHeight="1" x14ac:dyDescent="0.3">
      <c r="A32" s="365" t="s">
        <v>19</v>
      </c>
      <c r="B32" s="366">
        <f>COUNT(B24:B29)</f>
        <v>6</v>
      </c>
      <c r="C32" s="367"/>
      <c r="D32" s="368"/>
      <c r="E32" s="368"/>
      <c r="F32" s="369"/>
    </row>
    <row r="33" spans="1:6" s="338" customFormat="1" ht="15.75" customHeight="1" x14ac:dyDescent="0.25">
      <c r="A33" s="345"/>
      <c r="B33" s="345"/>
      <c r="C33" s="345"/>
      <c r="D33" s="345"/>
      <c r="E33" s="345"/>
      <c r="F33" s="345"/>
    </row>
    <row r="34" spans="1:6" s="338" customFormat="1" ht="16.5" customHeight="1" x14ac:dyDescent="0.3">
      <c r="A34" s="346" t="s">
        <v>20</v>
      </c>
      <c r="B34" s="370" t="s">
        <v>21</v>
      </c>
      <c r="C34" s="371"/>
      <c r="D34" s="371"/>
      <c r="E34" s="371"/>
      <c r="F34" s="371"/>
    </row>
    <row r="35" spans="1:6" ht="16.5" customHeight="1" x14ac:dyDescent="0.3">
      <c r="A35" s="346"/>
      <c r="B35" s="370" t="s">
        <v>139</v>
      </c>
      <c r="C35" s="371"/>
      <c r="D35" s="371"/>
      <c r="E35" s="371"/>
      <c r="F35" s="371"/>
    </row>
    <row r="36" spans="1:6" ht="16.5" customHeight="1" x14ac:dyDescent="0.3">
      <c r="A36" s="346"/>
      <c r="B36" s="370" t="s">
        <v>140</v>
      </c>
      <c r="C36" s="371"/>
      <c r="D36" s="371"/>
      <c r="E36" s="371"/>
      <c r="F36" s="371"/>
    </row>
    <row r="37" spans="1:6" ht="15.75" customHeight="1" x14ac:dyDescent="0.25">
      <c r="A37" s="345"/>
      <c r="B37" s="345" t="s">
        <v>141</v>
      </c>
      <c r="C37" s="345"/>
      <c r="D37" s="345"/>
      <c r="E37" s="345"/>
      <c r="F37" s="345"/>
    </row>
    <row r="38" spans="1:6" ht="16.5" customHeight="1" x14ac:dyDescent="0.3">
      <c r="A38" s="341" t="s">
        <v>1</v>
      </c>
      <c r="B38" s="342" t="s">
        <v>24</v>
      </c>
    </row>
    <row r="39" spans="1:6" ht="16.5" customHeight="1" x14ac:dyDescent="0.3">
      <c r="A39" s="346" t="s">
        <v>4</v>
      </c>
      <c r="B39" s="343" t="s">
        <v>136</v>
      </c>
      <c r="C39" s="345"/>
      <c r="D39" s="345"/>
      <c r="E39" s="345"/>
      <c r="F39" s="345"/>
    </row>
    <row r="40" spans="1:6" ht="16.5" customHeight="1" x14ac:dyDescent="0.3">
      <c r="A40" s="346" t="s">
        <v>6</v>
      </c>
      <c r="B40" s="343" t="s">
        <v>142</v>
      </c>
      <c r="C40" s="345"/>
      <c r="D40" s="345"/>
      <c r="E40" s="345"/>
      <c r="F40" s="345"/>
    </row>
    <row r="41" spans="1:6" ht="16.5" customHeight="1" x14ac:dyDescent="0.3">
      <c r="A41" s="343" t="s">
        <v>8</v>
      </c>
      <c r="B41" s="347">
        <v>100.4</v>
      </c>
      <c r="C41" s="345"/>
      <c r="D41" s="345"/>
      <c r="E41" s="345"/>
      <c r="F41" s="345"/>
    </row>
    <row r="42" spans="1:6" ht="16.5" customHeight="1" x14ac:dyDescent="0.3">
      <c r="A42" s="343" t="s">
        <v>10</v>
      </c>
      <c r="B42" s="347">
        <v>16.03</v>
      </c>
      <c r="C42" s="345"/>
      <c r="D42" s="345"/>
      <c r="E42" s="345"/>
      <c r="F42" s="345"/>
    </row>
    <row r="43" spans="1:6" ht="15.75" customHeight="1" x14ac:dyDescent="0.3">
      <c r="A43" s="345"/>
      <c r="B43" s="348">
        <f>16.03/20*4/20</f>
        <v>0.16030000000000003</v>
      </c>
      <c r="C43" s="345"/>
      <c r="D43" s="345"/>
      <c r="E43" s="345"/>
      <c r="F43" s="345"/>
    </row>
    <row r="44" spans="1:6" ht="16.5" customHeight="1" x14ac:dyDescent="0.3">
      <c r="A44" s="349" t="s">
        <v>12</v>
      </c>
      <c r="B44" s="350" t="s">
        <v>13</v>
      </c>
      <c r="C44" s="349" t="s">
        <v>14</v>
      </c>
      <c r="D44" s="349" t="s">
        <v>15</v>
      </c>
      <c r="E44" s="349" t="s">
        <v>138</v>
      </c>
      <c r="F44" s="349" t="s">
        <v>16</v>
      </c>
    </row>
    <row r="45" spans="1:6" ht="16.5" customHeight="1" x14ac:dyDescent="0.3">
      <c r="A45" s="351">
        <v>1</v>
      </c>
      <c r="B45" s="352">
        <v>8908084</v>
      </c>
      <c r="C45" s="352">
        <v>6707.4</v>
      </c>
      <c r="D45" s="353">
        <v>1</v>
      </c>
      <c r="E45" s="353">
        <v>0</v>
      </c>
      <c r="F45" s="354">
        <v>4.2</v>
      </c>
    </row>
    <row r="46" spans="1:6" ht="16.5" customHeight="1" x14ac:dyDescent="0.3">
      <c r="A46" s="351">
        <v>2</v>
      </c>
      <c r="B46" s="352">
        <v>8917100</v>
      </c>
      <c r="C46" s="352">
        <v>6608</v>
      </c>
      <c r="D46" s="353">
        <v>1</v>
      </c>
      <c r="E46" s="353">
        <v>0</v>
      </c>
      <c r="F46" s="353">
        <v>4.2</v>
      </c>
    </row>
    <row r="47" spans="1:6" ht="16.5" customHeight="1" x14ac:dyDescent="0.3">
      <c r="A47" s="351">
        <v>3</v>
      </c>
      <c r="B47" s="352">
        <v>8922833</v>
      </c>
      <c r="C47" s="352">
        <v>6625.3</v>
      </c>
      <c r="D47" s="353">
        <v>1.1000000000000001</v>
      </c>
      <c r="E47" s="353">
        <v>0</v>
      </c>
      <c r="F47" s="353">
        <v>4.2</v>
      </c>
    </row>
    <row r="48" spans="1:6" ht="16.5" customHeight="1" x14ac:dyDescent="0.3">
      <c r="A48" s="351">
        <v>4</v>
      </c>
      <c r="B48" s="352">
        <v>8909196</v>
      </c>
      <c r="C48" s="352">
        <v>6633.7</v>
      </c>
      <c r="D48" s="353">
        <v>1.1000000000000001</v>
      </c>
      <c r="E48" s="353">
        <v>0</v>
      </c>
      <c r="F48" s="353">
        <v>4.2</v>
      </c>
    </row>
    <row r="49" spans="1:8" ht="16.5" customHeight="1" x14ac:dyDescent="0.3">
      <c r="A49" s="351">
        <v>5</v>
      </c>
      <c r="B49" s="352">
        <v>8895607</v>
      </c>
      <c r="C49" s="352">
        <v>6644.3</v>
      </c>
      <c r="D49" s="353">
        <v>1</v>
      </c>
      <c r="E49" s="353">
        <v>0</v>
      </c>
      <c r="F49" s="353">
        <v>4.2</v>
      </c>
    </row>
    <row r="50" spans="1:8" ht="16.5" customHeight="1" x14ac:dyDescent="0.3">
      <c r="A50" s="351">
        <v>6</v>
      </c>
      <c r="B50" s="355">
        <v>8882956</v>
      </c>
      <c r="C50" s="355">
        <v>6544.9</v>
      </c>
      <c r="D50" s="356">
        <v>1.1000000000000001</v>
      </c>
      <c r="E50" s="356">
        <v>0</v>
      </c>
      <c r="F50" s="356">
        <v>4.0999999999999996</v>
      </c>
    </row>
    <row r="51" spans="1:8" ht="16.5" customHeight="1" x14ac:dyDescent="0.3">
      <c r="A51" s="357" t="s">
        <v>17</v>
      </c>
      <c r="B51" s="358">
        <v>8905962.666666666</v>
      </c>
      <c r="C51" s="359">
        <v>6627.2666666666673</v>
      </c>
      <c r="D51" s="360">
        <v>1.1000000000000001</v>
      </c>
      <c r="E51" s="360">
        <v>0</v>
      </c>
      <c r="F51" s="360">
        <v>10.483333333333336</v>
      </c>
    </row>
    <row r="52" spans="1:8" ht="16.5" customHeight="1" x14ac:dyDescent="0.3">
      <c r="A52" s="361" t="s">
        <v>18</v>
      </c>
      <c r="B52" s="362">
        <f>(STDEV(B45:B50)/B51)</f>
        <v>1.6349996352289101E-3</v>
      </c>
      <c r="C52" s="363"/>
      <c r="D52" s="363"/>
      <c r="E52" s="363"/>
      <c r="F52" s="364"/>
    </row>
    <row r="53" spans="1:8" s="338" customFormat="1" ht="16.5" customHeight="1" x14ac:dyDescent="0.3">
      <c r="A53" s="365" t="s">
        <v>19</v>
      </c>
      <c r="B53" s="366">
        <f>COUNT(B45:B50)</f>
        <v>6</v>
      </c>
      <c r="C53" s="367"/>
      <c r="D53" s="368"/>
      <c r="E53" s="368"/>
      <c r="F53" s="369"/>
    </row>
    <row r="54" spans="1:8" s="338" customFormat="1" ht="15.75" customHeight="1" x14ac:dyDescent="0.25">
      <c r="A54" s="345"/>
      <c r="B54" s="345"/>
      <c r="C54" s="345"/>
      <c r="D54" s="345"/>
      <c r="E54" s="345"/>
      <c r="F54" s="345"/>
    </row>
    <row r="55" spans="1:8" s="338" customFormat="1" ht="16.5" customHeight="1" x14ac:dyDescent="0.3">
      <c r="A55" s="346" t="s">
        <v>20</v>
      </c>
      <c r="B55" s="370" t="s">
        <v>21</v>
      </c>
      <c r="C55" s="371"/>
      <c r="D55" s="371"/>
      <c r="E55" s="371"/>
      <c r="F55" s="371"/>
    </row>
    <row r="56" spans="1:8" ht="16.5" customHeight="1" x14ac:dyDescent="0.3">
      <c r="A56" s="346"/>
      <c r="B56" s="370" t="s">
        <v>22</v>
      </c>
      <c r="C56" s="371"/>
      <c r="D56" s="371"/>
      <c r="E56" s="371"/>
      <c r="F56" s="371"/>
    </row>
    <row r="57" spans="1:8" ht="16.5" customHeight="1" x14ac:dyDescent="0.3">
      <c r="A57" s="346"/>
      <c r="B57" s="370" t="s">
        <v>23</v>
      </c>
      <c r="C57" s="371"/>
      <c r="D57" s="371"/>
      <c r="E57" s="371"/>
      <c r="F57" s="371"/>
    </row>
    <row r="58" spans="1:8" ht="14.25" customHeight="1" thickBot="1" x14ac:dyDescent="0.3">
      <c r="A58" s="372"/>
      <c r="B58" s="373" t="s">
        <v>143</v>
      </c>
      <c r="D58" s="374"/>
      <c r="E58" s="375"/>
      <c r="G58" s="376"/>
      <c r="H58" s="376"/>
    </row>
    <row r="59" spans="1:8" ht="15" customHeight="1" x14ac:dyDescent="0.3">
      <c r="B59" s="377" t="s">
        <v>25</v>
      </c>
      <c r="C59" s="377"/>
      <c r="F59" s="378" t="s">
        <v>26</v>
      </c>
      <c r="G59" s="379"/>
      <c r="H59" s="378" t="s">
        <v>27</v>
      </c>
    </row>
    <row r="60" spans="1:8" ht="15" customHeight="1" x14ac:dyDescent="0.3">
      <c r="A60" s="380" t="s">
        <v>28</v>
      </c>
      <c r="B60" s="381" t="s">
        <v>144</v>
      </c>
      <c r="C60" s="381"/>
      <c r="F60" s="382">
        <v>42711</v>
      </c>
      <c r="H60" s="381"/>
    </row>
    <row r="61" spans="1:8" ht="15" customHeight="1" x14ac:dyDescent="0.3">
      <c r="A61" s="380" t="s">
        <v>29</v>
      </c>
      <c r="B61" s="383"/>
      <c r="C61" s="383"/>
      <c r="F61" s="383"/>
      <c r="H61" s="384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16" workbookViewId="0">
      <selection activeCell="B28" sqref="B28"/>
    </sheetView>
  </sheetViews>
  <sheetFormatPr defaultRowHeight="13.5" x14ac:dyDescent="0.25"/>
  <cols>
    <col min="1" max="1" width="27.5703125" style="338" customWidth="1"/>
    <col min="2" max="2" width="20.42578125" style="338" customWidth="1"/>
    <col min="3" max="3" width="31.85546875" style="338" customWidth="1"/>
    <col min="4" max="5" width="25.85546875" style="338" customWidth="1"/>
    <col min="6" max="6" width="25.7109375" style="338" customWidth="1"/>
    <col min="7" max="7" width="23.140625" style="338" customWidth="1"/>
    <col min="8" max="8" width="28.42578125" style="338" customWidth="1"/>
    <col min="9" max="9" width="21.5703125" style="338" customWidth="1"/>
    <col min="10" max="10" width="9.140625" style="338" customWidth="1"/>
    <col min="11" max="16384" width="9.140625" style="376"/>
  </cols>
  <sheetData>
    <row r="14" spans="1:7" ht="15" customHeight="1" x14ac:dyDescent="0.3">
      <c r="A14" s="337"/>
      <c r="C14" s="339"/>
      <c r="G14" s="339"/>
    </row>
    <row r="15" spans="1:7" ht="18.75" customHeight="1" x14ac:dyDescent="0.3">
      <c r="A15" s="340" t="s">
        <v>0</v>
      </c>
      <c r="B15" s="340"/>
      <c r="C15" s="340"/>
      <c r="D15" s="340"/>
      <c r="E15" s="340"/>
      <c r="F15" s="340"/>
    </row>
    <row r="16" spans="1:7" ht="16.5" customHeight="1" x14ac:dyDescent="0.3">
      <c r="A16" s="341" t="s">
        <v>1</v>
      </c>
      <c r="B16" s="342" t="s">
        <v>2</v>
      </c>
    </row>
    <row r="17" spans="1:6" ht="16.5" customHeight="1" x14ac:dyDescent="0.3">
      <c r="A17" s="343" t="s">
        <v>3</v>
      </c>
      <c r="B17" s="343" t="s">
        <v>136</v>
      </c>
      <c r="D17" s="344"/>
      <c r="E17" s="344"/>
      <c r="F17" s="345"/>
    </row>
    <row r="18" spans="1:6" ht="16.5" customHeight="1" x14ac:dyDescent="0.3">
      <c r="A18" s="346" t="s">
        <v>4</v>
      </c>
      <c r="B18" s="343" t="s">
        <v>145</v>
      </c>
      <c r="C18" s="345"/>
      <c r="D18" s="345"/>
      <c r="E18" s="345"/>
      <c r="F18" s="345"/>
    </row>
    <row r="19" spans="1:6" ht="16.5" customHeight="1" x14ac:dyDescent="0.3">
      <c r="A19" s="346" t="s">
        <v>6</v>
      </c>
      <c r="B19" s="347">
        <v>99.4</v>
      </c>
      <c r="C19" s="345"/>
      <c r="D19" s="345"/>
      <c r="E19" s="345"/>
      <c r="F19" s="345"/>
    </row>
    <row r="20" spans="1:6" ht="16.5" customHeight="1" x14ac:dyDescent="0.3">
      <c r="A20" s="343" t="s">
        <v>8</v>
      </c>
      <c r="B20" s="347">
        <v>28.13</v>
      </c>
      <c r="C20" s="345"/>
      <c r="D20" s="345"/>
      <c r="E20" s="345"/>
      <c r="F20" s="345"/>
    </row>
    <row r="21" spans="1:6" ht="16.5" customHeight="1" x14ac:dyDescent="0.3">
      <c r="A21" s="343" t="s">
        <v>10</v>
      </c>
      <c r="B21" s="348">
        <f>28.13/20*4/20</f>
        <v>0.28129999999999999</v>
      </c>
      <c r="C21" s="345"/>
      <c r="D21" s="345"/>
      <c r="E21" s="345"/>
      <c r="F21" s="345"/>
    </row>
    <row r="22" spans="1:6" ht="15.75" customHeight="1" x14ac:dyDescent="0.25">
      <c r="A22" s="345"/>
      <c r="B22" s="345"/>
      <c r="C22" s="345"/>
      <c r="D22" s="345"/>
      <c r="E22" s="345"/>
      <c r="F22" s="345"/>
    </row>
    <row r="23" spans="1:6" ht="16.5" customHeight="1" x14ac:dyDescent="0.3">
      <c r="A23" s="349" t="s">
        <v>12</v>
      </c>
      <c r="B23" s="350" t="s">
        <v>13</v>
      </c>
      <c r="C23" s="349" t="s">
        <v>14</v>
      </c>
      <c r="D23" s="349" t="s">
        <v>15</v>
      </c>
      <c r="E23" s="349" t="s">
        <v>138</v>
      </c>
      <c r="F23" s="349" t="s">
        <v>16</v>
      </c>
    </row>
    <row r="24" spans="1:6" ht="16.5" customHeight="1" x14ac:dyDescent="0.3">
      <c r="A24" s="351">
        <v>1</v>
      </c>
      <c r="B24" s="352">
        <v>17922201</v>
      </c>
      <c r="C24" s="352">
        <v>10137.4</v>
      </c>
      <c r="D24" s="353">
        <v>1.1000000000000001</v>
      </c>
      <c r="E24" s="353">
        <v>12.6</v>
      </c>
      <c r="F24" s="354">
        <v>7.3</v>
      </c>
    </row>
    <row r="25" spans="1:6" ht="16.5" customHeight="1" x14ac:dyDescent="0.3">
      <c r="A25" s="351">
        <v>2</v>
      </c>
      <c r="B25" s="352">
        <v>17983595</v>
      </c>
      <c r="C25" s="352">
        <v>9959.4</v>
      </c>
      <c r="D25" s="353">
        <v>1.1000000000000001</v>
      </c>
      <c r="E25" s="353">
        <v>12.5</v>
      </c>
      <c r="F25" s="353">
        <v>7.3</v>
      </c>
    </row>
    <row r="26" spans="1:6" ht="16.5" customHeight="1" x14ac:dyDescent="0.3">
      <c r="A26" s="351">
        <v>3</v>
      </c>
      <c r="B26" s="352">
        <v>17952198</v>
      </c>
      <c r="C26" s="352">
        <v>10045.9</v>
      </c>
      <c r="D26" s="353">
        <v>1.1000000000000001</v>
      </c>
      <c r="E26" s="353">
        <v>12.5</v>
      </c>
      <c r="F26" s="353">
        <v>7.3</v>
      </c>
    </row>
    <row r="27" spans="1:6" ht="16.5" customHeight="1" x14ac:dyDescent="0.3">
      <c r="A27" s="351">
        <v>4</v>
      </c>
      <c r="B27" s="352">
        <v>17911974</v>
      </c>
      <c r="C27" s="352">
        <v>10018.6</v>
      </c>
      <c r="D27" s="353">
        <v>1</v>
      </c>
      <c r="E27" s="353">
        <v>12.5</v>
      </c>
      <c r="F27" s="353">
        <v>7.3</v>
      </c>
    </row>
    <row r="28" spans="1:6" ht="16.5" customHeight="1" x14ac:dyDescent="0.3">
      <c r="A28" s="351">
        <v>5</v>
      </c>
      <c r="B28" s="352">
        <v>17916993</v>
      </c>
      <c r="C28" s="352">
        <v>10043.5</v>
      </c>
      <c r="D28" s="353">
        <v>1</v>
      </c>
      <c r="E28" s="353">
        <v>12.5</v>
      </c>
      <c r="F28" s="353">
        <v>7.3</v>
      </c>
    </row>
    <row r="29" spans="1:6" ht="16.5" customHeight="1" x14ac:dyDescent="0.3">
      <c r="A29" s="351">
        <v>6</v>
      </c>
      <c r="B29" s="355">
        <v>17911672</v>
      </c>
      <c r="C29" s="355">
        <v>9976.6</v>
      </c>
      <c r="D29" s="356">
        <v>1.1000000000000001</v>
      </c>
      <c r="E29" s="356">
        <v>12.5</v>
      </c>
      <c r="F29" s="356">
        <v>7.2</v>
      </c>
    </row>
    <row r="30" spans="1:6" ht="16.5" customHeight="1" x14ac:dyDescent="0.3">
      <c r="A30" s="357" t="s">
        <v>17</v>
      </c>
      <c r="B30" s="358">
        <f>AVERAGE(B24:B29)</f>
        <v>17933105.5</v>
      </c>
      <c r="C30" s="359">
        <f>AVERAGE(C24:C29)</f>
        <v>10030.233333333332</v>
      </c>
      <c r="D30" s="360">
        <v>1.1000000000000001</v>
      </c>
      <c r="E30" s="360">
        <v>12.5</v>
      </c>
      <c r="F30" s="360">
        <f>AVERAGE(F24:F29)</f>
        <v>7.2833333333333341</v>
      </c>
    </row>
    <row r="31" spans="1:6" ht="16.5" customHeight="1" x14ac:dyDescent="0.3">
      <c r="A31" s="361" t="s">
        <v>18</v>
      </c>
      <c r="B31" s="362">
        <f>(STDEV(B24:B29)/B30)</f>
        <v>1.615806910690417E-3</v>
      </c>
      <c r="C31" s="363"/>
      <c r="D31" s="363"/>
      <c r="E31" s="363"/>
      <c r="F31" s="364"/>
    </row>
    <row r="32" spans="1:6" s="338" customFormat="1" ht="16.5" customHeight="1" x14ac:dyDescent="0.3">
      <c r="A32" s="365" t="s">
        <v>19</v>
      </c>
      <c r="B32" s="366">
        <f>COUNT(B24:B29)</f>
        <v>6</v>
      </c>
      <c r="C32" s="367"/>
      <c r="D32" s="368"/>
      <c r="E32" s="368"/>
      <c r="F32" s="369"/>
    </row>
    <row r="33" spans="1:6" s="338" customFormat="1" ht="15.75" customHeight="1" x14ac:dyDescent="0.25">
      <c r="A33" s="345"/>
      <c r="B33" s="345"/>
      <c r="C33" s="345"/>
      <c r="D33" s="345"/>
      <c r="E33" s="345"/>
      <c r="F33" s="345"/>
    </row>
    <row r="34" spans="1:6" s="338" customFormat="1" ht="16.5" customHeight="1" x14ac:dyDescent="0.3">
      <c r="A34" s="346" t="s">
        <v>20</v>
      </c>
      <c r="B34" s="370" t="s">
        <v>21</v>
      </c>
      <c r="C34" s="371"/>
      <c r="D34" s="371"/>
      <c r="E34" s="371"/>
      <c r="F34" s="371"/>
    </row>
    <row r="35" spans="1:6" ht="16.5" customHeight="1" x14ac:dyDescent="0.3">
      <c r="A35" s="346"/>
      <c r="B35" s="370" t="s">
        <v>139</v>
      </c>
      <c r="C35" s="371"/>
      <c r="D35" s="371"/>
      <c r="E35" s="371"/>
      <c r="F35" s="371"/>
    </row>
    <row r="36" spans="1:6" ht="16.5" customHeight="1" x14ac:dyDescent="0.3">
      <c r="A36" s="346"/>
      <c r="B36" s="370" t="s">
        <v>140</v>
      </c>
      <c r="C36" s="371"/>
      <c r="D36" s="371"/>
      <c r="E36" s="371"/>
      <c r="F36" s="371"/>
    </row>
    <row r="37" spans="1:6" ht="15.75" customHeight="1" x14ac:dyDescent="0.25">
      <c r="A37" s="345"/>
      <c r="B37" s="345" t="s">
        <v>141</v>
      </c>
      <c r="C37" s="345"/>
      <c r="D37" s="345"/>
      <c r="E37" s="345"/>
      <c r="F37" s="345"/>
    </row>
    <row r="38" spans="1:6" ht="16.5" customHeight="1" x14ac:dyDescent="0.3">
      <c r="A38" s="341" t="s">
        <v>1</v>
      </c>
      <c r="B38" s="342" t="s">
        <v>24</v>
      </c>
    </row>
    <row r="39" spans="1:6" ht="16.5" customHeight="1" x14ac:dyDescent="0.3">
      <c r="A39" s="346" t="s">
        <v>4</v>
      </c>
      <c r="B39" s="343" t="s">
        <v>136</v>
      </c>
      <c r="C39" s="345"/>
      <c r="D39" s="345"/>
      <c r="E39" s="345"/>
      <c r="F39" s="345"/>
    </row>
    <row r="40" spans="1:6" ht="16.5" customHeight="1" x14ac:dyDescent="0.3">
      <c r="A40" s="346" t="s">
        <v>6</v>
      </c>
      <c r="B40" s="343" t="s">
        <v>145</v>
      </c>
      <c r="C40" s="345"/>
      <c r="D40" s="345"/>
      <c r="E40" s="345"/>
      <c r="F40" s="345"/>
    </row>
    <row r="41" spans="1:6" ht="16.5" customHeight="1" x14ac:dyDescent="0.3">
      <c r="A41" s="343" t="s">
        <v>8</v>
      </c>
      <c r="B41" s="347">
        <v>99.4</v>
      </c>
      <c r="C41" s="345"/>
      <c r="D41" s="345"/>
      <c r="E41" s="345"/>
      <c r="F41" s="345"/>
    </row>
    <row r="42" spans="1:6" ht="16.5" customHeight="1" x14ac:dyDescent="0.3">
      <c r="A42" s="343" t="s">
        <v>10</v>
      </c>
      <c r="B42" s="347">
        <v>28.13</v>
      </c>
      <c r="C42" s="345"/>
      <c r="D42" s="345"/>
      <c r="E42" s="345"/>
      <c r="F42" s="345"/>
    </row>
    <row r="43" spans="1:6" ht="15.75" customHeight="1" x14ac:dyDescent="0.3">
      <c r="A43" s="345"/>
      <c r="B43" s="348">
        <f>28.13/20*4/20</f>
        <v>0.28129999999999999</v>
      </c>
      <c r="C43" s="345"/>
      <c r="D43" s="345"/>
      <c r="E43" s="345"/>
      <c r="F43" s="345"/>
    </row>
    <row r="44" spans="1:6" ht="16.5" customHeight="1" x14ac:dyDescent="0.3">
      <c r="A44" s="349" t="s">
        <v>12</v>
      </c>
      <c r="B44" s="350" t="s">
        <v>13</v>
      </c>
      <c r="C44" s="349" t="s">
        <v>14</v>
      </c>
      <c r="D44" s="349" t="s">
        <v>15</v>
      </c>
      <c r="E44" s="349"/>
      <c r="F44" s="349" t="s">
        <v>16</v>
      </c>
    </row>
    <row r="45" spans="1:6" ht="16.5" customHeight="1" x14ac:dyDescent="0.3">
      <c r="A45" s="351">
        <v>1</v>
      </c>
      <c r="B45" s="352">
        <v>17922201</v>
      </c>
      <c r="C45" s="352">
        <v>10137.4</v>
      </c>
      <c r="D45" s="353">
        <v>1.1000000000000001</v>
      </c>
      <c r="E45" s="353">
        <v>12.6</v>
      </c>
      <c r="F45" s="354">
        <v>7.3</v>
      </c>
    </row>
    <row r="46" spans="1:6" ht="16.5" customHeight="1" x14ac:dyDescent="0.3">
      <c r="A46" s="351">
        <v>2</v>
      </c>
      <c r="B46" s="352">
        <v>17983595</v>
      </c>
      <c r="C46" s="352">
        <v>9959.4</v>
      </c>
      <c r="D46" s="353">
        <v>1.1000000000000001</v>
      </c>
      <c r="E46" s="353">
        <v>12.5</v>
      </c>
      <c r="F46" s="353">
        <v>7.3</v>
      </c>
    </row>
    <row r="47" spans="1:6" ht="16.5" customHeight="1" x14ac:dyDescent="0.3">
      <c r="A47" s="351">
        <v>3</v>
      </c>
      <c r="B47" s="352">
        <v>17952198</v>
      </c>
      <c r="C47" s="352">
        <v>10045.9</v>
      </c>
      <c r="D47" s="353">
        <v>1.1000000000000001</v>
      </c>
      <c r="E47" s="353">
        <v>12.5</v>
      </c>
      <c r="F47" s="353">
        <v>7.3</v>
      </c>
    </row>
    <row r="48" spans="1:6" ht="16.5" customHeight="1" x14ac:dyDescent="0.3">
      <c r="A48" s="351">
        <v>4</v>
      </c>
      <c r="B48" s="352">
        <v>17911974</v>
      </c>
      <c r="C48" s="352">
        <v>10018.6</v>
      </c>
      <c r="D48" s="353">
        <v>1</v>
      </c>
      <c r="E48" s="353">
        <v>12.5</v>
      </c>
      <c r="F48" s="353">
        <v>7.3</v>
      </c>
    </row>
    <row r="49" spans="1:8" ht="16.5" customHeight="1" x14ac:dyDescent="0.3">
      <c r="A49" s="351">
        <v>5</v>
      </c>
      <c r="B49" s="352">
        <v>17916993</v>
      </c>
      <c r="C49" s="352">
        <v>10043.5</v>
      </c>
      <c r="D49" s="353">
        <v>1</v>
      </c>
      <c r="E49" s="353">
        <v>12.5</v>
      </c>
      <c r="F49" s="353">
        <v>7.3</v>
      </c>
    </row>
    <row r="50" spans="1:8" ht="16.5" customHeight="1" x14ac:dyDescent="0.3">
      <c r="A50" s="351">
        <v>6</v>
      </c>
      <c r="B50" s="355">
        <v>17911672</v>
      </c>
      <c r="C50" s="355">
        <v>9976.6</v>
      </c>
      <c r="D50" s="356">
        <v>1.1000000000000001</v>
      </c>
      <c r="E50" s="356">
        <v>12.5</v>
      </c>
      <c r="F50" s="356">
        <v>7.2</v>
      </c>
    </row>
    <row r="51" spans="1:8" ht="16.5" customHeight="1" x14ac:dyDescent="0.3">
      <c r="A51" s="357" t="s">
        <v>17</v>
      </c>
      <c r="B51" s="358">
        <f>AVERAGE(B45:B50)</f>
        <v>17933105.5</v>
      </c>
      <c r="C51" s="359">
        <f>AVERAGE(C45:C50)</f>
        <v>10030.233333333332</v>
      </c>
      <c r="D51" s="360">
        <f>AVERAGE(D45:D50)</f>
        <v>1.0666666666666667</v>
      </c>
      <c r="E51" s="360"/>
      <c r="F51" s="360">
        <f>AVERAGE(F45:F50)</f>
        <v>7.2833333333333341</v>
      </c>
    </row>
    <row r="52" spans="1:8" ht="16.5" customHeight="1" x14ac:dyDescent="0.3">
      <c r="A52" s="361" t="s">
        <v>18</v>
      </c>
      <c r="B52" s="362">
        <f>(STDEV(B45:B50)/B51)</f>
        <v>1.615806910690417E-3</v>
      </c>
      <c r="C52" s="363"/>
      <c r="D52" s="363"/>
      <c r="E52" s="363"/>
      <c r="F52" s="364"/>
    </row>
    <row r="53" spans="1:8" s="338" customFormat="1" ht="16.5" customHeight="1" x14ac:dyDescent="0.3">
      <c r="A53" s="365" t="s">
        <v>19</v>
      </c>
      <c r="B53" s="366">
        <f>COUNT(B45:B50)</f>
        <v>6</v>
      </c>
      <c r="C53" s="367"/>
      <c r="D53" s="368"/>
      <c r="E53" s="368"/>
      <c r="F53" s="369"/>
    </row>
    <row r="54" spans="1:8" s="338" customFormat="1" ht="15.75" customHeight="1" x14ac:dyDescent="0.25">
      <c r="A54" s="345"/>
      <c r="B54" s="345"/>
      <c r="C54" s="345"/>
      <c r="D54" s="345"/>
      <c r="E54" s="345"/>
      <c r="F54" s="345"/>
    </row>
    <row r="55" spans="1:8" s="338" customFormat="1" ht="16.5" customHeight="1" x14ac:dyDescent="0.3">
      <c r="A55" s="346" t="s">
        <v>20</v>
      </c>
      <c r="B55" s="370" t="s">
        <v>21</v>
      </c>
      <c r="C55" s="371"/>
      <c r="D55" s="371"/>
      <c r="E55" s="371"/>
      <c r="F55" s="371"/>
    </row>
    <row r="56" spans="1:8" ht="16.5" customHeight="1" x14ac:dyDescent="0.3">
      <c r="A56" s="346"/>
      <c r="B56" s="370" t="s">
        <v>22</v>
      </c>
      <c r="C56" s="371"/>
      <c r="D56" s="371"/>
      <c r="E56" s="371"/>
      <c r="F56" s="371"/>
    </row>
    <row r="57" spans="1:8" ht="16.5" customHeight="1" x14ac:dyDescent="0.3">
      <c r="A57" s="346"/>
      <c r="B57" s="370" t="s">
        <v>23</v>
      </c>
      <c r="C57" s="371"/>
      <c r="D57" s="371"/>
      <c r="E57" s="371"/>
      <c r="F57" s="371"/>
    </row>
    <row r="58" spans="1:8" ht="14.25" customHeight="1" thickBot="1" x14ac:dyDescent="0.3">
      <c r="A58" s="372"/>
      <c r="B58" s="373" t="s">
        <v>143</v>
      </c>
      <c r="D58" s="374"/>
      <c r="E58" s="375"/>
      <c r="G58" s="376"/>
      <c r="H58" s="376"/>
    </row>
    <row r="59" spans="1:8" ht="15" customHeight="1" x14ac:dyDescent="0.3">
      <c r="B59" s="377" t="s">
        <v>25</v>
      </c>
      <c r="C59" s="377"/>
      <c r="F59" s="378" t="s">
        <v>26</v>
      </c>
      <c r="G59" s="379"/>
      <c r="H59" s="378" t="s">
        <v>27</v>
      </c>
    </row>
    <row r="60" spans="1:8" ht="15" customHeight="1" x14ac:dyDescent="0.3">
      <c r="A60" s="380" t="s">
        <v>28</v>
      </c>
      <c r="B60" s="381" t="s">
        <v>144</v>
      </c>
      <c r="C60" s="381"/>
      <c r="F60" s="382">
        <v>42711</v>
      </c>
      <c r="H60" s="381"/>
    </row>
    <row r="61" spans="1:8" ht="15" customHeight="1" x14ac:dyDescent="0.3">
      <c r="A61" s="380" t="s">
        <v>29</v>
      </c>
      <c r="B61" s="383"/>
      <c r="C61" s="383"/>
      <c r="F61" s="383"/>
      <c r="H61" s="384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1" workbookViewId="0">
      <selection activeCell="B28" sqref="B28"/>
    </sheetView>
  </sheetViews>
  <sheetFormatPr defaultRowHeight="15" x14ac:dyDescent="0.3"/>
  <cols>
    <col min="1" max="1" width="15.5703125" style="337" customWidth="1"/>
    <col min="2" max="2" width="18.42578125" style="337" customWidth="1"/>
    <col min="3" max="3" width="14.28515625" style="337" customWidth="1"/>
    <col min="4" max="4" width="15" style="337" customWidth="1"/>
    <col min="5" max="5" width="9.140625" style="337" customWidth="1"/>
    <col min="6" max="6" width="27.85546875" style="337" customWidth="1"/>
    <col min="7" max="7" width="12.28515625" style="337" customWidth="1"/>
    <col min="8" max="8" width="9.140625" style="337" customWidth="1"/>
    <col min="9" max="16384" width="9.140625" style="376"/>
  </cols>
  <sheetData>
    <row r="10" spans="1:7" ht="13.5" customHeight="1" thickBot="1" x14ac:dyDescent="0.35"/>
    <row r="11" spans="1:7" ht="13.5" customHeight="1" thickBot="1" x14ac:dyDescent="0.35">
      <c r="A11" s="385" t="s">
        <v>30</v>
      </c>
      <c r="B11" s="386"/>
      <c r="C11" s="386"/>
      <c r="D11" s="386"/>
      <c r="E11" s="386"/>
      <c r="F11" s="387"/>
      <c r="G11" s="388"/>
    </row>
    <row r="12" spans="1:7" ht="16.5" customHeight="1" x14ac:dyDescent="0.3">
      <c r="A12" s="389" t="s">
        <v>31</v>
      </c>
      <c r="B12" s="389"/>
      <c r="C12" s="389"/>
      <c r="D12" s="389"/>
      <c r="E12" s="389"/>
      <c r="F12" s="389"/>
      <c r="G12" s="341"/>
    </row>
    <row r="14" spans="1:7" ht="16.5" customHeight="1" x14ac:dyDescent="0.3">
      <c r="A14" s="390" t="s">
        <v>32</v>
      </c>
      <c r="B14" s="390"/>
      <c r="C14" s="345" t="s">
        <v>5</v>
      </c>
    </row>
    <row r="15" spans="1:7" ht="16.5" customHeight="1" x14ac:dyDescent="0.3">
      <c r="A15" s="390" t="s">
        <v>33</v>
      </c>
      <c r="B15" s="390"/>
      <c r="C15" s="345" t="s">
        <v>146</v>
      </c>
    </row>
    <row r="16" spans="1:7" ht="16.5" customHeight="1" x14ac:dyDescent="0.3">
      <c r="A16" s="390" t="s">
        <v>34</v>
      </c>
      <c r="B16" s="390"/>
      <c r="C16" s="345" t="s">
        <v>9</v>
      </c>
    </row>
    <row r="17" spans="1:5" ht="16.5" customHeight="1" x14ac:dyDescent="0.3">
      <c r="A17" s="390" t="s">
        <v>35</v>
      </c>
      <c r="B17" s="390"/>
      <c r="C17" s="345" t="s">
        <v>9</v>
      </c>
    </row>
    <row r="18" spans="1:5" ht="16.5" customHeight="1" x14ac:dyDescent="0.3">
      <c r="A18" s="390" t="s">
        <v>36</v>
      </c>
      <c r="B18" s="390"/>
      <c r="C18" s="391" t="s">
        <v>147</v>
      </c>
    </row>
    <row r="19" spans="1:5" ht="16.5" customHeight="1" x14ac:dyDescent="0.3">
      <c r="A19" s="390" t="s">
        <v>37</v>
      </c>
      <c r="B19" s="390"/>
      <c r="C19" s="391" t="e">
        <f>#REF!</f>
        <v>#REF!</v>
      </c>
    </row>
    <row r="20" spans="1:5" ht="16.5" customHeight="1" x14ac:dyDescent="0.3">
      <c r="A20" s="392"/>
      <c r="B20" s="392"/>
      <c r="C20" s="393"/>
    </row>
    <row r="21" spans="1:5" ht="16.5" customHeight="1" x14ac:dyDescent="0.3">
      <c r="A21" s="389" t="s">
        <v>1</v>
      </c>
      <c r="B21" s="389"/>
      <c r="C21" s="342" t="s">
        <v>38</v>
      </c>
      <c r="D21" s="394"/>
    </row>
    <row r="22" spans="1:5" ht="15.75" customHeight="1" thickBot="1" x14ac:dyDescent="0.35">
      <c r="A22" s="395"/>
      <c r="B22" s="395"/>
      <c r="C22" s="396"/>
      <c r="D22" s="395"/>
      <c r="E22" s="395"/>
    </row>
    <row r="23" spans="1:5" ht="33.75" customHeight="1" thickBot="1" x14ac:dyDescent="0.35">
      <c r="C23" s="397" t="s">
        <v>39</v>
      </c>
      <c r="D23" s="398" t="s">
        <v>40</v>
      </c>
      <c r="E23" s="373"/>
    </row>
    <row r="24" spans="1:5" ht="15.75" customHeight="1" x14ac:dyDescent="0.3">
      <c r="C24" s="399">
        <v>160.26</v>
      </c>
      <c r="D24" s="400">
        <f t="shared" ref="D24:D43" si="0">(C24-$C$46)/$C$46</f>
        <v>-5.4568982990071989E-4</v>
      </c>
      <c r="E24" s="401"/>
    </row>
    <row r="25" spans="1:5" ht="15.75" customHeight="1" x14ac:dyDescent="0.3">
      <c r="C25" s="399">
        <v>160.18</v>
      </c>
      <c r="D25" s="402">
        <f t="shared" si="0"/>
        <v>-1.0446062458098178E-3</v>
      </c>
      <c r="E25" s="401"/>
    </row>
    <row r="26" spans="1:5" ht="15.75" customHeight="1" x14ac:dyDescent="0.3">
      <c r="C26" s="399">
        <v>160.32</v>
      </c>
      <c r="D26" s="402">
        <f t="shared" si="0"/>
        <v>-1.7150251796880782E-4</v>
      </c>
      <c r="E26" s="401"/>
    </row>
    <row r="27" spans="1:5" ht="15.75" customHeight="1" x14ac:dyDescent="0.3">
      <c r="C27" s="399">
        <v>159.61000000000001</v>
      </c>
      <c r="D27" s="402">
        <f t="shared" si="0"/>
        <v>-4.5993857091628058E-3</v>
      </c>
      <c r="E27" s="401"/>
    </row>
    <row r="28" spans="1:5" ht="15.75" customHeight="1" x14ac:dyDescent="0.3">
      <c r="C28" s="399">
        <v>159.69</v>
      </c>
      <c r="D28" s="402">
        <f t="shared" si="0"/>
        <v>-4.1004692932537076E-3</v>
      </c>
      <c r="E28" s="401"/>
    </row>
    <row r="29" spans="1:5" ht="15.75" customHeight="1" x14ac:dyDescent="0.3">
      <c r="C29" s="399">
        <v>159.31</v>
      </c>
      <c r="D29" s="402">
        <f t="shared" si="0"/>
        <v>-6.470322268822366E-3</v>
      </c>
      <c r="E29" s="401"/>
    </row>
    <row r="30" spans="1:5" ht="15.75" customHeight="1" x14ac:dyDescent="0.3">
      <c r="C30" s="399">
        <v>161.27000000000001</v>
      </c>
      <c r="D30" s="402">
        <f t="shared" si="0"/>
        <v>5.7531299209530153E-3</v>
      </c>
      <c r="E30" s="401"/>
    </row>
    <row r="31" spans="1:5" ht="15.75" customHeight="1" x14ac:dyDescent="0.3">
      <c r="C31" s="399">
        <v>160.86000000000001</v>
      </c>
      <c r="D31" s="402">
        <f t="shared" si="0"/>
        <v>3.1961832894184011E-3</v>
      </c>
      <c r="E31" s="401"/>
    </row>
    <row r="32" spans="1:5" ht="15.75" customHeight="1" x14ac:dyDescent="0.3">
      <c r="C32" s="399">
        <v>160.28</v>
      </c>
      <c r="D32" s="402">
        <f t="shared" si="0"/>
        <v>-4.2096072592335681E-4</v>
      </c>
      <c r="E32" s="401"/>
    </row>
    <row r="33" spans="1:7" ht="15.75" customHeight="1" x14ac:dyDescent="0.3">
      <c r="C33" s="399">
        <v>160.26</v>
      </c>
      <c r="D33" s="402">
        <f t="shared" si="0"/>
        <v>-5.4568982990071989E-4</v>
      </c>
      <c r="E33" s="401"/>
    </row>
    <row r="34" spans="1:7" ht="15.75" customHeight="1" x14ac:dyDescent="0.3">
      <c r="C34" s="399">
        <v>161.5</v>
      </c>
      <c r="D34" s="402">
        <f t="shared" si="0"/>
        <v>7.1875146166918936E-3</v>
      </c>
      <c r="E34" s="401"/>
    </row>
    <row r="35" spans="1:7" ht="15.75" customHeight="1" x14ac:dyDescent="0.3">
      <c r="C35" s="399">
        <v>160.54</v>
      </c>
      <c r="D35" s="402">
        <f t="shared" si="0"/>
        <v>1.2005176257814775E-3</v>
      </c>
      <c r="E35" s="401"/>
    </row>
    <row r="36" spans="1:7" ht="15.75" customHeight="1" x14ac:dyDescent="0.3">
      <c r="C36" s="399">
        <v>161.5</v>
      </c>
      <c r="D36" s="402">
        <f t="shared" si="0"/>
        <v>7.1875146166918936E-3</v>
      </c>
      <c r="E36" s="401"/>
    </row>
    <row r="37" spans="1:7" ht="15.75" customHeight="1" x14ac:dyDescent="0.3">
      <c r="C37" s="399">
        <v>156.75</v>
      </c>
      <c r="D37" s="402">
        <f t="shared" si="0"/>
        <v>-2.243564757791669E-2</v>
      </c>
      <c r="E37" s="401"/>
    </row>
    <row r="38" spans="1:7" ht="15.75" customHeight="1" x14ac:dyDescent="0.3">
      <c r="C38" s="399">
        <v>158.78</v>
      </c>
      <c r="D38" s="402">
        <f t="shared" si="0"/>
        <v>-9.7756435242208044E-3</v>
      </c>
      <c r="E38" s="401"/>
    </row>
    <row r="39" spans="1:7" ht="15.75" customHeight="1" x14ac:dyDescent="0.3">
      <c r="C39" s="399">
        <v>161.22999999999999</v>
      </c>
      <c r="D39" s="402">
        <f t="shared" si="0"/>
        <v>5.5036717129982897E-3</v>
      </c>
      <c r="E39" s="401"/>
    </row>
    <row r="40" spans="1:7" ht="15.75" customHeight="1" x14ac:dyDescent="0.3">
      <c r="C40" s="399">
        <v>162.1</v>
      </c>
      <c r="D40" s="402">
        <f t="shared" si="0"/>
        <v>1.0929387736010838E-2</v>
      </c>
      <c r="E40" s="401"/>
    </row>
    <row r="41" spans="1:7" ht="15.75" customHeight="1" x14ac:dyDescent="0.3">
      <c r="C41" s="399">
        <v>159.72</v>
      </c>
      <c r="D41" s="402">
        <f t="shared" si="0"/>
        <v>-3.9133756372877514E-3</v>
      </c>
      <c r="E41" s="401"/>
    </row>
    <row r="42" spans="1:7" ht="15.75" customHeight="1" x14ac:dyDescent="0.3">
      <c r="C42" s="399">
        <v>162.38999999999999</v>
      </c>
      <c r="D42" s="402">
        <f t="shared" si="0"/>
        <v>1.2737959743681629E-2</v>
      </c>
      <c r="E42" s="401"/>
    </row>
    <row r="43" spans="1:7" ht="16.5" customHeight="1" thickBot="1" x14ac:dyDescent="0.35">
      <c r="C43" s="403">
        <v>160.4</v>
      </c>
      <c r="D43" s="404">
        <f t="shared" si="0"/>
        <v>3.274138979404674E-4</v>
      </c>
      <c r="E43" s="401"/>
    </row>
    <row r="44" spans="1:7" ht="16.5" customHeight="1" thickBot="1" x14ac:dyDescent="0.35">
      <c r="C44" s="405"/>
      <c r="D44" s="401"/>
      <c r="E44" s="406"/>
    </row>
    <row r="45" spans="1:7" ht="16.5" customHeight="1" thickBot="1" x14ac:dyDescent="0.35">
      <c r="B45" s="407" t="s">
        <v>41</v>
      </c>
      <c r="C45" s="408">
        <f>SUM(C24:C44)</f>
        <v>3206.95</v>
      </c>
      <c r="D45" s="409"/>
      <c r="E45" s="405"/>
    </row>
    <row r="46" spans="1:7" ht="17.25" customHeight="1" thickBot="1" x14ac:dyDescent="0.35">
      <c r="B46" s="407" t="s">
        <v>42</v>
      </c>
      <c r="C46" s="410">
        <f>AVERAGE(C24:C44)</f>
        <v>160.3475</v>
      </c>
      <c r="E46" s="411"/>
    </row>
    <row r="47" spans="1:7" ht="17.25" customHeight="1" thickBot="1" x14ac:dyDescent="0.35">
      <c r="A47" s="345"/>
      <c r="B47" s="412"/>
      <c r="D47" s="413"/>
      <c r="E47" s="411"/>
    </row>
    <row r="48" spans="1:7" ht="33.75" customHeight="1" thickBot="1" x14ac:dyDescent="0.35">
      <c r="B48" s="414" t="s">
        <v>42</v>
      </c>
      <c r="C48" s="398" t="s">
        <v>43</v>
      </c>
      <c r="D48" s="415"/>
      <c r="G48" s="413"/>
    </row>
    <row r="49" spans="1:6" ht="17.25" customHeight="1" thickBot="1" x14ac:dyDescent="0.35">
      <c r="B49" s="416">
        <f>C46</f>
        <v>160.3475</v>
      </c>
      <c r="C49" s="417">
        <f>-IF(C46&lt;=80,10%,IF(C46&lt;250,7.5%,5%))</f>
        <v>-7.4999999999999997E-2</v>
      </c>
      <c r="D49" s="418">
        <f>IF(C46&lt;=80,C46*0.9,IF(C46&lt;250,C46*0.925,C46*0.95))</f>
        <v>148.3214375</v>
      </c>
    </row>
    <row r="50" spans="1:6" ht="17.25" customHeight="1" thickBot="1" x14ac:dyDescent="0.35">
      <c r="B50" s="419"/>
      <c r="C50" s="420">
        <f>IF(C46&lt;=80, 10%, IF(C46&lt;250, 7.5%, 5%))</f>
        <v>7.4999999999999997E-2</v>
      </c>
      <c r="D50" s="418">
        <f>IF(C46&lt;=80, C46*1.1, IF(C46&lt;250, C46*1.075, C46*1.05))</f>
        <v>172.37356249999999</v>
      </c>
    </row>
    <row r="51" spans="1:6" ht="16.5" customHeight="1" thickBot="1" x14ac:dyDescent="0.35">
      <c r="A51" s="421"/>
      <c r="B51" s="422"/>
      <c r="C51" s="345"/>
      <c r="D51" s="423"/>
      <c r="E51" s="345"/>
      <c r="F51" s="394"/>
    </row>
    <row r="52" spans="1:6" ht="16.5" customHeight="1" x14ac:dyDescent="0.3">
      <c r="A52" s="345"/>
      <c r="B52" s="424" t="s">
        <v>25</v>
      </c>
      <c r="C52" s="424"/>
      <c r="D52" s="425" t="s">
        <v>26</v>
      </c>
      <c r="E52" s="426"/>
      <c r="F52" s="425" t="s">
        <v>27</v>
      </c>
    </row>
    <row r="53" spans="1:6" ht="34.5" customHeight="1" x14ac:dyDescent="0.3">
      <c r="A53" s="392" t="s">
        <v>28</v>
      </c>
      <c r="B53" s="368"/>
      <c r="C53" s="345"/>
      <c r="D53" s="368"/>
      <c r="E53" s="345"/>
      <c r="F53" s="368"/>
    </row>
    <row r="54" spans="1:6" ht="34.5" customHeight="1" x14ac:dyDescent="0.3">
      <c r="A54" s="392" t="s">
        <v>29</v>
      </c>
      <c r="B54" s="427"/>
      <c r="C54" s="346"/>
      <c r="D54" s="427"/>
      <c r="E54" s="345"/>
      <c r="F54" s="428"/>
    </row>
  </sheetData>
  <sheetProtection password="B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85" zoomScale="50" zoomScaleNormal="40" zoomScalePageLayoutView="50" workbookViewId="0">
      <selection activeCell="B28" sqref="B28"/>
    </sheetView>
  </sheetViews>
  <sheetFormatPr defaultColWidth="9.140625" defaultRowHeight="13.5" x14ac:dyDescent="0.25"/>
  <cols>
    <col min="1" max="1" width="55.42578125" style="338" customWidth="1"/>
    <col min="2" max="2" width="33.7109375" style="338" customWidth="1"/>
    <col min="3" max="3" width="42.28515625" style="338" customWidth="1"/>
    <col min="4" max="4" width="30.5703125" style="338" customWidth="1"/>
    <col min="5" max="5" width="39.85546875" style="338" customWidth="1"/>
    <col min="6" max="6" width="30.7109375" style="338" customWidth="1"/>
    <col min="7" max="7" width="39.85546875" style="338" customWidth="1"/>
    <col min="8" max="8" width="30" style="338" customWidth="1"/>
    <col min="9" max="9" width="30.28515625" style="338" hidden="1" customWidth="1"/>
    <col min="10" max="10" width="30.42578125" style="338" customWidth="1"/>
    <col min="11" max="11" width="21.28515625" style="338" customWidth="1"/>
    <col min="12" max="12" width="9.140625" style="338"/>
    <col min="13" max="16384" width="9.140625" style="376"/>
  </cols>
  <sheetData>
    <row r="1" spans="1:9" ht="18.75" customHeight="1" x14ac:dyDescent="0.25">
      <c r="A1" s="429" t="s">
        <v>44</v>
      </c>
      <c r="B1" s="429"/>
      <c r="C1" s="429"/>
      <c r="D1" s="429"/>
      <c r="E1" s="429"/>
      <c r="F1" s="429"/>
      <c r="G1" s="429"/>
      <c r="H1" s="429"/>
      <c r="I1" s="429"/>
    </row>
    <row r="2" spans="1:9" ht="18.75" customHeight="1" x14ac:dyDescent="0.25">
      <c r="A2" s="429"/>
      <c r="B2" s="429"/>
      <c r="C2" s="429"/>
      <c r="D2" s="429"/>
      <c r="E2" s="429"/>
      <c r="F2" s="429"/>
      <c r="G2" s="429"/>
      <c r="H2" s="429"/>
      <c r="I2" s="429"/>
    </row>
    <row r="3" spans="1:9" ht="18.75" customHeight="1" x14ac:dyDescent="0.25">
      <c r="A3" s="429"/>
      <c r="B3" s="429"/>
      <c r="C3" s="429"/>
      <c r="D3" s="429"/>
      <c r="E3" s="429"/>
      <c r="F3" s="429"/>
      <c r="G3" s="429"/>
      <c r="H3" s="429"/>
      <c r="I3" s="429"/>
    </row>
    <row r="4" spans="1:9" ht="18.75" customHeight="1" x14ac:dyDescent="0.25">
      <c r="A4" s="429"/>
      <c r="B4" s="429"/>
      <c r="C4" s="429"/>
      <c r="D4" s="429"/>
      <c r="E4" s="429"/>
      <c r="F4" s="429"/>
      <c r="G4" s="429"/>
      <c r="H4" s="429"/>
      <c r="I4" s="429"/>
    </row>
    <row r="5" spans="1:9" ht="18.75" customHeight="1" x14ac:dyDescent="0.25">
      <c r="A5" s="429"/>
      <c r="B5" s="429"/>
      <c r="C5" s="429"/>
      <c r="D5" s="429"/>
      <c r="E5" s="429"/>
      <c r="F5" s="429"/>
      <c r="G5" s="429"/>
      <c r="H5" s="429"/>
      <c r="I5" s="429"/>
    </row>
    <row r="6" spans="1:9" ht="18.75" customHeight="1" x14ac:dyDescent="0.25">
      <c r="A6" s="429"/>
      <c r="B6" s="429"/>
      <c r="C6" s="429"/>
      <c r="D6" s="429"/>
      <c r="E6" s="429"/>
      <c r="F6" s="429"/>
      <c r="G6" s="429"/>
      <c r="H6" s="429"/>
      <c r="I6" s="429"/>
    </row>
    <row r="7" spans="1:9" ht="18.75" customHeight="1" x14ac:dyDescent="0.25">
      <c r="A7" s="429"/>
      <c r="B7" s="429"/>
      <c r="C7" s="429"/>
      <c r="D7" s="429"/>
      <c r="E7" s="429"/>
      <c r="F7" s="429"/>
      <c r="G7" s="429"/>
      <c r="H7" s="429"/>
      <c r="I7" s="429"/>
    </row>
    <row r="8" spans="1:9" x14ac:dyDescent="0.25">
      <c r="A8" s="430" t="s">
        <v>45</v>
      </c>
      <c r="B8" s="430"/>
      <c r="C8" s="430"/>
      <c r="D8" s="430"/>
      <c r="E8" s="430"/>
      <c r="F8" s="430"/>
      <c r="G8" s="430"/>
      <c r="H8" s="430"/>
      <c r="I8" s="430"/>
    </row>
    <row r="9" spans="1:9" x14ac:dyDescent="0.25">
      <c r="A9" s="430"/>
      <c r="B9" s="430"/>
      <c r="C9" s="430"/>
      <c r="D9" s="430"/>
      <c r="E9" s="430"/>
      <c r="F9" s="430"/>
      <c r="G9" s="430"/>
      <c r="H9" s="430"/>
      <c r="I9" s="430"/>
    </row>
    <row r="10" spans="1:9" x14ac:dyDescent="0.25">
      <c r="A10" s="430"/>
      <c r="B10" s="430"/>
      <c r="C10" s="430"/>
      <c r="D10" s="430"/>
      <c r="E10" s="430"/>
      <c r="F10" s="430"/>
      <c r="G10" s="430"/>
      <c r="H10" s="430"/>
      <c r="I10" s="430"/>
    </row>
    <row r="11" spans="1:9" x14ac:dyDescent="0.25">
      <c r="A11" s="430"/>
      <c r="B11" s="430"/>
      <c r="C11" s="430"/>
      <c r="D11" s="430"/>
      <c r="E11" s="430"/>
      <c r="F11" s="430"/>
      <c r="G11" s="430"/>
      <c r="H11" s="430"/>
      <c r="I11" s="430"/>
    </row>
    <row r="12" spans="1:9" x14ac:dyDescent="0.25">
      <c r="A12" s="430"/>
      <c r="B12" s="430"/>
      <c r="C12" s="430"/>
      <c r="D12" s="430"/>
      <c r="E12" s="430"/>
      <c r="F12" s="430"/>
      <c r="G12" s="430"/>
      <c r="H12" s="430"/>
      <c r="I12" s="430"/>
    </row>
    <row r="13" spans="1:9" x14ac:dyDescent="0.25">
      <c r="A13" s="430"/>
      <c r="B13" s="430"/>
      <c r="C13" s="430"/>
      <c r="D13" s="430"/>
      <c r="E13" s="430"/>
      <c r="F13" s="430"/>
      <c r="G13" s="430"/>
      <c r="H13" s="430"/>
      <c r="I13" s="430"/>
    </row>
    <row r="14" spans="1:9" x14ac:dyDescent="0.25">
      <c r="A14" s="430"/>
      <c r="B14" s="430"/>
      <c r="C14" s="430"/>
      <c r="D14" s="430"/>
      <c r="E14" s="430"/>
      <c r="F14" s="430"/>
      <c r="G14" s="430"/>
      <c r="H14" s="430"/>
      <c r="I14" s="430"/>
    </row>
    <row r="15" spans="1:9" ht="19.5" customHeight="1" thickBot="1" x14ac:dyDescent="0.35">
      <c r="A15" s="431"/>
    </row>
    <row r="16" spans="1:9" ht="19.5" customHeight="1" thickBot="1" x14ac:dyDescent="0.35">
      <c r="A16" s="432" t="s">
        <v>30</v>
      </c>
      <c r="B16" s="433"/>
      <c r="C16" s="433"/>
      <c r="D16" s="433"/>
      <c r="E16" s="433"/>
      <c r="F16" s="433"/>
      <c r="G16" s="433"/>
      <c r="H16" s="434"/>
    </row>
    <row r="17" spans="1:14" ht="20.25" customHeight="1" x14ac:dyDescent="0.25">
      <c r="A17" s="435" t="s">
        <v>46</v>
      </c>
      <c r="B17" s="435"/>
      <c r="C17" s="435"/>
      <c r="D17" s="435"/>
      <c r="E17" s="435"/>
      <c r="F17" s="435"/>
      <c r="G17" s="435"/>
      <c r="H17" s="435"/>
    </row>
    <row r="18" spans="1:14" ht="26.25" customHeight="1" x14ac:dyDescent="0.4">
      <c r="A18" s="436" t="s">
        <v>32</v>
      </c>
      <c r="B18" s="437" t="s">
        <v>5</v>
      </c>
      <c r="C18" s="437"/>
      <c r="D18" s="438"/>
      <c r="E18" s="439"/>
      <c r="F18" s="440"/>
      <c r="G18" s="440"/>
      <c r="H18" s="440"/>
    </row>
    <row r="19" spans="1:14" ht="26.25" customHeight="1" x14ac:dyDescent="0.4">
      <c r="A19" s="436" t="s">
        <v>33</v>
      </c>
      <c r="B19" s="441" t="s">
        <v>146</v>
      </c>
      <c r="C19" s="440">
        <v>29</v>
      </c>
      <c r="D19" s="440"/>
      <c r="E19" s="440"/>
      <c r="F19" s="440"/>
      <c r="G19" s="440"/>
      <c r="H19" s="440"/>
    </row>
    <row r="20" spans="1:14" ht="26.25" customHeight="1" x14ac:dyDescent="0.4">
      <c r="A20" s="436" t="s">
        <v>34</v>
      </c>
      <c r="B20" s="442" t="s">
        <v>137</v>
      </c>
      <c r="C20" s="442"/>
      <c r="D20" s="440"/>
      <c r="E20" s="440"/>
      <c r="F20" s="440"/>
      <c r="G20" s="440"/>
      <c r="H20" s="440"/>
    </row>
    <row r="21" spans="1:14" ht="26.25" customHeight="1" x14ac:dyDescent="0.4">
      <c r="A21" s="436" t="s">
        <v>35</v>
      </c>
      <c r="B21" s="442" t="s">
        <v>9</v>
      </c>
      <c r="C21" s="442"/>
      <c r="D21" s="442"/>
      <c r="E21" s="442"/>
      <c r="F21" s="442"/>
      <c r="G21" s="442"/>
      <c r="H21" s="442"/>
      <c r="I21" s="443"/>
    </row>
    <row r="22" spans="1:14" ht="26.25" customHeight="1" x14ac:dyDescent="0.4">
      <c r="A22" s="436" t="s">
        <v>36</v>
      </c>
      <c r="B22" s="444">
        <v>42562</v>
      </c>
      <c r="C22" s="440"/>
      <c r="D22" s="440"/>
      <c r="E22" s="440"/>
      <c r="F22" s="440"/>
      <c r="G22" s="440"/>
      <c r="H22" s="440"/>
    </row>
    <row r="23" spans="1:14" ht="26.25" customHeight="1" x14ac:dyDescent="0.4">
      <c r="A23" s="436" t="s">
        <v>37</v>
      </c>
      <c r="B23" s="444">
        <v>42563</v>
      </c>
      <c r="C23" s="440"/>
      <c r="D23" s="440"/>
      <c r="E23" s="440"/>
      <c r="F23" s="440"/>
      <c r="G23" s="440"/>
      <c r="H23" s="440"/>
    </row>
    <row r="24" spans="1:14" ht="18.75" x14ac:dyDescent="0.3">
      <c r="A24" s="436"/>
      <c r="B24" s="445"/>
    </row>
    <row r="25" spans="1:14" ht="18.75" x14ac:dyDescent="0.3">
      <c r="A25" s="446" t="s">
        <v>1</v>
      </c>
      <c r="B25" s="445"/>
    </row>
    <row r="26" spans="1:14" ht="26.25" customHeight="1" x14ac:dyDescent="0.4">
      <c r="A26" s="447" t="s">
        <v>4</v>
      </c>
      <c r="B26" s="437" t="s">
        <v>148</v>
      </c>
      <c r="C26" s="437"/>
    </row>
    <row r="27" spans="1:14" ht="26.25" customHeight="1" x14ac:dyDescent="0.4">
      <c r="A27" s="448" t="s">
        <v>47</v>
      </c>
      <c r="B27" s="449" t="s">
        <v>149</v>
      </c>
      <c r="C27" s="449"/>
    </row>
    <row r="28" spans="1:14" ht="27" customHeight="1" thickBot="1" x14ac:dyDescent="0.45">
      <c r="A28" s="448" t="s">
        <v>6</v>
      </c>
      <c r="B28" s="450">
        <v>82.9</v>
      </c>
    </row>
    <row r="29" spans="1:14" s="349" customFormat="1" ht="27" customHeight="1" thickBot="1" x14ac:dyDescent="0.45">
      <c r="A29" s="448" t="s">
        <v>48</v>
      </c>
      <c r="B29" s="451">
        <v>0</v>
      </c>
      <c r="C29" s="452" t="s">
        <v>49</v>
      </c>
      <c r="D29" s="453"/>
      <c r="E29" s="453"/>
      <c r="F29" s="453"/>
      <c r="G29" s="454"/>
      <c r="I29" s="455"/>
      <c r="J29" s="455"/>
      <c r="K29" s="455"/>
      <c r="L29" s="455"/>
    </row>
    <row r="30" spans="1:14" s="349" customFormat="1" ht="19.5" customHeight="1" thickBot="1" x14ac:dyDescent="0.35">
      <c r="A30" s="448" t="s">
        <v>50</v>
      </c>
      <c r="B30" s="456">
        <f>B28-B29</f>
        <v>82.9</v>
      </c>
      <c r="C30" s="457"/>
      <c r="D30" s="457"/>
      <c r="E30" s="457"/>
      <c r="F30" s="457"/>
      <c r="G30" s="458"/>
      <c r="I30" s="455"/>
      <c r="J30" s="455"/>
      <c r="K30" s="455"/>
      <c r="L30" s="455"/>
    </row>
    <row r="31" spans="1:14" s="349" customFormat="1" ht="27" customHeight="1" thickBot="1" x14ac:dyDescent="0.45">
      <c r="A31" s="448" t="s">
        <v>51</v>
      </c>
      <c r="B31" s="459">
        <v>1</v>
      </c>
      <c r="C31" s="460" t="s">
        <v>52</v>
      </c>
      <c r="D31" s="461"/>
      <c r="E31" s="461"/>
      <c r="F31" s="461"/>
      <c r="G31" s="461"/>
      <c r="H31" s="462"/>
      <c r="I31" s="455"/>
      <c r="J31" s="455"/>
      <c r="K31" s="455"/>
      <c r="L31" s="455"/>
    </row>
    <row r="32" spans="1:14" s="349" customFormat="1" ht="27" customHeight="1" thickBot="1" x14ac:dyDescent="0.45">
      <c r="A32" s="448" t="s">
        <v>53</v>
      </c>
      <c r="B32" s="459">
        <v>1</v>
      </c>
      <c r="C32" s="460" t="s">
        <v>54</v>
      </c>
      <c r="D32" s="461"/>
      <c r="E32" s="461"/>
      <c r="F32" s="461"/>
      <c r="G32" s="461"/>
      <c r="H32" s="462"/>
      <c r="I32" s="455"/>
      <c r="J32" s="455"/>
      <c r="K32" s="455"/>
      <c r="L32" s="463"/>
      <c r="M32" s="463"/>
      <c r="N32" s="464"/>
    </row>
    <row r="33" spans="1:14" s="349" customFormat="1" ht="17.25" customHeight="1" x14ac:dyDescent="0.3">
      <c r="A33" s="448"/>
      <c r="B33" s="465"/>
      <c r="C33" s="466"/>
      <c r="D33" s="466"/>
      <c r="E33" s="466"/>
      <c r="F33" s="466"/>
      <c r="G33" s="466"/>
      <c r="H33" s="466"/>
      <c r="I33" s="455"/>
      <c r="J33" s="455"/>
      <c r="K33" s="455"/>
      <c r="L33" s="463"/>
      <c r="M33" s="463"/>
      <c r="N33" s="464"/>
    </row>
    <row r="34" spans="1:14" s="349" customFormat="1" ht="18.75" x14ac:dyDescent="0.3">
      <c r="A34" s="448" t="s">
        <v>55</v>
      </c>
      <c r="B34" s="467">
        <f>B31/B32</f>
        <v>1</v>
      </c>
      <c r="C34" s="431" t="s">
        <v>56</v>
      </c>
      <c r="D34" s="431"/>
      <c r="E34" s="431"/>
      <c r="F34" s="431"/>
      <c r="G34" s="431"/>
      <c r="I34" s="455"/>
      <c r="J34" s="455"/>
      <c r="K34" s="455"/>
      <c r="L34" s="463"/>
      <c r="M34" s="463"/>
      <c r="N34" s="464"/>
    </row>
    <row r="35" spans="1:14" s="349" customFormat="1" ht="19.5" customHeight="1" thickBot="1" x14ac:dyDescent="0.35">
      <c r="A35" s="448"/>
      <c r="B35" s="456"/>
      <c r="G35" s="431"/>
      <c r="I35" s="455"/>
      <c r="J35" s="455"/>
      <c r="K35" s="455"/>
      <c r="L35" s="463"/>
      <c r="M35" s="463"/>
      <c r="N35" s="464"/>
    </row>
    <row r="36" spans="1:14" s="349" customFormat="1" ht="27" customHeight="1" thickBot="1" x14ac:dyDescent="0.45">
      <c r="A36" s="468" t="s">
        <v>57</v>
      </c>
      <c r="B36" s="469">
        <v>20</v>
      </c>
      <c r="C36" s="431"/>
      <c r="D36" s="470" t="s">
        <v>58</v>
      </c>
      <c r="E36" s="471"/>
      <c r="F36" s="470" t="s">
        <v>59</v>
      </c>
      <c r="G36" s="472"/>
      <c r="J36" s="455"/>
      <c r="K36" s="455"/>
      <c r="L36" s="463"/>
      <c r="M36" s="463"/>
      <c r="N36" s="464"/>
    </row>
    <row r="37" spans="1:14" s="349" customFormat="1" ht="27" customHeight="1" thickBot="1" x14ac:dyDescent="0.45">
      <c r="A37" s="473" t="s">
        <v>60</v>
      </c>
      <c r="B37" s="474">
        <v>4</v>
      </c>
      <c r="C37" s="475" t="s">
        <v>61</v>
      </c>
      <c r="D37" s="476" t="s">
        <v>62</v>
      </c>
      <c r="E37" s="477" t="s">
        <v>63</v>
      </c>
      <c r="F37" s="476" t="s">
        <v>62</v>
      </c>
      <c r="G37" s="478" t="s">
        <v>63</v>
      </c>
      <c r="I37" s="479" t="s">
        <v>64</v>
      </c>
      <c r="J37" s="455"/>
      <c r="K37" s="455"/>
      <c r="L37" s="463"/>
      <c r="M37" s="463"/>
      <c r="N37" s="464"/>
    </row>
    <row r="38" spans="1:14" s="349" customFormat="1" ht="26.25" customHeight="1" x14ac:dyDescent="0.4">
      <c r="A38" s="473" t="s">
        <v>65</v>
      </c>
      <c r="B38" s="474">
        <v>20</v>
      </c>
      <c r="C38" s="480">
        <v>1</v>
      </c>
      <c r="D38" s="481">
        <v>8880162</v>
      </c>
      <c r="E38" s="482">
        <f>IF(ISBLANK(D38),"-",$D$48/$D$45*D38)</f>
        <v>10023608.478373256</v>
      </c>
      <c r="F38" s="481">
        <v>7314881</v>
      </c>
      <c r="G38" s="483">
        <f>IF(ISBLANK(F38),"-",$D$48/$F$45*F38)</f>
        <v>9760775.0568442643</v>
      </c>
      <c r="I38" s="484"/>
      <c r="J38" s="455"/>
      <c r="K38" s="455"/>
      <c r="L38" s="463"/>
      <c r="M38" s="463"/>
      <c r="N38" s="464"/>
    </row>
    <row r="39" spans="1:14" s="349" customFormat="1" ht="26.25" customHeight="1" x14ac:dyDescent="0.4">
      <c r="A39" s="473" t="s">
        <v>66</v>
      </c>
      <c r="B39" s="474">
        <v>1</v>
      </c>
      <c r="C39" s="485">
        <v>2</v>
      </c>
      <c r="D39" s="486">
        <v>8856299</v>
      </c>
      <c r="E39" s="487">
        <f>IF(ISBLANK(D39),"-",$D$48/$D$45*D39)</f>
        <v>9996672.7795516085</v>
      </c>
      <c r="F39" s="486">
        <v>7299553</v>
      </c>
      <c r="G39" s="488">
        <f>IF(ISBLANK(F39),"-",$D$48/$F$45*F39)</f>
        <v>9740321.7972394507</v>
      </c>
      <c r="I39" s="489">
        <f>ABS((F43/D43*D42)-F42)/D42</f>
        <v>2.3647358059516749E-2</v>
      </c>
      <c r="J39" s="455"/>
      <c r="K39" s="455"/>
      <c r="L39" s="463"/>
      <c r="M39" s="463"/>
      <c r="N39" s="464"/>
    </row>
    <row r="40" spans="1:14" ht="26.25" customHeight="1" x14ac:dyDescent="0.4">
      <c r="A40" s="473" t="s">
        <v>67</v>
      </c>
      <c r="B40" s="474">
        <v>1</v>
      </c>
      <c r="C40" s="485">
        <v>3</v>
      </c>
      <c r="D40" s="486">
        <v>8847815</v>
      </c>
      <c r="E40" s="487">
        <f>IF(ISBLANK(D40),"-",$D$48/$D$45*D40)</f>
        <v>9987096.3445349373</v>
      </c>
      <c r="F40" s="486">
        <v>7244927</v>
      </c>
      <c r="G40" s="488">
        <f>IF(ISBLANK(F40),"-",$D$48/$F$45*F40)</f>
        <v>9667430.3724500146</v>
      </c>
      <c r="I40" s="489"/>
      <c r="L40" s="463"/>
      <c r="M40" s="463"/>
      <c r="N40" s="431"/>
    </row>
    <row r="41" spans="1:14" ht="27" customHeight="1" thickBot="1" x14ac:dyDescent="0.45">
      <c r="A41" s="473" t="s">
        <v>68</v>
      </c>
      <c r="B41" s="474">
        <v>1</v>
      </c>
      <c r="C41" s="490">
        <v>4</v>
      </c>
      <c r="D41" s="491"/>
      <c r="E41" s="492" t="str">
        <f>IF(ISBLANK(D41),"-",$D$48/$D$45*D41)</f>
        <v>-</v>
      </c>
      <c r="F41" s="491"/>
      <c r="G41" s="493" t="str">
        <f>IF(ISBLANK(F41),"-",$D$48/$F$45*F41)</f>
        <v>-</v>
      </c>
      <c r="I41" s="494"/>
      <c r="L41" s="463"/>
      <c r="M41" s="463"/>
      <c r="N41" s="431"/>
    </row>
    <row r="42" spans="1:14" ht="27" customHeight="1" thickBot="1" x14ac:dyDescent="0.45">
      <c r="A42" s="473" t="s">
        <v>69</v>
      </c>
      <c r="B42" s="474">
        <v>1</v>
      </c>
      <c r="C42" s="495" t="s">
        <v>70</v>
      </c>
      <c r="D42" s="496">
        <f>AVERAGE(D38:D41)</f>
        <v>8861425.333333334</v>
      </c>
      <c r="E42" s="497">
        <f>AVERAGE(E38:E41)</f>
        <v>10002459.200819934</v>
      </c>
      <c r="F42" s="496">
        <f>AVERAGE(F38:F41)</f>
        <v>7286453.666666667</v>
      </c>
      <c r="G42" s="498">
        <f>AVERAGE(G38:G41)</f>
        <v>9722842.4088445771</v>
      </c>
      <c r="H42" s="373"/>
    </row>
    <row r="43" spans="1:14" ht="26.25" customHeight="1" x14ac:dyDescent="0.4">
      <c r="A43" s="473" t="s">
        <v>71</v>
      </c>
      <c r="B43" s="474">
        <v>1</v>
      </c>
      <c r="C43" s="499" t="s">
        <v>72</v>
      </c>
      <c r="D43" s="500">
        <v>16.03</v>
      </c>
      <c r="E43" s="431"/>
      <c r="F43" s="500">
        <v>13.56</v>
      </c>
      <c r="H43" s="373"/>
    </row>
    <row r="44" spans="1:14" ht="26.25" customHeight="1" x14ac:dyDescent="0.4">
      <c r="A44" s="473" t="s">
        <v>73</v>
      </c>
      <c r="B44" s="474">
        <v>1</v>
      </c>
      <c r="C44" s="501" t="s">
        <v>74</v>
      </c>
      <c r="D44" s="502">
        <f>D43*$B$34</f>
        <v>16.03</v>
      </c>
      <c r="E44" s="503"/>
      <c r="F44" s="502">
        <f>F43*$B$34</f>
        <v>13.56</v>
      </c>
      <c r="H44" s="373"/>
    </row>
    <row r="45" spans="1:14" ht="19.5" customHeight="1" thickBot="1" x14ac:dyDescent="0.35">
      <c r="A45" s="473" t="s">
        <v>75</v>
      </c>
      <c r="B45" s="485">
        <f>(B44/B43)*(B42/B41)*(B40/B39)*(B38/B37)*B36</f>
        <v>100</v>
      </c>
      <c r="C45" s="501" t="s">
        <v>76</v>
      </c>
      <c r="D45" s="504">
        <f>D44*$B$30/100</f>
        <v>13.288870000000001</v>
      </c>
      <c r="E45" s="505"/>
      <c r="F45" s="504">
        <f>F44*$B$30/100</f>
        <v>11.241239999999999</v>
      </c>
      <c r="H45" s="373"/>
    </row>
    <row r="46" spans="1:14" ht="19.5" customHeight="1" thickBot="1" x14ac:dyDescent="0.35">
      <c r="A46" s="506" t="s">
        <v>77</v>
      </c>
      <c r="B46" s="507"/>
      <c r="C46" s="501" t="s">
        <v>78</v>
      </c>
      <c r="D46" s="508">
        <f>D45/$B$45</f>
        <v>0.1328887</v>
      </c>
      <c r="E46" s="509"/>
      <c r="F46" s="510">
        <f>F45/$B$45</f>
        <v>0.1124124</v>
      </c>
      <c r="H46" s="373"/>
    </row>
    <row r="47" spans="1:14" ht="27" customHeight="1" thickBot="1" x14ac:dyDescent="0.45">
      <c r="A47" s="511"/>
      <c r="B47" s="512"/>
      <c r="C47" s="513" t="s">
        <v>79</v>
      </c>
      <c r="D47" s="514">
        <v>0.15</v>
      </c>
      <c r="E47" s="515"/>
      <c r="F47" s="509"/>
      <c r="H47" s="373"/>
    </row>
    <row r="48" spans="1:14" ht="18.75" x14ac:dyDescent="0.3">
      <c r="C48" s="516" t="s">
        <v>80</v>
      </c>
      <c r="D48" s="504">
        <f>D47*$B$45</f>
        <v>15</v>
      </c>
      <c r="F48" s="517"/>
      <c r="H48" s="373"/>
    </row>
    <row r="49" spans="1:12" ht="19.5" customHeight="1" thickBot="1" x14ac:dyDescent="0.35">
      <c r="C49" s="518" t="s">
        <v>81</v>
      </c>
      <c r="D49" s="519">
        <f>D48/B34</f>
        <v>15</v>
      </c>
      <c r="F49" s="517"/>
      <c r="H49" s="373"/>
    </row>
    <row r="50" spans="1:12" ht="18.75" x14ac:dyDescent="0.3">
      <c r="C50" s="468" t="s">
        <v>82</v>
      </c>
      <c r="D50" s="520">
        <f>AVERAGE(E38:E41,G38:G41)</f>
        <v>9862650.8048322555</v>
      </c>
      <c r="F50" s="521"/>
      <c r="H50" s="373"/>
    </row>
    <row r="51" spans="1:12" ht="18.75" x14ac:dyDescent="0.3">
      <c r="C51" s="473" t="s">
        <v>83</v>
      </c>
      <c r="D51" s="522">
        <f>STDEV(E38:E41,G38:G41)/D50</f>
        <v>1.589052525137586E-2</v>
      </c>
      <c r="F51" s="521"/>
      <c r="H51" s="373"/>
    </row>
    <row r="52" spans="1:12" ht="19.5" customHeight="1" thickBot="1" x14ac:dyDescent="0.35">
      <c r="C52" s="523" t="s">
        <v>19</v>
      </c>
      <c r="D52" s="524">
        <f>COUNT(E38:E41,G38:G41)</f>
        <v>6</v>
      </c>
      <c r="F52" s="521"/>
    </row>
    <row r="54" spans="1:12" ht="18.75" x14ac:dyDescent="0.3">
      <c r="A54" s="525" t="s">
        <v>1</v>
      </c>
      <c r="B54" s="526" t="s">
        <v>84</v>
      </c>
    </row>
    <row r="55" spans="1:12" ht="18.75" x14ac:dyDescent="0.3">
      <c r="A55" s="431" t="s">
        <v>85</v>
      </c>
      <c r="B55" s="527" t="str">
        <f>B21</f>
        <v>LAMIVUDINE 30mg &amp; ZIDOVUDINE 60mg</v>
      </c>
    </row>
    <row r="56" spans="1:12" ht="26.25" customHeight="1" x14ac:dyDescent="0.4">
      <c r="A56" s="527" t="s">
        <v>86</v>
      </c>
      <c r="B56" s="528">
        <v>30</v>
      </c>
      <c r="C56" s="431" t="str">
        <f>B20</f>
        <v xml:space="preserve">LAMIVUDINE </v>
      </c>
      <c r="H56" s="503"/>
    </row>
    <row r="57" spans="1:12" ht="18.75" x14ac:dyDescent="0.3">
      <c r="A57" s="527" t="s">
        <v>87</v>
      </c>
      <c r="B57" s="529">
        <f>'Uniformity (2)'!C46</f>
        <v>160.3475</v>
      </c>
      <c r="H57" s="503"/>
    </row>
    <row r="58" spans="1:12" ht="19.5" customHeight="1" thickBot="1" x14ac:dyDescent="0.35">
      <c r="H58" s="503"/>
    </row>
    <row r="59" spans="1:12" s="349" customFormat="1" ht="27" customHeight="1" thickBot="1" x14ac:dyDescent="0.45">
      <c r="A59" s="468" t="s">
        <v>88</v>
      </c>
      <c r="B59" s="469">
        <v>50</v>
      </c>
      <c r="C59" s="431"/>
      <c r="D59" s="530" t="s">
        <v>89</v>
      </c>
      <c r="E59" s="531" t="s">
        <v>61</v>
      </c>
      <c r="F59" s="531" t="s">
        <v>62</v>
      </c>
      <c r="G59" s="531" t="s">
        <v>90</v>
      </c>
      <c r="H59" s="475" t="s">
        <v>91</v>
      </c>
      <c r="L59" s="455"/>
    </row>
    <row r="60" spans="1:12" s="349" customFormat="1" ht="26.25" customHeight="1" x14ac:dyDescent="0.4">
      <c r="A60" s="473" t="s">
        <v>92</v>
      </c>
      <c r="B60" s="474">
        <v>5</v>
      </c>
      <c r="C60" s="532" t="s">
        <v>93</v>
      </c>
      <c r="D60" s="533">
        <v>159.44</v>
      </c>
      <c r="E60" s="534">
        <v>1</v>
      </c>
      <c r="F60" s="535">
        <v>9500542</v>
      </c>
      <c r="G60" s="536">
        <f>IF(ISBLANK(F60),"-",(F60/$D$50*$D$47*$B$68)*($B$57/$D$60))</f>
        <v>29.063029824594814</v>
      </c>
      <c r="H60" s="537">
        <f t="shared" ref="H60:H71" si="0">IF(ISBLANK(F60),"-",G60/$B$56)</f>
        <v>0.96876766081982713</v>
      </c>
      <c r="L60" s="455"/>
    </row>
    <row r="61" spans="1:12" s="349" customFormat="1" ht="26.25" customHeight="1" x14ac:dyDescent="0.4">
      <c r="A61" s="473" t="s">
        <v>94</v>
      </c>
      <c r="B61" s="474">
        <v>20</v>
      </c>
      <c r="C61" s="538"/>
      <c r="D61" s="539"/>
      <c r="E61" s="540">
        <v>2</v>
      </c>
      <c r="F61" s="486">
        <v>9531288</v>
      </c>
      <c r="G61" s="541">
        <f>IF(ISBLANK(F61),"-",(F61/$D$50*$D$47*$B$68)*($B$57/$D$60))</f>
        <v>29.157084660096512</v>
      </c>
      <c r="H61" s="542">
        <f t="shared" si="0"/>
        <v>0.97190282200321709</v>
      </c>
      <c r="L61" s="455"/>
    </row>
    <row r="62" spans="1:12" s="349" customFormat="1" ht="26.25" customHeight="1" x14ac:dyDescent="0.4">
      <c r="A62" s="473" t="s">
        <v>95</v>
      </c>
      <c r="B62" s="474">
        <v>1</v>
      </c>
      <c r="C62" s="538"/>
      <c r="D62" s="539"/>
      <c r="E62" s="540">
        <v>3</v>
      </c>
      <c r="F62" s="543">
        <v>9503007</v>
      </c>
      <c r="G62" s="541">
        <f>IF(ISBLANK(F62),"-",(F62/$D$50*$D$47*$B$68)*($B$57/$D$60))</f>
        <v>29.070570485803156</v>
      </c>
      <c r="H62" s="542">
        <f t="shared" si="0"/>
        <v>0.96901901619343855</v>
      </c>
      <c r="L62" s="455"/>
    </row>
    <row r="63" spans="1:12" ht="27" customHeight="1" thickBot="1" x14ac:dyDescent="0.45">
      <c r="A63" s="473" t="s">
        <v>96</v>
      </c>
      <c r="B63" s="474">
        <v>1</v>
      </c>
      <c r="C63" s="544"/>
      <c r="D63" s="545"/>
      <c r="E63" s="546">
        <v>4</v>
      </c>
      <c r="F63" s="547"/>
      <c r="G63" s="541" t="str">
        <f>IF(ISBLANK(F63),"-",(F63/$D$50*$D$47*$B$68)*($B$57/$D$60))</f>
        <v>-</v>
      </c>
      <c r="H63" s="542" t="str">
        <f t="shared" si="0"/>
        <v>-</v>
      </c>
    </row>
    <row r="64" spans="1:12" ht="26.25" customHeight="1" x14ac:dyDescent="0.4">
      <c r="A64" s="473" t="s">
        <v>97</v>
      </c>
      <c r="B64" s="474">
        <v>1</v>
      </c>
      <c r="C64" s="532" t="s">
        <v>98</v>
      </c>
      <c r="D64" s="533">
        <v>162.32</v>
      </c>
      <c r="E64" s="534">
        <v>1</v>
      </c>
      <c r="F64" s="535">
        <v>9695349</v>
      </c>
      <c r="G64" s="548">
        <f>IF(ISBLANK(F64),"-",(F64/$D$50*$D$47*$B$68)*($B$57/$D$64))</f>
        <v>29.132731342099401</v>
      </c>
      <c r="H64" s="549">
        <f t="shared" si="0"/>
        <v>0.97109104473664665</v>
      </c>
    </row>
    <row r="65" spans="1:8" ht="26.25" customHeight="1" x14ac:dyDescent="0.4">
      <c r="A65" s="473" t="s">
        <v>99</v>
      </c>
      <c r="B65" s="474">
        <v>1</v>
      </c>
      <c r="C65" s="538"/>
      <c r="D65" s="539"/>
      <c r="E65" s="540">
        <v>2</v>
      </c>
      <c r="F65" s="486">
        <v>9748895</v>
      </c>
      <c r="G65" s="550">
        <f>IF(ISBLANK(F65),"-",(F65/$D$50*$D$47*$B$68)*($B$57/$D$64))</f>
        <v>29.293627172919319</v>
      </c>
      <c r="H65" s="551">
        <f t="shared" si="0"/>
        <v>0.97645423909731066</v>
      </c>
    </row>
    <row r="66" spans="1:8" ht="26.25" customHeight="1" x14ac:dyDescent="0.4">
      <c r="A66" s="473" t="s">
        <v>100</v>
      </c>
      <c r="B66" s="474">
        <v>1</v>
      </c>
      <c r="C66" s="538"/>
      <c r="D66" s="539"/>
      <c r="E66" s="540">
        <v>3</v>
      </c>
      <c r="F66" s="486">
        <v>9669271</v>
      </c>
      <c r="G66" s="550">
        <f>IF(ISBLANK(F66),"-",(F66/$D$50*$D$47*$B$68)*($B$57/$D$64))</f>
        <v>29.054371773203091</v>
      </c>
      <c r="H66" s="551">
        <f t="shared" si="0"/>
        <v>0.96847905910676968</v>
      </c>
    </row>
    <row r="67" spans="1:8" ht="27" customHeight="1" thickBot="1" x14ac:dyDescent="0.45">
      <c r="A67" s="473" t="s">
        <v>101</v>
      </c>
      <c r="B67" s="474">
        <v>1</v>
      </c>
      <c r="C67" s="544"/>
      <c r="D67" s="545"/>
      <c r="E67" s="546">
        <v>4</v>
      </c>
      <c r="F67" s="547"/>
      <c r="G67" s="552" t="str">
        <f>IF(ISBLANK(F67),"-",(F67/$D$50*$D$47*$B$68)*($B$57/$D$64))</f>
        <v>-</v>
      </c>
      <c r="H67" s="553" t="str">
        <f t="shared" si="0"/>
        <v>-</v>
      </c>
    </row>
    <row r="68" spans="1:8" ht="26.25" customHeight="1" x14ac:dyDescent="0.4">
      <c r="A68" s="473" t="s">
        <v>102</v>
      </c>
      <c r="B68" s="554">
        <f>(B67/B66)*(B65/B64)*(B63/B62)*(B61/B60)*B59</f>
        <v>200</v>
      </c>
      <c r="C68" s="532" t="s">
        <v>103</v>
      </c>
      <c r="D68" s="533">
        <v>160.15</v>
      </c>
      <c r="E68" s="534">
        <v>1</v>
      </c>
      <c r="F68" s="535">
        <v>9546514</v>
      </c>
      <c r="G68" s="548">
        <f>IF(ISBLANK(F68),"-",(F68/$D$50*$D$47*$B$68)*($B$57/$D$68))</f>
        <v>29.074192517502542</v>
      </c>
      <c r="H68" s="542">
        <f t="shared" si="0"/>
        <v>0.96913975058341806</v>
      </c>
    </row>
    <row r="69" spans="1:8" ht="27" customHeight="1" thickBot="1" x14ac:dyDescent="0.45">
      <c r="A69" s="523" t="s">
        <v>104</v>
      </c>
      <c r="B69" s="555">
        <f>(D47*B68)/B56*B57</f>
        <v>160.3475</v>
      </c>
      <c r="C69" s="538"/>
      <c r="D69" s="539"/>
      <c r="E69" s="540">
        <v>2</v>
      </c>
      <c r="F69" s="486">
        <v>9545743</v>
      </c>
      <c r="G69" s="550">
        <f>IF(ISBLANK(F69),"-",(F69/$D$50*$D$47*$B$68)*($B$57/$D$68))</f>
        <v>29.071844414055466</v>
      </c>
      <c r="H69" s="542">
        <f t="shared" si="0"/>
        <v>0.96906148046851548</v>
      </c>
    </row>
    <row r="70" spans="1:8" ht="26.25" customHeight="1" x14ac:dyDescent="0.4">
      <c r="A70" s="556" t="s">
        <v>77</v>
      </c>
      <c r="B70" s="557"/>
      <c r="C70" s="538"/>
      <c r="D70" s="539"/>
      <c r="E70" s="540">
        <v>3</v>
      </c>
      <c r="F70" s="486">
        <v>9497495</v>
      </c>
      <c r="G70" s="550">
        <f>IF(ISBLANK(F70),"-",(F70/$D$50*$D$47*$B$68)*($B$57/$D$68))</f>
        <v>28.924903694062333</v>
      </c>
      <c r="H70" s="542">
        <f t="shared" si="0"/>
        <v>0.96416345646874446</v>
      </c>
    </row>
    <row r="71" spans="1:8" ht="27" customHeight="1" thickBot="1" x14ac:dyDescent="0.45">
      <c r="A71" s="558"/>
      <c r="B71" s="559"/>
      <c r="C71" s="560"/>
      <c r="D71" s="545"/>
      <c r="E71" s="546">
        <v>4</v>
      </c>
      <c r="F71" s="547"/>
      <c r="G71" s="552" t="str">
        <f>IF(ISBLANK(F71),"-",(F71/$D$50*$D$47*$B$68)*($B$57/$D$68))</f>
        <v>-</v>
      </c>
      <c r="H71" s="561" t="str">
        <f t="shared" si="0"/>
        <v>-</v>
      </c>
    </row>
    <row r="72" spans="1:8" ht="26.25" customHeight="1" x14ac:dyDescent="0.4">
      <c r="A72" s="503"/>
      <c r="B72" s="503"/>
      <c r="C72" s="503"/>
      <c r="D72" s="503"/>
      <c r="E72" s="503"/>
      <c r="F72" s="562" t="s">
        <v>70</v>
      </c>
      <c r="G72" s="563">
        <f>AVERAGE(G60:G71)</f>
        <v>29.093595098259627</v>
      </c>
      <c r="H72" s="564">
        <f>AVERAGE(H60:H71)</f>
        <v>0.96978650327532079</v>
      </c>
    </row>
    <row r="73" spans="1:8" ht="26.25" customHeight="1" x14ac:dyDescent="0.4">
      <c r="C73" s="503"/>
      <c r="D73" s="503"/>
      <c r="E73" s="503"/>
      <c r="F73" s="565" t="s">
        <v>83</v>
      </c>
      <c r="G73" s="566">
        <f>STDEV(G60:G71)/G72</f>
        <v>3.3914339274541154E-3</v>
      </c>
      <c r="H73" s="566">
        <f>STDEV(H60:H71)/H72</f>
        <v>3.391433927454124E-3</v>
      </c>
    </row>
    <row r="74" spans="1:8" ht="27" customHeight="1" thickBot="1" x14ac:dyDescent="0.45">
      <c r="A74" s="503"/>
      <c r="B74" s="503"/>
      <c r="C74" s="503"/>
      <c r="D74" s="503"/>
      <c r="E74" s="505"/>
      <c r="F74" s="567" t="s">
        <v>19</v>
      </c>
      <c r="G74" s="568">
        <f>COUNT(G60:G71)</f>
        <v>9</v>
      </c>
      <c r="H74" s="568">
        <f>COUNT(H60:H71)</f>
        <v>9</v>
      </c>
    </row>
    <row r="76" spans="1:8" ht="26.25" customHeight="1" x14ac:dyDescent="0.4">
      <c r="A76" s="447" t="s">
        <v>105</v>
      </c>
      <c r="B76" s="448" t="s">
        <v>106</v>
      </c>
      <c r="C76" s="569" t="str">
        <f>B20</f>
        <v xml:space="preserve">LAMIVUDINE </v>
      </c>
      <c r="D76" s="569"/>
      <c r="E76" s="431" t="s">
        <v>107</v>
      </c>
      <c r="F76" s="431"/>
      <c r="G76" s="570">
        <f>H72</f>
        <v>0.96978650327532079</v>
      </c>
      <c r="H76" s="456"/>
    </row>
    <row r="77" spans="1:8" ht="18.75" x14ac:dyDescent="0.3">
      <c r="A77" s="446" t="s">
        <v>108</v>
      </c>
      <c r="B77" s="446" t="s">
        <v>109</v>
      </c>
    </row>
    <row r="78" spans="1:8" ht="18.75" x14ac:dyDescent="0.3">
      <c r="A78" s="446"/>
      <c r="B78" s="446"/>
    </row>
    <row r="79" spans="1:8" ht="26.25" customHeight="1" x14ac:dyDescent="0.4">
      <c r="A79" s="447" t="s">
        <v>4</v>
      </c>
      <c r="B79" s="571" t="str">
        <f>B26</f>
        <v>Lamivudine</v>
      </c>
      <c r="C79" s="571"/>
    </row>
    <row r="80" spans="1:8" ht="26.25" customHeight="1" x14ac:dyDescent="0.4">
      <c r="A80" s="448" t="s">
        <v>47</v>
      </c>
      <c r="B80" s="571" t="str">
        <f>B27</f>
        <v>L3-7</v>
      </c>
      <c r="C80" s="571"/>
    </row>
    <row r="81" spans="1:12" ht="27" customHeight="1" thickBot="1" x14ac:dyDescent="0.45">
      <c r="A81" s="448" t="s">
        <v>6</v>
      </c>
      <c r="B81" s="450">
        <v>82.9</v>
      </c>
    </row>
    <row r="82" spans="1:12" s="349" customFormat="1" ht="27" customHeight="1" thickBot="1" x14ac:dyDescent="0.45">
      <c r="A82" s="448" t="s">
        <v>48</v>
      </c>
      <c r="B82" s="451">
        <v>0</v>
      </c>
      <c r="C82" s="452" t="s">
        <v>49</v>
      </c>
      <c r="D82" s="453"/>
      <c r="E82" s="453"/>
      <c r="F82" s="453"/>
      <c r="G82" s="454"/>
      <c r="I82" s="455"/>
      <c r="J82" s="455"/>
      <c r="K82" s="455"/>
      <c r="L82" s="455"/>
    </row>
    <row r="83" spans="1:12" s="349" customFormat="1" ht="19.5" customHeight="1" thickBot="1" x14ac:dyDescent="0.35">
      <c r="A83" s="448" t="s">
        <v>50</v>
      </c>
      <c r="B83" s="456">
        <f>B81-B82</f>
        <v>82.9</v>
      </c>
      <c r="C83" s="457"/>
      <c r="D83" s="457"/>
      <c r="E83" s="457"/>
      <c r="F83" s="457"/>
      <c r="G83" s="458"/>
      <c r="I83" s="455"/>
      <c r="J83" s="455"/>
      <c r="K83" s="455"/>
      <c r="L83" s="455"/>
    </row>
    <row r="84" spans="1:12" s="349" customFormat="1" ht="27" customHeight="1" thickBot="1" x14ac:dyDescent="0.45">
      <c r="A84" s="448" t="s">
        <v>51</v>
      </c>
      <c r="B84" s="459">
        <v>1</v>
      </c>
      <c r="C84" s="460" t="s">
        <v>110</v>
      </c>
      <c r="D84" s="461"/>
      <c r="E84" s="461"/>
      <c r="F84" s="461"/>
      <c r="G84" s="461"/>
      <c r="H84" s="462"/>
      <c r="I84" s="455"/>
      <c r="J84" s="455"/>
      <c r="K84" s="455"/>
      <c r="L84" s="455"/>
    </row>
    <row r="85" spans="1:12" s="349" customFormat="1" ht="27" customHeight="1" thickBot="1" x14ac:dyDescent="0.45">
      <c r="A85" s="448" t="s">
        <v>53</v>
      </c>
      <c r="B85" s="459">
        <v>1</v>
      </c>
      <c r="C85" s="460" t="s">
        <v>111</v>
      </c>
      <c r="D85" s="461"/>
      <c r="E85" s="461"/>
      <c r="F85" s="461"/>
      <c r="G85" s="461"/>
      <c r="H85" s="462"/>
      <c r="I85" s="455"/>
      <c r="J85" s="455"/>
      <c r="K85" s="455"/>
      <c r="L85" s="455"/>
    </row>
    <row r="86" spans="1:12" s="349" customFormat="1" ht="18.75" x14ac:dyDescent="0.3">
      <c r="A86" s="448"/>
      <c r="B86" s="465"/>
      <c r="C86" s="466"/>
      <c r="D86" s="466"/>
      <c r="E86" s="466"/>
      <c r="F86" s="466"/>
      <c r="G86" s="466"/>
      <c r="H86" s="466"/>
      <c r="I86" s="455"/>
      <c r="J86" s="455"/>
      <c r="K86" s="455"/>
      <c r="L86" s="455"/>
    </row>
    <row r="87" spans="1:12" s="349" customFormat="1" ht="18.75" x14ac:dyDescent="0.3">
      <c r="A87" s="448" t="s">
        <v>55</v>
      </c>
      <c r="B87" s="467">
        <f>B84/B85</f>
        <v>1</v>
      </c>
      <c r="C87" s="431" t="s">
        <v>56</v>
      </c>
      <c r="D87" s="431"/>
      <c r="E87" s="431"/>
      <c r="F87" s="431"/>
      <c r="G87" s="431"/>
      <c r="I87" s="455"/>
      <c r="J87" s="455"/>
      <c r="K87" s="455"/>
      <c r="L87" s="455"/>
    </row>
    <row r="88" spans="1:12" ht="19.5" customHeight="1" thickBot="1" x14ac:dyDescent="0.35">
      <c r="A88" s="446"/>
      <c r="B88" s="446"/>
    </row>
    <row r="89" spans="1:12" ht="27" customHeight="1" thickBot="1" x14ac:dyDescent="0.45">
      <c r="A89" s="468" t="s">
        <v>57</v>
      </c>
      <c r="B89" s="469">
        <v>20</v>
      </c>
      <c r="D89" s="572" t="s">
        <v>58</v>
      </c>
      <c r="E89" s="573"/>
      <c r="F89" s="470" t="s">
        <v>59</v>
      </c>
      <c r="G89" s="472"/>
    </row>
    <row r="90" spans="1:12" ht="27" customHeight="1" thickBot="1" x14ac:dyDescent="0.45">
      <c r="A90" s="473" t="s">
        <v>60</v>
      </c>
      <c r="B90" s="474">
        <v>4</v>
      </c>
      <c r="C90" s="574" t="s">
        <v>61</v>
      </c>
      <c r="D90" s="476" t="s">
        <v>62</v>
      </c>
      <c r="E90" s="477" t="s">
        <v>63</v>
      </c>
      <c r="F90" s="476" t="s">
        <v>62</v>
      </c>
      <c r="G90" s="575" t="s">
        <v>63</v>
      </c>
      <c r="I90" s="479" t="s">
        <v>64</v>
      </c>
    </row>
    <row r="91" spans="1:12" ht="26.25" customHeight="1" x14ac:dyDescent="0.4">
      <c r="A91" s="473" t="s">
        <v>65</v>
      </c>
      <c r="B91" s="474">
        <v>20</v>
      </c>
      <c r="C91" s="576">
        <v>1</v>
      </c>
      <c r="D91" s="481">
        <v>1783365</v>
      </c>
      <c r="E91" s="482">
        <f>IF(ISBLANK(D91),"-",$D$101/$D$98*D91)</f>
        <v>2236664.9685037178</v>
      </c>
      <c r="F91" s="481">
        <v>1463587</v>
      </c>
      <c r="G91" s="483">
        <f>IF(ISBLANK(F91),"-",$D$101/$F$98*F91)</f>
        <v>2169966.717787955</v>
      </c>
      <c r="I91" s="484"/>
    </row>
    <row r="92" spans="1:12" ht="26.25" customHeight="1" x14ac:dyDescent="0.4">
      <c r="A92" s="473" t="s">
        <v>66</v>
      </c>
      <c r="B92" s="474">
        <v>4</v>
      </c>
      <c r="C92" s="503">
        <v>2</v>
      </c>
      <c r="D92" s="486">
        <v>1775825</v>
      </c>
      <c r="E92" s="487">
        <f>IF(ISBLANK(D92),"-",$D$101/$D$98*D92)</f>
        <v>2227208.4333230238</v>
      </c>
      <c r="F92" s="486">
        <v>1456831</v>
      </c>
      <c r="G92" s="488">
        <f>IF(ISBLANK(F92),"-",$D$101/$F$98*F92)</f>
        <v>2159950.0292375814</v>
      </c>
      <c r="I92" s="489">
        <f>ABS((F96/D96*D95)-F95)/D95</f>
        <v>2.5352622938405199E-2</v>
      </c>
    </row>
    <row r="93" spans="1:12" ht="26.25" customHeight="1" x14ac:dyDescent="0.4">
      <c r="A93" s="473" t="s">
        <v>67</v>
      </c>
      <c r="B93" s="474">
        <v>20</v>
      </c>
      <c r="C93" s="503">
        <v>3</v>
      </c>
      <c r="D93" s="486">
        <v>1770262</v>
      </c>
      <c r="E93" s="487">
        <f>IF(ISBLANK(D93),"-",$D$101/$D$98*D93)</f>
        <v>2220231.4167168965</v>
      </c>
      <c r="F93" s="486">
        <v>1452724</v>
      </c>
      <c r="G93" s="488">
        <f>IF(ISBLANK(F93),"-",$D$101/$F$98*F93)</f>
        <v>2153860.8433470568</v>
      </c>
      <c r="I93" s="489"/>
    </row>
    <row r="94" spans="1:12" ht="27" customHeight="1" thickBot="1" x14ac:dyDescent="0.45">
      <c r="A94" s="473" t="s">
        <v>68</v>
      </c>
      <c r="B94" s="474">
        <v>1</v>
      </c>
      <c r="C94" s="577">
        <v>4</v>
      </c>
      <c r="D94" s="491"/>
      <c r="E94" s="492" t="str">
        <f>IF(ISBLANK(D94),"-",$D$101/$D$98*D94)</f>
        <v>-</v>
      </c>
      <c r="F94" s="578"/>
      <c r="G94" s="493" t="str">
        <f>IF(ISBLANK(F94),"-",$D$101/$F$98*F94)</f>
        <v>-</v>
      </c>
      <c r="I94" s="494"/>
    </row>
    <row r="95" spans="1:12" ht="27" customHeight="1" thickBot="1" x14ac:dyDescent="0.45">
      <c r="A95" s="473" t="s">
        <v>69</v>
      </c>
      <c r="B95" s="474">
        <v>1</v>
      </c>
      <c r="C95" s="448" t="s">
        <v>70</v>
      </c>
      <c r="D95" s="579">
        <f>AVERAGE(D91:D94)</f>
        <v>1776484</v>
      </c>
      <c r="E95" s="497">
        <f>AVERAGE(E91:E94)</f>
        <v>2228034.9395145457</v>
      </c>
      <c r="F95" s="580">
        <f>AVERAGE(F91:F94)</f>
        <v>1457714</v>
      </c>
      <c r="G95" s="581">
        <f>AVERAGE(G91:G94)</f>
        <v>2161259.1967908642</v>
      </c>
    </row>
    <row r="96" spans="1:12" ht="26.25" customHeight="1" x14ac:dyDescent="0.4">
      <c r="A96" s="473" t="s">
        <v>71</v>
      </c>
      <c r="B96" s="450">
        <v>1</v>
      </c>
      <c r="C96" s="582" t="s">
        <v>112</v>
      </c>
      <c r="D96" s="583">
        <v>16.03</v>
      </c>
      <c r="E96" s="431"/>
      <c r="F96" s="500">
        <v>13.56</v>
      </c>
    </row>
    <row r="97" spans="1:10" ht="26.25" customHeight="1" x14ac:dyDescent="0.4">
      <c r="A97" s="473" t="s">
        <v>73</v>
      </c>
      <c r="B97" s="450">
        <v>1</v>
      </c>
      <c r="C97" s="584" t="s">
        <v>113</v>
      </c>
      <c r="D97" s="585">
        <f>D96*$B$87</f>
        <v>16.03</v>
      </c>
      <c r="E97" s="503"/>
      <c r="F97" s="502">
        <f>F96*$B$87</f>
        <v>13.56</v>
      </c>
    </row>
    <row r="98" spans="1:10" ht="19.5" customHeight="1" thickBot="1" x14ac:dyDescent="0.35">
      <c r="A98" s="473" t="s">
        <v>75</v>
      </c>
      <c r="B98" s="503">
        <f>(B97/B96)*(B95/B94)*(B93/B92)*(B91/B90)*B89</f>
        <v>500</v>
      </c>
      <c r="C98" s="584" t="s">
        <v>114</v>
      </c>
      <c r="D98" s="586">
        <f>D97*$B$83/100</f>
        <v>13.288870000000001</v>
      </c>
      <c r="E98" s="505"/>
      <c r="F98" s="504">
        <f>F97*$B$83/100</f>
        <v>11.241239999999999</v>
      </c>
    </row>
    <row r="99" spans="1:10" ht="19.5" customHeight="1" thickBot="1" x14ac:dyDescent="0.35">
      <c r="A99" s="506" t="s">
        <v>77</v>
      </c>
      <c r="B99" s="587"/>
      <c r="C99" s="584" t="s">
        <v>115</v>
      </c>
      <c r="D99" s="588">
        <f>D98/$B$98</f>
        <v>2.6577740000000002E-2</v>
      </c>
      <c r="E99" s="505"/>
      <c r="F99" s="510">
        <f>F98/$B$98</f>
        <v>2.2482479999999999E-2</v>
      </c>
      <c r="H99" s="373"/>
    </row>
    <row r="100" spans="1:10" ht="19.5" customHeight="1" thickBot="1" x14ac:dyDescent="0.35">
      <c r="A100" s="511"/>
      <c r="B100" s="589"/>
      <c r="C100" s="584" t="s">
        <v>79</v>
      </c>
      <c r="D100" s="590">
        <f>$B$56/$B$116</f>
        <v>3.3333333333333333E-2</v>
      </c>
      <c r="F100" s="517"/>
      <c r="G100" s="591"/>
      <c r="H100" s="373"/>
    </row>
    <row r="101" spans="1:10" ht="18.75" x14ac:dyDescent="0.3">
      <c r="C101" s="584" t="s">
        <v>80</v>
      </c>
      <c r="D101" s="585">
        <f>D100*$B$98</f>
        <v>16.666666666666668</v>
      </c>
      <c r="F101" s="517"/>
      <c r="H101" s="373"/>
    </row>
    <row r="102" spans="1:10" ht="19.5" customHeight="1" thickBot="1" x14ac:dyDescent="0.35">
      <c r="C102" s="592" t="s">
        <v>81</v>
      </c>
      <c r="D102" s="593">
        <f>D101/B34</f>
        <v>16.666666666666668</v>
      </c>
      <c r="F102" s="521"/>
      <c r="H102" s="373"/>
      <c r="J102" s="594"/>
    </row>
    <row r="103" spans="1:10" ht="18.75" x14ac:dyDescent="0.3">
      <c r="C103" s="595" t="s">
        <v>116</v>
      </c>
      <c r="D103" s="596">
        <f>AVERAGE(E91:E94,G91:G94)</f>
        <v>2194647.0681527052</v>
      </c>
      <c r="F103" s="521"/>
      <c r="G103" s="591"/>
      <c r="H103" s="373"/>
      <c r="J103" s="597"/>
    </row>
    <row r="104" spans="1:10" ht="18.75" x14ac:dyDescent="0.3">
      <c r="C104" s="565" t="s">
        <v>83</v>
      </c>
      <c r="D104" s="598">
        <f>STDEV(E91:E94,G91:G94)/D103</f>
        <v>1.6996357963124542E-2</v>
      </c>
      <c r="F104" s="521"/>
      <c r="H104" s="373"/>
      <c r="J104" s="597"/>
    </row>
    <row r="105" spans="1:10" ht="19.5" customHeight="1" thickBot="1" x14ac:dyDescent="0.35">
      <c r="C105" s="567" t="s">
        <v>19</v>
      </c>
      <c r="D105" s="599">
        <f>COUNT(E91:E94,G91:G94)</f>
        <v>6</v>
      </c>
      <c r="F105" s="521"/>
      <c r="H105" s="373"/>
      <c r="J105" s="597"/>
    </row>
    <row r="106" spans="1:10" ht="19.5" customHeight="1" thickBot="1" x14ac:dyDescent="0.35">
      <c r="A106" s="525"/>
      <c r="B106" s="525"/>
      <c r="C106" s="525"/>
      <c r="D106" s="525"/>
      <c r="E106" s="525"/>
    </row>
    <row r="107" spans="1:10" ht="26.25" customHeight="1" x14ac:dyDescent="0.4">
      <c r="A107" s="468" t="s">
        <v>117</v>
      </c>
      <c r="B107" s="469">
        <v>900</v>
      </c>
      <c r="C107" s="572" t="s">
        <v>150</v>
      </c>
      <c r="D107" s="600" t="s">
        <v>62</v>
      </c>
      <c r="E107" s="601" t="s">
        <v>119</v>
      </c>
      <c r="F107" s="602" t="s">
        <v>120</v>
      </c>
    </row>
    <row r="108" spans="1:10" ht="26.25" customHeight="1" x14ac:dyDescent="0.4">
      <c r="A108" s="473" t="s">
        <v>121</v>
      </c>
      <c r="B108" s="474">
        <v>1</v>
      </c>
      <c r="C108" s="603">
        <v>1</v>
      </c>
      <c r="D108" s="604">
        <v>2212348</v>
      </c>
      <c r="E108" s="605">
        <f t="shared" ref="E108:E113" si="1">IF(ISBLANK(D108),"-",D108/$D$103*$D$100*$B$116)</f>
        <v>30.241965080911996</v>
      </c>
      <c r="F108" s="606">
        <f t="shared" ref="F108:F113" si="2">IF(ISBLANK(D108), "-", E108/$B$56)</f>
        <v>1.0080655026970666</v>
      </c>
    </row>
    <row r="109" spans="1:10" ht="26.25" customHeight="1" x14ac:dyDescent="0.4">
      <c r="A109" s="473" t="s">
        <v>94</v>
      </c>
      <c r="B109" s="474">
        <v>1</v>
      </c>
      <c r="C109" s="603">
        <v>2</v>
      </c>
      <c r="D109" s="604">
        <v>2189635</v>
      </c>
      <c r="E109" s="607">
        <f t="shared" si="1"/>
        <v>29.931486913425346</v>
      </c>
      <c r="F109" s="608">
        <f t="shared" si="2"/>
        <v>0.99771623044751157</v>
      </c>
    </row>
    <row r="110" spans="1:10" ht="26.25" customHeight="1" x14ac:dyDescent="0.4">
      <c r="A110" s="473" t="s">
        <v>95</v>
      </c>
      <c r="B110" s="474">
        <v>1</v>
      </c>
      <c r="C110" s="603">
        <v>3</v>
      </c>
      <c r="D110" s="604">
        <v>2209258</v>
      </c>
      <c r="E110" s="607">
        <f t="shared" si="1"/>
        <v>30.199725943081951</v>
      </c>
      <c r="F110" s="608">
        <f t="shared" si="2"/>
        <v>1.0066575314360651</v>
      </c>
    </row>
    <row r="111" spans="1:10" ht="26.25" customHeight="1" x14ac:dyDescent="0.4">
      <c r="A111" s="473" t="s">
        <v>96</v>
      </c>
      <c r="B111" s="474">
        <v>1</v>
      </c>
      <c r="C111" s="603">
        <v>4</v>
      </c>
      <c r="D111" s="604">
        <v>2176199</v>
      </c>
      <c r="E111" s="607">
        <f t="shared" si="1"/>
        <v>29.747821846796079</v>
      </c>
      <c r="F111" s="608">
        <f t="shared" si="2"/>
        <v>0.99159406155986929</v>
      </c>
    </row>
    <row r="112" spans="1:10" ht="26.25" customHeight="1" x14ac:dyDescent="0.4">
      <c r="A112" s="473" t="s">
        <v>97</v>
      </c>
      <c r="B112" s="474">
        <v>1</v>
      </c>
      <c r="C112" s="603">
        <v>5</v>
      </c>
      <c r="D112" s="604">
        <v>2168627</v>
      </c>
      <c r="E112" s="607">
        <f t="shared" si="1"/>
        <v>29.644315454676633</v>
      </c>
      <c r="F112" s="608">
        <f t="shared" si="2"/>
        <v>0.9881438484892211</v>
      </c>
    </row>
    <row r="113" spans="1:10" ht="26.25" customHeight="1" x14ac:dyDescent="0.4">
      <c r="A113" s="473" t="s">
        <v>99</v>
      </c>
      <c r="B113" s="474">
        <v>1</v>
      </c>
      <c r="C113" s="609">
        <v>6</v>
      </c>
      <c r="D113" s="610">
        <v>2176475</v>
      </c>
      <c r="E113" s="611">
        <f t="shared" si="1"/>
        <v>29.751594662990605</v>
      </c>
      <c r="F113" s="612">
        <f t="shared" si="2"/>
        <v>0.9917198220996869</v>
      </c>
    </row>
    <row r="114" spans="1:10" ht="26.25" customHeight="1" x14ac:dyDescent="0.4">
      <c r="A114" s="473" t="s">
        <v>100</v>
      </c>
      <c r="B114" s="474">
        <v>1</v>
      </c>
      <c r="C114" s="603"/>
      <c r="D114" s="503"/>
      <c r="E114" s="431"/>
      <c r="F114" s="613"/>
    </row>
    <row r="115" spans="1:10" ht="26.25" customHeight="1" x14ac:dyDescent="0.4">
      <c r="A115" s="473" t="s">
        <v>101</v>
      </c>
      <c r="B115" s="474">
        <v>1</v>
      </c>
      <c r="C115" s="603"/>
      <c r="D115" s="614" t="s">
        <v>70</v>
      </c>
      <c r="E115" s="615">
        <f>AVERAGE(E108:E113)</f>
        <v>29.919484983647106</v>
      </c>
      <c r="F115" s="616">
        <f>AVERAGE(F108:F113)</f>
        <v>0.99731616612157004</v>
      </c>
    </row>
    <row r="116" spans="1:10" ht="27" customHeight="1" thickBot="1" x14ac:dyDescent="0.45">
      <c r="A116" s="473" t="s">
        <v>102</v>
      </c>
      <c r="B116" s="485">
        <f>(B115/B114)*(B113/B112)*(B111/B110)*(B109/B108)*B107</f>
        <v>900</v>
      </c>
      <c r="C116" s="617"/>
      <c r="D116" s="448" t="s">
        <v>83</v>
      </c>
      <c r="E116" s="618">
        <f>STDEV(E108:E113)/E115</f>
        <v>8.4030338604739341E-3</v>
      </c>
      <c r="F116" s="618">
        <f>STDEV(F108:F113)/F115</f>
        <v>8.4030338604739619E-3</v>
      </c>
      <c r="I116" s="431"/>
    </row>
    <row r="117" spans="1:10" ht="27" customHeight="1" thickBot="1" x14ac:dyDescent="0.45">
      <c r="A117" s="506" t="s">
        <v>77</v>
      </c>
      <c r="B117" s="507"/>
      <c r="C117" s="619"/>
      <c r="D117" s="620" t="s">
        <v>19</v>
      </c>
      <c r="E117" s="621">
        <f>COUNT(E108:E113)</f>
        <v>6</v>
      </c>
      <c r="F117" s="621">
        <f>COUNT(F108:F113)</f>
        <v>6</v>
      </c>
      <c r="I117" s="431"/>
      <c r="J117" s="597"/>
    </row>
    <row r="118" spans="1:10" ht="19.5" customHeight="1" thickBot="1" x14ac:dyDescent="0.35">
      <c r="A118" s="511"/>
      <c r="B118" s="512"/>
      <c r="C118" s="431"/>
      <c r="D118" s="431"/>
      <c r="E118" s="431"/>
      <c r="F118" s="503"/>
      <c r="G118" s="431"/>
      <c r="H118" s="431"/>
      <c r="I118" s="431"/>
    </row>
    <row r="119" spans="1:10" ht="18.75" x14ac:dyDescent="0.3">
      <c r="A119" s="622"/>
      <c r="B119" s="466"/>
      <c r="C119" s="431"/>
      <c r="D119" s="431"/>
      <c r="E119" s="431"/>
      <c r="F119" s="503"/>
      <c r="G119" s="431"/>
      <c r="H119" s="431"/>
      <c r="I119" s="431"/>
    </row>
    <row r="120" spans="1:10" ht="26.25" customHeight="1" x14ac:dyDescent="0.4">
      <c r="A120" s="447" t="s">
        <v>105</v>
      </c>
      <c r="B120" s="448" t="s">
        <v>125</v>
      </c>
      <c r="C120" s="569" t="str">
        <f>B20</f>
        <v xml:space="preserve">LAMIVUDINE </v>
      </c>
      <c r="D120" s="569"/>
      <c r="E120" s="431" t="s">
        <v>126</v>
      </c>
      <c r="F120" s="431"/>
      <c r="G120" s="570">
        <f>F115</f>
        <v>0.99731616612157004</v>
      </c>
      <c r="H120" s="431"/>
      <c r="I120" s="431"/>
    </row>
    <row r="121" spans="1:10" ht="19.5" customHeight="1" thickBot="1" x14ac:dyDescent="0.35">
      <c r="A121" s="623"/>
      <c r="B121" s="623"/>
      <c r="C121" s="624"/>
      <c r="D121" s="624"/>
      <c r="E121" s="624"/>
      <c r="F121" s="624"/>
      <c r="G121" s="624"/>
      <c r="H121" s="624"/>
    </row>
    <row r="122" spans="1:10" ht="18.75" x14ac:dyDescent="0.3">
      <c r="B122" s="625" t="s">
        <v>25</v>
      </c>
      <c r="C122" s="625"/>
      <c r="E122" s="574" t="s">
        <v>26</v>
      </c>
      <c r="F122" s="626"/>
      <c r="G122" s="625" t="s">
        <v>27</v>
      </c>
      <c r="H122" s="625"/>
    </row>
    <row r="123" spans="1:10" ht="69.95" customHeight="1" x14ac:dyDescent="0.3">
      <c r="A123" s="447" t="s">
        <v>28</v>
      </c>
      <c r="B123" s="627"/>
      <c r="C123" s="627"/>
      <c r="E123" s="627"/>
      <c r="F123" s="431"/>
      <c r="G123" s="627"/>
      <c r="H123" s="627"/>
    </row>
    <row r="124" spans="1:10" ht="69.95" customHeight="1" x14ac:dyDescent="0.3">
      <c r="A124" s="447" t="s">
        <v>29</v>
      </c>
      <c r="B124" s="628"/>
      <c r="C124" s="628"/>
      <c r="E124" s="628"/>
      <c r="F124" s="431"/>
      <c r="G124" s="629"/>
      <c r="H124" s="629"/>
    </row>
    <row r="125" spans="1:10" ht="18.75" x14ac:dyDescent="0.3">
      <c r="A125" s="503"/>
      <c r="B125" s="503"/>
      <c r="C125" s="503"/>
      <c r="D125" s="503"/>
      <c r="E125" s="503"/>
      <c r="F125" s="505"/>
      <c r="G125" s="503"/>
      <c r="H125" s="503"/>
      <c r="I125" s="431"/>
    </row>
    <row r="126" spans="1:10" ht="18.75" x14ac:dyDescent="0.3">
      <c r="A126" s="503"/>
      <c r="B126" s="503"/>
      <c r="C126" s="503"/>
      <c r="D126" s="503"/>
      <c r="E126" s="503"/>
      <c r="F126" s="505"/>
      <c r="G126" s="503"/>
      <c r="H126" s="503"/>
      <c r="I126" s="431"/>
    </row>
    <row r="127" spans="1:10" ht="18.75" x14ac:dyDescent="0.3">
      <c r="A127" s="503"/>
      <c r="B127" s="503"/>
      <c r="C127" s="503"/>
      <c r="D127" s="503"/>
      <c r="E127" s="503"/>
      <c r="F127" s="505"/>
      <c r="G127" s="503"/>
      <c r="H127" s="503"/>
      <c r="I127" s="431"/>
    </row>
    <row r="128" spans="1:10" ht="18.75" x14ac:dyDescent="0.3">
      <c r="A128" s="503"/>
      <c r="B128" s="503"/>
      <c r="C128" s="503"/>
      <c r="D128" s="503"/>
      <c r="E128" s="503"/>
      <c r="F128" s="505"/>
      <c r="G128" s="503"/>
      <c r="H128" s="503"/>
      <c r="I128" s="431"/>
    </row>
    <row r="129" spans="1:9" ht="18.75" x14ac:dyDescent="0.3">
      <c r="A129" s="503"/>
      <c r="B129" s="503"/>
      <c r="C129" s="503"/>
      <c r="D129" s="503"/>
      <c r="E129" s="503"/>
      <c r="F129" s="505"/>
      <c r="G129" s="503"/>
      <c r="H129" s="503"/>
      <c r="I129" s="431"/>
    </row>
    <row r="130" spans="1:9" ht="18.75" x14ac:dyDescent="0.3">
      <c r="A130" s="503"/>
      <c r="B130" s="503"/>
      <c r="C130" s="503"/>
      <c r="D130" s="503"/>
      <c r="E130" s="503"/>
      <c r="F130" s="505"/>
      <c r="G130" s="503"/>
      <c r="H130" s="503"/>
      <c r="I130" s="431"/>
    </row>
    <row r="131" spans="1:9" ht="18.75" x14ac:dyDescent="0.3">
      <c r="A131" s="503"/>
      <c r="B131" s="503"/>
      <c r="C131" s="503"/>
      <c r="D131" s="503"/>
      <c r="E131" s="503"/>
      <c r="F131" s="505"/>
      <c r="G131" s="503"/>
      <c r="H131" s="503"/>
      <c r="I131" s="431"/>
    </row>
    <row r="132" spans="1:9" ht="18.75" x14ac:dyDescent="0.3">
      <c r="A132" s="503"/>
      <c r="B132" s="503"/>
      <c r="C132" s="503"/>
      <c r="D132" s="503"/>
      <c r="E132" s="503"/>
      <c r="F132" s="505"/>
      <c r="G132" s="503"/>
      <c r="H132" s="503"/>
      <c r="I132" s="431"/>
    </row>
    <row r="133" spans="1:9" ht="18.75" x14ac:dyDescent="0.3">
      <c r="A133" s="503"/>
      <c r="B133" s="503"/>
      <c r="C133" s="503"/>
      <c r="D133" s="503"/>
      <c r="E133" s="503"/>
      <c r="F133" s="505"/>
      <c r="G133" s="503"/>
      <c r="H133" s="503"/>
      <c r="I133" s="431"/>
    </row>
    <row r="250" spans="1:1" x14ac:dyDescent="0.25">
      <c r="A250" s="338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1" zoomScale="50" zoomScaleNormal="40" zoomScalePageLayoutView="50" workbookViewId="0">
      <selection activeCell="B28" sqref="B28"/>
    </sheetView>
  </sheetViews>
  <sheetFormatPr defaultColWidth="9.140625" defaultRowHeight="13.5" x14ac:dyDescent="0.25"/>
  <cols>
    <col min="1" max="1" width="55.42578125" style="338" customWidth="1"/>
    <col min="2" max="2" width="33.7109375" style="338" customWidth="1"/>
    <col min="3" max="3" width="42.28515625" style="338" customWidth="1"/>
    <col min="4" max="4" width="30.5703125" style="338" customWidth="1"/>
    <col min="5" max="5" width="39.85546875" style="338" customWidth="1"/>
    <col min="6" max="6" width="30.7109375" style="338" customWidth="1"/>
    <col min="7" max="7" width="39.85546875" style="338" customWidth="1"/>
    <col min="8" max="8" width="30" style="338" customWidth="1"/>
    <col min="9" max="9" width="30.28515625" style="338" hidden="1" customWidth="1"/>
    <col min="10" max="10" width="30.42578125" style="338" customWidth="1"/>
    <col min="11" max="11" width="21.28515625" style="338" customWidth="1"/>
    <col min="12" max="12" width="9.140625" style="338"/>
    <col min="13" max="16384" width="9.140625" style="376"/>
  </cols>
  <sheetData>
    <row r="1" spans="1:9" ht="18.75" customHeight="1" x14ac:dyDescent="0.25">
      <c r="A1" s="429" t="s">
        <v>44</v>
      </c>
      <c r="B1" s="429"/>
      <c r="C1" s="429"/>
      <c r="D1" s="429"/>
      <c r="E1" s="429"/>
      <c r="F1" s="429"/>
      <c r="G1" s="429"/>
      <c r="H1" s="429"/>
      <c r="I1" s="429"/>
    </row>
    <row r="2" spans="1:9" ht="18.75" customHeight="1" x14ac:dyDescent="0.25">
      <c r="A2" s="429"/>
      <c r="B2" s="429"/>
      <c r="C2" s="429"/>
      <c r="D2" s="429"/>
      <c r="E2" s="429"/>
      <c r="F2" s="429"/>
      <c r="G2" s="429"/>
      <c r="H2" s="429"/>
      <c r="I2" s="429"/>
    </row>
    <row r="3" spans="1:9" ht="18.75" customHeight="1" x14ac:dyDescent="0.25">
      <c r="A3" s="429"/>
      <c r="B3" s="429"/>
      <c r="C3" s="429"/>
      <c r="D3" s="429"/>
      <c r="E3" s="429"/>
      <c r="F3" s="429"/>
      <c r="G3" s="429"/>
      <c r="H3" s="429"/>
      <c r="I3" s="429"/>
    </row>
    <row r="4" spans="1:9" ht="18.75" customHeight="1" x14ac:dyDescent="0.25">
      <c r="A4" s="429"/>
      <c r="B4" s="429"/>
      <c r="C4" s="429"/>
      <c r="D4" s="429"/>
      <c r="E4" s="429"/>
      <c r="F4" s="429"/>
      <c r="G4" s="429"/>
      <c r="H4" s="429"/>
      <c r="I4" s="429"/>
    </row>
    <row r="5" spans="1:9" ht="18.75" customHeight="1" x14ac:dyDescent="0.25">
      <c r="A5" s="429"/>
      <c r="B5" s="429"/>
      <c r="C5" s="429"/>
      <c r="D5" s="429"/>
      <c r="E5" s="429"/>
      <c r="F5" s="429"/>
      <c r="G5" s="429"/>
      <c r="H5" s="429"/>
      <c r="I5" s="429"/>
    </row>
    <row r="6" spans="1:9" ht="18.75" customHeight="1" x14ac:dyDescent="0.25">
      <c r="A6" s="429"/>
      <c r="B6" s="429"/>
      <c r="C6" s="429"/>
      <c r="D6" s="429"/>
      <c r="E6" s="429"/>
      <c r="F6" s="429"/>
      <c r="G6" s="429"/>
      <c r="H6" s="429"/>
      <c r="I6" s="429"/>
    </row>
    <row r="7" spans="1:9" ht="18.75" customHeight="1" x14ac:dyDescent="0.25">
      <c r="A7" s="429"/>
      <c r="B7" s="429"/>
      <c r="C7" s="429"/>
      <c r="D7" s="429"/>
      <c r="E7" s="429"/>
      <c r="F7" s="429"/>
      <c r="G7" s="429"/>
      <c r="H7" s="429"/>
      <c r="I7" s="429"/>
    </row>
    <row r="8" spans="1:9" x14ac:dyDescent="0.25">
      <c r="A8" s="430" t="s">
        <v>45</v>
      </c>
      <c r="B8" s="430"/>
      <c r="C8" s="430"/>
      <c r="D8" s="430"/>
      <c r="E8" s="430"/>
      <c r="F8" s="430"/>
      <c r="G8" s="430"/>
      <c r="H8" s="430"/>
      <c r="I8" s="430"/>
    </row>
    <row r="9" spans="1:9" x14ac:dyDescent="0.25">
      <c r="A9" s="430"/>
      <c r="B9" s="430"/>
      <c r="C9" s="430"/>
      <c r="D9" s="430"/>
      <c r="E9" s="430"/>
      <c r="F9" s="430"/>
      <c r="G9" s="430"/>
      <c r="H9" s="430"/>
      <c r="I9" s="430"/>
    </row>
    <row r="10" spans="1:9" x14ac:dyDescent="0.25">
      <c r="A10" s="430"/>
      <c r="B10" s="430"/>
      <c r="C10" s="430"/>
      <c r="D10" s="430"/>
      <c r="E10" s="430"/>
      <c r="F10" s="430"/>
      <c r="G10" s="430"/>
      <c r="H10" s="430"/>
      <c r="I10" s="430"/>
    </row>
    <row r="11" spans="1:9" x14ac:dyDescent="0.25">
      <c r="A11" s="430"/>
      <c r="B11" s="430"/>
      <c r="C11" s="430"/>
      <c r="D11" s="430"/>
      <c r="E11" s="430"/>
      <c r="F11" s="430"/>
      <c r="G11" s="430"/>
      <c r="H11" s="430"/>
      <c r="I11" s="430"/>
    </row>
    <row r="12" spans="1:9" x14ac:dyDescent="0.25">
      <c r="A12" s="430"/>
      <c r="B12" s="430"/>
      <c r="C12" s="430"/>
      <c r="D12" s="430"/>
      <c r="E12" s="430"/>
      <c r="F12" s="430"/>
      <c r="G12" s="430"/>
      <c r="H12" s="430"/>
      <c r="I12" s="430"/>
    </row>
    <row r="13" spans="1:9" x14ac:dyDescent="0.25">
      <c r="A13" s="430"/>
      <c r="B13" s="430"/>
      <c r="C13" s="430"/>
      <c r="D13" s="430"/>
      <c r="E13" s="430"/>
      <c r="F13" s="430"/>
      <c r="G13" s="430"/>
      <c r="H13" s="430"/>
      <c r="I13" s="430"/>
    </row>
    <row r="14" spans="1:9" x14ac:dyDescent="0.25">
      <c r="A14" s="430"/>
      <c r="B14" s="430"/>
      <c r="C14" s="430"/>
      <c r="D14" s="430"/>
      <c r="E14" s="430"/>
      <c r="F14" s="430"/>
      <c r="G14" s="430"/>
      <c r="H14" s="430"/>
      <c r="I14" s="430"/>
    </row>
    <row r="15" spans="1:9" ht="19.5" customHeight="1" thickBot="1" x14ac:dyDescent="0.35">
      <c r="A15" s="431"/>
    </row>
    <row r="16" spans="1:9" ht="19.5" customHeight="1" thickBot="1" x14ac:dyDescent="0.35">
      <c r="A16" s="432" t="s">
        <v>30</v>
      </c>
      <c r="B16" s="433"/>
      <c r="C16" s="433"/>
      <c r="D16" s="433"/>
      <c r="E16" s="433"/>
      <c r="F16" s="433"/>
      <c r="G16" s="433"/>
      <c r="H16" s="434"/>
    </row>
    <row r="17" spans="1:14" ht="20.25" customHeight="1" x14ac:dyDescent="0.25">
      <c r="A17" s="435" t="s">
        <v>46</v>
      </c>
      <c r="B17" s="435"/>
      <c r="C17" s="435"/>
      <c r="D17" s="435"/>
      <c r="E17" s="435"/>
      <c r="F17" s="435"/>
      <c r="G17" s="435"/>
      <c r="H17" s="435"/>
    </row>
    <row r="18" spans="1:14" ht="26.25" customHeight="1" x14ac:dyDescent="0.4">
      <c r="A18" s="436" t="s">
        <v>32</v>
      </c>
      <c r="B18" s="437" t="s">
        <v>5</v>
      </c>
      <c r="C18" s="437"/>
      <c r="D18" s="438"/>
      <c r="E18" s="439"/>
      <c r="F18" s="440"/>
      <c r="G18" s="440"/>
      <c r="H18" s="440"/>
    </row>
    <row r="19" spans="1:14" ht="26.25" customHeight="1" x14ac:dyDescent="0.4">
      <c r="A19" s="436" t="s">
        <v>33</v>
      </c>
      <c r="B19" s="441" t="s">
        <v>146</v>
      </c>
      <c r="C19" s="440">
        <v>29</v>
      </c>
      <c r="D19" s="440"/>
      <c r="E19" s="440"/>
      <c r="F19" s="440"/>
      <c r="G19" s="440"/>
      <c r="H19" s="440"/>
    </row>
    <row r="20" spans="1:14" ht="26.25" customHeight="1" x14ac:dyDescent="0.4">
      <c r="A20" s="436" t="s">
        <v>34</v>
      </c>
      <c r="B20" s="442" t="s">
        <v>132</v>
      </c>
      <c r="C20" s="442"/>
      <c r="D20" s="440"/>
      <c r="E20" s="440"/>
      <c r="F20" s="440"/>
      <c r="G20" s="440"/>
      <c r="H20" s="440"/>
    </row>
    <row r="21" spans="1:14" ht="26.25" customHeight="1" x14ac:dyDescent="0.4">
      <c r="A21" s="436" t="s">
        <v>35</v>
      </c>
      <c r="B21" s="442" t="s">
        <v>9</v>
      </c>
      <c r="C21" s="442"/>
      <c r="D21" s="442"/>
      <c r="E21" s="442"/>
      <c r="F21" s="442"/>
      <c r="G21" s="442"/>
      <c r="H21" s="442"/>
      <c r="I21" s="443"/>
    </row>
    <row r="22" spans="1:14" ht="26.25" customHeight="1" x14ac:dyDescent="0.4">
      <c r="A22" s="436" t="s">
        <v>36</v>
      </c>
      <c r="B22" s="444">
        <v>42562</v>
      </c>
      <c r="C22" s="440"/>
      <c r="D22" s="440"/>
      <c r="E22" s="440"/>
      <c r="F22" s="440"/>
      <c r="G22" s="440"/>
      <c r="H22" s="440"/>
    </row>
    <row r="23" spans="1:14" ht="26.25" customHeight="1" x14ac:dyDescent="0.4">
      <c r="A23" s="436" t="s">
        <v>37</v>
      </c>
      <c r="B23" s="444">
        <v>42563</v>
      </c>
      <c r="C23" s="440"/>
      <c r="D23" s="440"/>
      <c r="E23" s="440"/>
      <c r="F23" s="440"/>
      <c r="G23" s="440"/>
      <c r="H23" s="440"/>
    </row>
    <row r="24" spans="1:14" ht="18.75" x14ac:dyDescent="0.3">
      <c r="A24" s="436"/>
      <c r="B24" s="445"/>
    </row>
    <row r="25" spans="1:14" ht="18.75" x14ac:dyDescent="0.3">
      <c r="A25" s="446" t="s">
        <v>1</v>
      </c>
      <c r="B25" s="445"/>
    </row>
    <row r="26" spans="1:14" ht="26.25" customHeight="1" x14ac:dyDescent="0.4">
      <c r="A26" s="447" t="s">
        <v>4</v>
      </c>
      <c r="B26" s="437" t="s">
        <v>145</v>
      </c>
      <c r="C26" s="437"/>
    </row>
    <row r="27" spans="1:14" ht="26.25" customHeight="1" x14ac:dyDescent="0.4">
      <c r="A27" s="448" t="s">
        <v>47</v>
      </c>
      <c r="B27" s="449" t="s">
        <v>151</v>
      </c>
      <c r="C27" s="449"/>
    </row>
    <row r="28" spans="1:14" ht="27" customHeight="1" thickBot="1" x14ac:dyDescent="0.45">
      <c r="A28" s="448" t="s">
        <v>6</v>
      </c>
      <c r="B28" s="450">
        <v>99.4</v>
      </c>
    </row>
    <row r="29" spans="1:14" s="349" customFormat="1" ht="27" customHeight="1" thickBot="1" x14ac:dyDescent="0.45">
      <c r="A29" s="448" t="s">
        <v>48</v>
      </c>
      <c r="B29" s="451">
        <v>0</v>
      </c>
      <c r="C29" s="452" t="s">
        <v>49</v>
      </c>
      <c r="D29" s="453"/>
      <c r="E29" s="453"/>
      <c r="F29" s="453"/>
      <c r="G29" s="454"/>
      <c r="I29" s="455"/>
      <c r="J29" s="455"/>
      <c r="K29" s="455"/>
      <c r="L29" s="455"/>
    </row>
    <row r="30" spans="1:14" s="349" customFormat="1" ht="19.5" customHeight="1" thickBot="1" x14ac:dyDescent="0.35">
      <c r="A30" s="448" t="s">
        <v>50</v>
      </c>
      <c r="B30" s="456">
        <f>B28-B29</f>
        <v>99.4</v>
      </c>
      <c r="C30" s="457"/>
      <c r="D30" s="457"/>
      <c r="E30" s="457"/>
      <c r="F30" s="457"/>
      <c r="G30" s="458"/>
      <c r="I30" s="455"/>
      <c r="J30" s="455"/>
      <c r="K30" s="455"/>
      <c r="L30" s="455"/>
    </row>
    <row r="31" spans="1:14" s="349" customFormat="1" ht="27" customHeight="1" thickBot="1" x14ac:dyDescent="0.45">
      <c r="A31" s="448" t="s">
        <v>51</v>
      </c>
      <c r="B31" s="459">
        <v>1</v>
      </c>
      <c r="C31" s="460" t="s">
        <v>52</v>
      </c>
      <c r="D31" s="461"/>
      <c r="E31" s="461"/>
      <c r="F31" s="461"/>
      <c r="G31" s="461"/>
      <c r="H31" s="462"/>
      <c r="I31" s="455"/>
      <c r="J31" s="455"/>
      <c r="K31" s="455"/>
      <c r="L31" s="455"/>
    </row>
    <row r="32" spans="1:14" s="349" customFormat="1" ht="27" customHeight="1" thickBot="1" x14ac:dyDescent="0.45">
      <c r="A32" s="448" t="s">
        <v>53</v>
      </c>
      <c r="B32" s="459">
        <v>1</v>
      </c>
      <c r="C32" s="460" t="s">
        <v>54</v>
      </c>
      <c r="D32" s="461"/>
      <c r="E32" s="461"/>
      <c r="F32" s="461"/>
      <c r="G32" s="461"/>
      <c r="H32" s="462"/>
      <c r="I32" s="455"/>
      <c r="J32" s="455"/>
      <c r="K32" s="455"/>
      <c r="L32" s="463"/>
      <c r="M32" s="463"/>
      <c r="N32" s="464"/>
    </row>
    <row r="33" spans="1:14" s="349" customFormat="1" ht="17.25" customHeight="1" x14ac:dyDescent="0.3">
      <c r="A33" s="448"/>
      <c r="B33" s="465"/>
      <c r="C33" s="466"/>
      <c r="D33" s="466"/>
      <c r="E33" s="466"/>
      <c r="F33" s="466"/>
      <c r="G33" s="466"/>
      <c r="H33" s="466"/>
      <c r="I33" s="455"/>
      <c r="J33" s="455"/>
      <c r="K33" s="455"/>
      <c r="L33" s="463"/>
      <c r="M33" s="463"/>
      <c r="N33" s="464"/>
    </row>
    <row r="34" spans="1:14" s="349" customFormat="1" ht="18.75" x14ac:dyDescent="0.3">
      <c r="A34" s="448" t="s">
        <v>55</v>
      </c>
      <c r="B34" s="467">
        <f>B31/B32</f>
        <v>1</v>
      </c>
      <c r="C34" s="431" t="s">
        <v>56</v>
      </c>
      <c r="D34" s="431"/>
      <c r="E34" s="431"/>
      <c r="F34" s="431"/>
      <c r="G34" s="431"/>
      <c r="I34" s="455"/>
      <c r="J34" s="455"/>
      <c r="K34" s="455"/>
      <c r="L34" s="463"/>
      <c r="M34" s="463"/>
      <c r="N34" s="464"/>
    </row>
    <row r="35" spans="1:14" s="349" customFormat="1" ht="19.5" customHeight="1" thickBot="1" x14ac:dyDescent="0.35">
      <c r="A35" s="448"/>
      <c r="B35" s="456"/>
      <c r="G35" s="431"/>
      <c r="I35" s="455"/>
      <c r="J35" s="455"/>
      <c r="K35" s="455"/>
      <c r="L35" s="463"/>
      <c r="M35" s="463"/>
      <c r="N35" s="464"/>
    </row>
    <row r="36" spans="1:14" s="349" customFormat="1" ht="27" customHeight="1" thickBot="1" x14ac:dyDescent="0.45">
      <c r="A36" s="468" t="s">
        <v>57</v>
      </c>
      <c r="B36" s="469">
        <v>20</v>
      </c>
      <c r="C36" s="431"/>
      <c r="D36" s="470" t="s">
        <v>58</v>
      </c>
      <c r="E36" s="471"/>
      <c r="F36" s="470" t="s">
        <v>59</v>
      </c>
      <c r="G36" s="472"/>
      <c r="J36" s="455"/>
      <c r="K36" s="455"/>
      <c r="L36" s="463"/>
      <c r="M36" s="463"/>
      <c r="N36" s="464"/>
    </row>
    <row r="37" spans="1:14" s="349" customFormat="1" ht="27" customHeight="1" thickBot="1" x14ac:dyDescent="0.45">
      <c r="A37" s="473" t="s">
        <v>60</v>
      </c>
      <c r="B37" s="474">
        <v>4</v>
      </c>
      <c r="C37" s="475" t="s">
        <v>61</v>
      </c>
      <c r="D37" s="476" t="s">
        <v>62</v>
      </c>
      <c r="E37" s="477" t="s">
        <v>63</v>
      </c>
      <c r="F37" s="476" t="s">
        <v>62</v>
      </c>
      <c r="G37" s="478" t="s">
        <v>63</v>
      </c>
      <c r="I37" s="479" t="s">
        <v>64</v>
      </c>
      <c r="J37" s="455"/>
      <c r="K37" s="455"/>
      <c r="L37" s="463"/>
      <c r="M37" s="463"/>
      <c r="N37" s="464"/>
    </row>
    <row r="38" spans="1:14" s="349" customFormat="1" ht="26.25" customHeight="1" x14ac:dyDescent="0.4">
      <c r="A38" s="473" t="s">
        <v>65</v>
      </c>
      <c r="B38" s="474">
        <v>20</v>
      </c>
      <c r="C38" s="480">
        <v>1</v>
      </c>
      <c r="D38" s="481">
        <v>17892544</v>
      </c>
      <c r="E38" s="482">
        <f>IF(ISBLANK(D38),"-",$D$48/$D$45*D38)</f>
        <v>19197170.938893225</v>
      </c>
      <c r="F38" s="481">
        <v>19520349</v>
      </c>
      <c r="G38" s="483">
        <f>IF(ISBLANK(F38),"-",$D$48/$F$45*F38)</f>
        <v>19084721.154917844</v>
      </c>
      <c r="I38" s="484"/>
      <c r="J38" s="455"/>
      <c r="K38" s="455"/>
      <c r="L38" s="463"/>
      <c r="M38" s="463"/>
      <c r="N38" s="464"/>
    </row>
    <row r="39" spans="1:14" s="349" customFormat="1" ht="26.25" customHeight="1" x14ac:dyDescent="0.4">
      <c r="A39" s="473" t="s">
        <v>66</v>
      </c>
      <c r="B39" s="474">
        <v>1</v>
      </c>
      <c r="C39" s="485">
        <v>2</v>
      </c>
      <c r="D39" s="486">
        <v>17841005</v>
      </c>
      <c r="E39" s="487">
        <f>IF(ISBLANK(D39),"-",$D$48/$D$45*D39)</f>
        <v>19141873.995483745</v>
      </c>
      <c r="F39" s="486">
        <v>19414935</v>
      </c>
      <c r="G39" s="488">
        <f>IF(ISBLANK(F39),"-",$D$48/$F$45*F39)</f>
        <v>18981659.63712303</v>
      </c>
      <c r="I39" s="489">
        <f>ABS((F43/D43*D42)-F42)/D42</f>
        <v>9.8840447863940851E-3</v>
      </c>
      <c r="J39" s="455"/>
      <c r="K39" s="455"/>
      <c r="L39" s="463"/>
      <c r="M39" s="463"/>
      <c r="N39" s="464"/>
    </row>
    <row r="40" spans="1:14" ht="26.25" customHeight="1" x14ac:dyDescent="0.4">
      <c r="A40" s="473" t="s">
        <v>67</v>
      </c>
      <c r="B40" s="474">
        <v>1</v>
      </c>
      <c r="C40" s="485">
        <v>3</v>
      </c>
      <c r="D40" s="486">
        <v>17824505</v>
      </c>
      <c r="E40" s="487">
        <f>IF(ISBLANK(D40),"-",$D$48/$D$45*D40)</f>
        <v>19124170.905275237</v>
      </c>
      <c r="F40" s="486">
        <v>19310217</v>
      </c>
      <c r="G40" s="488">
        <f>IF(ISBLANK(F40),"-",$D$48/$F$45*F40)</f>
        <v>18879278.586973738</v>
      </c>
      <c r="I40" s="489"/>
      <c r="L40" s="463"/>
      <c r="M40" s="463"/>
      <c r="N40" s="431"/>
    </row>
    <row r="41" spans="1:14" ht="27" customHeight="1" thickBot="1" x14ac:dyDescent="0.45">
      <c r="A41" s="473" t="s">
        <v>68</v>
      </c>
      <c r="B41" s="474">
        <v>1</v>
      </c>
      <c r="C41" s="490">
        <v>4</v>
      </c>
      <c r="D41" s="491"/>
      <c r="E41" s="492" t="str">
        <f>IF(ISBLANK(D41),"-",$D$48/$D$45*D41)</f>
        <v>-</v>
      </c>
      <c r="F41" s="491"/>
      <c r="G41" s="493" t="str">
        <f>IF(ISBLANK(F41),"-",$D$48/$F$45*F41)</f>
        <v>-</v>
      </c>
      <c r="I41" s="494"/>
      <c r="L41" s="463"/>
      <c r="M41" s="463"/>
      <c r="N41" s="431"/>
    </row>
    <row r="42" spans="1:14" ht="27" customHeight="1" thickBot="1" x14ac:dyDescent="0.45">
      <c r="A42" s="473" t="s">
        <v>69</v>
      </c>
      <c r="B42" s="474">
        <v>1</v>
      </c>
      <c r="C42" s="495" t="s">
        <v>70</v>
      </c>
      <c r="D42" s="496">
        <f>AVERAGE(D38:D41)</f>
        <v>17852684.666666668</v>
      </c>
      <c r="E42" s="497">
        <f>AVERAGE(E38:E41)</f>
        <v>19154405.27988407</v>
      </c>
      <c r="F42" s="496">
        <f>AVERAGE(F38:F41)</f>
        <v>19415167</v>
      </c>
      <c r="G42" s="498">
        <f>AVERAGE(G38:G41)</f>
        <v>18981886.459671538</v>
      </c>
      <c r="H42" s="373"/>
    </row>
    <row r="43" spans="1:14" ht="26.25" customHeight="1" x14ac:dyDescent="0.4">
      <c r="A43" s="473" t="s">
        <v>71</v>
      </c>
      <c r="B43" s="474">
        <v>1</v>
      </c>
      <c r="C43" s="499" t="s">
        <v>72</v>
      </c>
      <c r="D43" s="500">
        <v>28.13</v>
      </c>
      <c r="E43" s="431"/>
      <c r="F43" s="500">
        <v>30.87</v>
      </c>
      <c r="H43" s="373"/>
    </row>
    <row r="44" spans="1:14" ht="26.25" customHeight="1" x14ac:dyDescent="0.4">
      <c r="A44" s="473" t="s">
        <v>73</v>
      </c>
      <c r="B44" s="474">
        <v>1</v>
      </c>
      <c r="C44" s="501" t="s">
        <v>74</v>
      </c>
      <c r="D44" s="502">
        <f>D43*$B$34</f>
        <v>28.13</v>
      </c>
      <c r="E44" s="503"/>
      <c r="F44" s="502">
        <f>F43*$B$34</f>
        <v>30.87</v>
      </c>
      <c r="H44" s="373"/>
    </row>
    <row r="45" spans="1:14" ht="19.5" customHeight="1" thickBot="1" x14ac:dyDescent="0.35">
      <c r="A45" s="473" t="s">
        <v>75</v>
      </c>
      <c r="B45" s="485">
        <f>(B44/B43)*(B42/B41)*(B40/B39)*(B38/B37)*B36</f>
        <v>100</v>
      </c>
      <c r="C45" s="501" t="s">
        <v>76</v>
      </c>
      <c r="D45" s="504">
        <f>D44*$B$30/100</f>
        <v>27.961219999999997</v>
      </c>
      <c r="E45" s="505"/>
      <c r="F45" s="504">
        <f>F44*$B$30/100</f>
        <v>30.68478</v>
      </c>
      <c r="H45" s="373"/>
    </row>
    <row r="46" spans="1:14" ht="19.5" customHeight="1" thickBot="1" x14ac:dyDescent="0.35">
      <c r="A46" s="506" t="s">
        <v>77</v>
      </c>
      <c r="B46" s="507"/>
      <c r="C46" s="501" t="s">
        <v>78</v>
      </c>
      <c r="D46" s="508">
        <f>D45/$B$45</f>
        <v>0.27961219999999998</v>
      </c>
      <c r="E46" s="509"/>
      <c r="F46" s="510">
        <f>F45/$B$45</f>
        <v>0.3068478</v>
      </c>
      <c r="H46" s="373"/>
    </row>
    <row r="47" spans="1:14" ht="27" customHeight="1" thickBot="1" x14ac:dyDescent="0.45">
      <c r="A47" s="511"/>
      <c r="B47" s="512"/>
      <c r="C47" s="513" t="s">
        <v>79</v>
      </c>
      <c r="D47" s="514">
        <v>0.3</v>
      </c>
      <c r="E47" s="515"/>
      <c r="F47" s="509"/>
      <c r="H47" s="373"/>
    </row>
    <row r="48" spans="1:14" ht="18.75" x14ac:dyDescent="0.3">
      <c r="C48" s="516" t="s">
        <v>80</v>
      </c>
      <c r="D48" s="504">
        <f>D47*$B$45</f>
        <v>30</v>
      </c>
      <c r="F48" s="517"/>
      <c r="H48" s="373"/>
    </row>
    <row r="49" spans="1:12" ht="19.5" customHeight="1" thickBot="1" x14ac:dyDescent="0.35">
      <c r="C49" s="518" t="s">
        <v>81</v>
      </c>
      <c r="D49" s="519">
        <f>D48/B34</f>
        <v>30</v>
      </c>
      <c r="F49" s="517"/>
      <c r="H49" s="373"/>
    </row>
    <row r="50" spans="1:12" ht="18.75" x14ac:dyDescent="0.3">
      <c r="C50" s="468" t="s">
        <v>82</v>
      </c>
      <c r="D50" s="520">
        <f>AVERAGE(E38:E41,G38:G41)</f>
        <v>19068145.869777802</v>
      </c>
      <c r="F50" s="521"/>
      <c r="H50" s="373"/>
    </row>
    <row r="51" spans="1:12" ht="18.75" x14ac:dyDescent="0.3">
      <c r="C51" s="473" t="s">
        <v>83</v>
      </c>
      <c r="D51" s="522">
        <f>STDEV(E38:E41,G38:G41)/D50</f>
        <v>6.1449607347133523E-3</v>
      </c>
      <c r="F51" s="521"/>
      <c r="H51" s="373"/>
    </row>
    <row r="52" spans="1:12" ht="19.5" customHeight="1" thickBot="1" x14ac:dyDescent="0.35">
      <c r="C52" s="523" t="s">
        <v>19</v>
      </c>
      <c r="D52" s="524">
        <f>COUNT(E38:E41,G38:G41)</f>
        <v>6</v>
      </c>
      <c r="F52" s="521"/>
    </row>
    <row r="54" spans="1:12" ht="18.75" x14ac:dyDescent="0.3">
      <c r="A54" s="525" t="s">
        <v>1</v>
      </c>
      <c r="B54" s="526" t="s">
        <v>84</v>
      </c>
    </row>
    <row r="55" spans="1:12" ht="18.75" x14ac:dyDescent="0.3">
      <c r="A55" s="431" t="s">
        <v>85</v>
      </c>
      <c r="B55" s="527" t="str">
        <f>B21</f>
        <v>LAMIVUDINE 30mg &amp; ZIDOVUDINE 60mg</v>
      </c>
    </row>
    <row r="56" spans="1:12" ht="26.25" customHeight="1" x14ac:dyDescent="0.4">
      <c r="A56" s="527" t="s">
        <v>86</v>
      </c>
      <c r="B56" s="528">
        <v>60</v>
      </c>
      <c r="C56" s="431" t="str">
        <f>B20</f>
        <v xml:space="preserve"> ZIDOVUDINE </v>
      </c>
      <c r="H56" s="503"/>
    </row>
    <row r="57" spans="1:12" ht="18.75" x14ac:dyDescent="0.3">
      <c r="A57" s="527" t="s">
        <v>87</v>
      </c>
      <c r="B57" s="529">
        <f>'Uniformity (2)'!C46</f>
        <v>160.3475</v>
      </c>
      <c r="H57" s="503"/>
    </row>
    <row r="58" spans="1:12" ht="19.5" customHeight="1" thickBot="1" x14ac:dyDescent="0.35">
      <c r="H58" s="503"/>
    </row>
    <row r="59" spans="1:12" s="349" customFormat="1" ht="27" customHeight="1" thickBot="1" x14ac:dyDescent="0.45">
      <c r="A59" s="468" t="s">
        <v>88</v>
      </c>
      <c r="B59" s="469">
        <v>50</v>
      </c>
      <c r="C59" s="431"/>
      <c r="D59" s="530" t="s">
        <v>89</v>
      </c>
      <c r="E59" s="531" t="s">
        <v>61</v>
      </c>
      <c r="F59" s="531" t="s">
        <v>62</v>
      </c>
      <c r="G59" s="531" t="s">
        <v>90</v>
      </c>
      <c r="H59" s="475" t="s">
        <v>91</v>
      </c>
      <c r="L59" s="455"/>
    </row>
    <row r="60" spans="1:12" s="349" customFormat="1" ht="26.25" customHeight="1" x14ac:dyDescent="0.4">
      <c r="A60" s="473" t="s">
        <v>92</v>
      </c>
      <c r="B60" s="474">
        <v>5</v>
      </c>
      <c r="C60" s="532" t="s">
        <v>93</v>
      </c>
      <c r="D60" s="533">
        <v>159.44</v>
      </c>
      <c r="E60" s="534">
        <v>1</v>
      </c>
      <c r="F60" s="535">
        <v>16772159</v>
      </c>
      <c r="G60" s="536">
        <f>IF(ISBLANK(F60),"-",(F60/$D$50*$D$47*$B$68)*($B$57/$D$60))</f>
        <v>53.075813959622714</v>
      </c>
      <c r="H60" s="537">
        <f t="shared" ref="H60:H71" si="0">IF(ISBLANK(F60),"-",G60/$B$56)</f>
        <v>0.88459689932704522</v>
      </c>
      <c r="L60" s="455"/>
    </row>
    <row r="61" spans="1:12" s="349" customFormat="1" ht="26.25" customHeight="1" x14ac:dyDescent="0.4">
      <c r="A61" s="473" t="s">
        <v>94</v>
      </c>
      <c r="B61" s="474">
        <v>20</v>
      </c>
      <c r="C61" s="538"/>
      <c r="D61" s="539"/>
      <c r="E61" s="540">
        <v>2</v>
      </c>
      <c r="F61" s="486">
        <v>16831820</v>
      </c>
      <c r="G61" s="541">
        <f>IF(ISBLANK(F61),"-",(F61/$D$50*$D$47*$B$68)*($B$57/$D$60))</f>
        <v>53.264612321040879</v>
      </c>
      <c r="H61" s="542">
        <f t="shared" si="0"/>
        <v>0.88774353868401468</v>
      </c>
      <c r="L61" s="455"/>
    </row>
    <row r="62" spans="1:12" s="349" customFormat="1" ht="26.25" customHeight="1" x14ac:dyDescent="0.4">
      <c r="A62" s="473" t="s">
        <v>95</v>
      </c>
      <c r="B62" s="474">
        <v>1</v>
      </c>
      <c r="C62" s="538"/>
      <c r="D62" s="539"/>
      <c r="E62" s="540">
        <v>3</v>
      </c>
      <c r="F62" s="543">
        <v>16759043</v>
      </c>
      <c r="G62" s="541">
        <f>IF(ISBLANK(F62),"-",(F62/$D$50*$D$47*$B$68)*($B$57/$D$60))</f>
        <v>53.034308129878653</v>
      </c>
      <c r="H62" s="542">
        <f t="shared" si="0"/>
        <v>0.88390513549797756</v>
      </c>
      <c r="L62" s="455"/>
    </row>
    <row r="63" spans="1:12" ht="27" customHeight="1" thickBot="1" x14ac:dyDescent="0.45">
      <c r="A63" s="473" t="s">
        <v>96</v>
      </c>
      <c r="B63" s="474">
        <v>1</v>
      </c>
      <c r="C63" s="544"/>
      <c r="D63" s="545"/>
      <c r="E63" s="546">
        <v>4</v>
      </c>
      <c r="F63" s="547"/>
      <c r="G63" s="541" t="str">
        <f>IF(ISBLANK(F63),"-",(F63/$D$50*$D$47*$B$68)*($B$57/$D$60))</f>
        <v>-</v>
      </c>
      <c r="H63" s="542" t="str">
        <f t="shared" si="0"/>
        <v>-</v>
      </c>
    </row>
    <row r="64" spans="1:12" ht="26.25" customHeight="1" x14ac:dyDescent="0.4">
      <c r="A64" s="473" t="s">
        <v>97</v>
      </c>
      <c r="B64" s="474">
        <v>1</v>
      </c>
      <c r="C64" s="532" t="s">
        <v>98</v>
      </c>
      <c r="D64" s="533">
        <v>162.32</v>
      </c>
      <c r="E64" s="534">
        <v>1</v>
      </c>
      <c r="F64" s="535">
        <v>17103612</v>
      </c>
      <c r="G64" s="548">
        <f>IF(ISBLANK(F64),"-",(F64/$D$50*$D$47*$B$68)*($B$57/$D$64))</f>
        <v>53.164383220798392</v>
      </c>
      <c r="H64" s="549">
        <f t="shared" si="0"/>
        <v>0.88607305367997324</v>
      </c>
    </row>
    <row r="65" spans="1:8" ht="26.25" customHeight="1" x14ac:dyDescent="0.4">
      <c r="A65" s="473" t="s">
        <v>99</v>
      </c>
      <c r="B65" s="474">
        <v>1</v>
      </c>
      <c r="C65" s="538"/>
      <c r="D65" s="539"/>
      <c r="E65" s="540">
        <v>2</v>
      </c>
      <c r="F65" s="486">
        <v>17218896</v>
      </c>
      <c r="G65" s="550">
        <f>IF(ISBLANK(F65),"-",(F65/$D$50*$D$47*$B$68)*($B$57/$D$64))</f>
        <v>53.522728741921448</v>
      </c>
      <c r="H65" s="551">
        <f t="shared" si="0"/>
        <v>0.89204547903202414</v>
      </c>
    </row>
    <row r="66" spans="1:8" ht="26.25" customHeight="1" x14ac:dyDescent="0.4">
      <c r="A66" s="473" t="s">
        <v>100</v>
      </c>
      <c r="B66" s="474">
        <v>1</v>
      </c>
      <c r="C66" s="538"/>
      <c r="D66" s="539"/>
      <c r="E66" s="540">
        <v>3</v>
      </c>
      <c r="F66" s="486">
        <v>17055601</v>
      </c>
      <c r="G66" s="550">
        <f>IF(ISBLANK(F66),"-",(F66/$D$50*$D$47*$B$68)*($B$57/$D$64))</f>
        <v>53.015147187917513</v>
      </c>
      <c r="H66" s="551">
        <f t="shared" si="0"/>
        <v>0.88358578646529184</v>
      </c>
    </row>
    <row r="67" spans="1:8" ht="27" customHeight="1" thickBot="1" x14ac:dyDescent="0.45">
      <c r="A67" s="473" t="s">
        <v>101</v>
      </c>
      <c r="B67" s="474">
        <v>1</v>
      </c>
      <c r="C67" s="544"/>
      <c r="D67" s="545"/>
      <c r="E67" s="546">
        <v>4</v>
      </c>
      <c r="F67" s="547"/>
      <c r="G67" s="552" t="str">
        <f>IF(ISBLANK(F67),"-",(F67/$D$50*$D$47*$B$68)*($B$57/$D$64))</f>
        <v>-</v>
      </c>
      <c r="H67" s="553" t="str">
        <f t="shared" si="0"/>
        <v>-</v>
      </c>
    </row>
    <row r="68" spans="1:8" ht="26.25" customHeight="1" x14ac:dyDescent="0.4">
      <c r="A68" s="473" t="s">
        <v>102</v>
      </c>
      <c r="B68" s="554">
        <f>(B67/B66)*(B65/B64)*(B63/B62)*(B61/B60)*B59</f>
        <v>200</v>
      </c>
      <c r="C68" s="532" t="s">
        <v>103</v>
      </c>
      <c r="D68" s="533">
        <v>160.15</v>
      </c>
      <c r="E68" s="534">
        <v>1</v>
      </c>
      <c r="F68" s="535">
        <v>16857881</v>
      </c>
      <c r="G68" s="548">
        <f>IF(ISBLANK(F68),"-",(F68/$D$50*$D$47*$B$68)*($B$57/$D$68))</f>
        <v>53.110576891995507</v>
      </c>
      <c r="H68" s="542">
        <f t="shared" si="0"/>
        <v>0.88517628153325845</v>
      </c>
    </row>
    <row r="69" spans="1:8" ht="27" customHeight="1" thickBot="1" x14ac:dyDescent="0.45">
      <c r="A69" s="523" t="s">
        <v>104</v>
      </c>
      <c r="B69" s="555">
        <f>(D47*B68)/B56*B57</f>
        <v>160.3475</v>
      </c>
      <c r="C69" s="538"/>
      <c r="D69" s="539"/>
      <c r="E69" s="540">
        <v>2</v>
      </c>
      <c r="F69" s="486">
        <v>16849885</v>
      </c>
      <c r="G69" s="550">
        <f>IF(ISBLANK(F69),"-",(F69/$D$50*$D$47*$B$68)*($B$57/$D$68))</f>
        <v>53.085385578043983</v>
      </c>
      <c r="H69" s="542">
        <f t="shared" si="0"/>
        <v>0.88475642630073303</v>
      </c>
    </row>
    <row r="70" spans="1:8" ht="26.25" customHeight="1" x14ac:dyDescent="0.4">
      <c r="A70" s="556" t="s">
        <v>77</v>
      </c>
      <c r="B70" s="557"/>
      <c r="C70" s="538"/>
      <c r="D70" s="539"/>
      <c r="E70" s="540">
        <v>3</v>
      </c>
      <c r="F70" s="486">
        <v>16775538</v>
      </c>
      <c r="G70" s="550">
        <f>IF(ISBLANK(F70),"-",(F70/$D$50*$D$47*$B$68)*($B$57/$D$68))</f>
        <v>52.851156136028749</v>
      </c>
      <c r="H70" s="542">
        <f t="shared" si="0"/>
        <v>0.88085260226714579</v>
      </c>
    </row>
    <row r="71" spans="1:8" ht="27" customHeight="1" thickBot="1" x14ac:dyDescent="0.45">
      <c r="A71" s="558"/>
      <c r="B71" s="559"/>
      <c r="C71" s="560"/>
      <c r="D71" s="545"/>
      <c r="E71" s="546">
        <v>4</v>
      </c>
      <c r="F71" s="547"/>
      <c r="G71" s="552" t="str">
        <f>IF(ISBLANK(F71),"-",(F71/$D$50*$D$47*$B$68)*($B$57/$D$68))</f>
        <v>-</v>
      </c>
      <c r="H71" s="561" t="str">
        <f t="shared" si="0"/>
        <v>-</v>
      </c>
    </row>
    <row r="72" spans="1:8" ht="26.25" customHeight="1" x14ac:dyDescent="0.4">
      <c r="A72" s="503"/>
      <c r="B72" s="503"/>
      <c r="C72" s="503"/>
      <c r="D72" s="503"/>
      <c r="E72" s="503"/>
      <c r="F72" s="562" t="s">
        <v>70</v>
      </c>
      <c r="G72" s="563">
        <f>AVERAGE(G60:G71)</f>
        <v>53.124901351916428</v>
      </c>
      <c r="H72" s="564">
        <f>AVERAGE(H60:H71)</f>
        <v>0.88541502253194038</v>
      </c>
    </row>
    <row r="73" spans="1:8" ht="26.25" customHeight="1" x14ac:dyDescent="0.4">
      <c r="C73" s="503"/>
      <c r="D73" s="503"/>
      <c r="E73" s="503"/>
      <c r="F73" s="565" t="s">
        <v>83</v>
      </c>
      <c r="G73" s="566">
        <f>STDEV(G60:G71)/G72</f>
        <v>3.5134475056401745E-3</v>
      </c>
      <c r="H73" s="566">
        <f>STDEV(H60:H71)/H72</f>
        <v>3.5134475056401897E-3</v>
      </c>
    </row>
    <row r="74" spans="1:8" ht="27" customHeight="1" thickBot="1" x14ac:dyDescent="0.45">
      <c r="A74" s="503"/>
      <c r="B74" s="503"/>
      <c r="C74" s="503"/>
      <c r="D74" s="503"/>
      <c r="E74" s="505"/>
      <c r="F74" s="567" t="s">
        <v>19</v>
      </c>
      <c r="G74" s="568">
        <f>COUNT(G60:G71)</f>
        <v>9</v>
      </c>
      <c r="H74" s="568">
        <f>COUNT(H60:H71)</f>
        <v>9</v>
      </c>
    </row>
    <row r="76" spans="1:8" ht="26.25" customHeight="1" x14ac:dyDescent="0.4">
      <c r="A76" s="447" t="s">
        <v>105</v>
      </c>
      <c r="B76" s="448" t="s">
        <v>106</v>
      </c>
      <c r="C76" s="569" t="str">
        <f>B20</f>
        <v xml:space="preserve"> ZIDOVUDINE </v>
      </c>
      <c r="D76" s="569"/>
      <c r="E76" s="431" t="s">
        <v>107</v>
      </c>
      <c r="F76" s="431"/>
      <c r="G76" s="570">
        <f>H72</f>
        <v>0.88541502253194038</v>
      </c>
      <c r="H76" s="456"/>
    </row>
    <row r="77" spans="1:8" ht="18.75" x14ac:dyDescent="0.3">
      <c r="A77" s="446" t="s">
        <v>108</v>
      </c>
      <c r="B77" s="446" t="s">
        <v>109</v>
      </c>
    </row>
    <row r="78" spans="1:8" ht="18.75" x14ac:dyDescent="0.3">
      <c r="A78" s="446"/>
      <c r="B78" s="446"/>
    </row>
    <row r="79" spans="1:8" ht="26.25" customHeight="1" x14ac:dyDescent="0.4">
      <c r="A79" s="447" t="s">
        <v>4</v>
      </c>
      <c r="B79" s="571" t="str">
        <f>B26</f>
        <v>Zidovudine</v>
      </c>
      <c r="C79" s="571"/>
    </row>
    <row r="80" spans="1:8" ht="26.25" customHeight="1" x14ac:dyDescent="0.4">
      <c r="A80" s="448" t="s">
        <v>47</v>
      </c>
      <c r="B80" s="571" t="str">
        <f>B27</f>
        <v>Z1-3</v>
      </c>
      <c r="C80" s="571"/>
    </row>
    <row r="81" spans="1:12" ht="27" customHeight="1" thickBot="1" x14ac:dyDescent="0.45">
      <c r="A81" s="448" t="s">
        <v>6</v>
      </c>
      <c r="B81" s="450">
        <f>B28</f>
        <v>99.4</v>
      </c>
    </row>
    <row r="82" spans="1:12" s="349" customFormat="1" ht="27" customHeight="1" thickBot="1" x14ac:dyDescent="0.45">
      <c r="A82" s="448" t="s">
        <v>48</v>
      </c>
      <c r="B82" s="451">
        <v>0</v>
      </c>
      <c r="C82" s="452" t="s">
        <v>49</v>
      </c>
      <c r="D82" s="453"/>
      <c r="E82" s="453"/>
      <c r="F82" s="453"/>
      <c r="G82" s="454"/>
      <c r="I82" s="455"/>
      <c r="J82" s="455"/>
      <c r="K82" s="455"/>
      <c r="L82" s="455"/>
    </row>
    <row r="83" spans="1:12" s="349" customFormat="1" ht="19.5" customHeight="1" thickBot="1" x14ac:dyDescent="0.35">
      <c r="A83" s="448" t="s">
        <v>50</v>
      </c>
      <c r="B83" s="456">
        <f>B81-B82</f>
        <v>99.4</v>
      </c>
      <c r="C83" s="457"/>
      <c r="D83" s="457"/>
      <c r="E83" s="457"/>
      <c r="F83" s="457"/>
      <c r="G83" s="458"/>
      <c r="I83" s="455"/>
      <c r="J83" s="455"/>
      <c r="K83" s="455"/>
      <c r="L83" s="455"/>
    </row>
    <row r="84" spans="1:12" s="349" customFormat="1" ht="27" customHeight="1" thickBot="1" x14ac:dyDescent="0.45">
      <c r="A84" s="448" t="s">
        <v>51</v>
      </c>
      <c r="B84" s="459">
        <v>1</v>
      </c>
      <c r="C84" s="460" t="s">
        <v>110</v>
      </c>
      <c r="D84" s="461"/>
      <c r="E84" s="461"/>
      <c r="F84" s="461"/>
      <c r="G84" s="461"/>
      <c r="H84" s="462"/>
      <c r="I84" s="455"/>
      <c r="J84" s="455"/>
      <c r="K84" s="455"/>
      <c r="L84" s="455"/>
    </row>
    <row r="85" spans="1:12" s="349" customFormat="1" ht="27" customHeight="1" thickBot="1" x14ac:dyDescent="0.45">
      <c r="A85" s="448" t="s">
        <v>53</v>
      </c>
      <c r="B85" s="459">
        <v>1</v>
      </c>
      <c r="C85" s="460" t="s">
        <v>111</v>
      </c>
      <c r="D85" s="461"/>
      <c r="E85" s="461"/>
      <c r="F85" s="461"/>
      <c r="G85" s="461"/>
      <c r="H85" s="462"/>
      <c r="I85" s="455"/>
      <c r="J85" s="455"/>
      <c r="K85" s="455"/>
      <c r="L85" s="455"/>
    </row>
    <row r="86" spans="1:12" s="349" customFormat="1" ht="18.75" x14ac:dyDescent="0.3">
      <c r="A86" s="448"/>
      <c r="B86" s="465"/>
      <c r="C86" s="466"/>
      <c r="D86" s="466"/>
      <c r="E86" s="466"/>
      <c r="F86" s="466"/>
      <c r="G86" s="466"/>
      <c r="H86" s="466"/>
      <c r="I86" s="455"/>
      <c r="J86" s="455"/>
      <c r="K86" s="455"/>
      <c r="L86" s="455"/>
    </row>
    <row r="87" spans="1:12" s="349" customFormat="1" ht="18.75" x14ac:dyDescent="0.3">
      <c r="A87" s="448" t="s">
        <v>55</v>
      </c>
      <c r="B87" s="467">
        <f>B84/B85</f>
        <v>1</v>
      </c>
      <c r="C87" s="431" t="s">
        <v>56</v>
      </c>
      <c r="D87" s="431"/>
      <c r="E87" s="431"/>
      <c r="F87" s="431"/>
      <c r="G87" s="431"/>
      <c r="I87" s="455"/>
      <c r="J87" s="455"/>
      <c r="K87" s="455"/>
      <c r="L87" s="455"/>
    </row>
    <row r="88" spans="1:12" ht="19.5" customHeight="1" thickBot="1" x14ac:dyDescent="0.35">
      <c r="A88" s="446"/>
      <c r="B88" s="446"/>
    </row>
    <row r="89" spans="1:12" ht="27" customHeight="1" thickBot="1" x14ac:dyDescent="0.45">
      <c r="A89" s="468" t="s">
        <v>57</v>
      </c>
      <c r="B89" s="469">
        <v>20</v>
      </c>
      <c r="D89" s="572" t="s">
        <v>58</v>
      </c>
      <c r="E89" s="573"/>
      <c r="F89" s="470" t="s">
        <v>59</v>
      </c>
      <c r="G89" s="472"/>
    </row>
    <row r="90" spans="1:12" ht="27" customHeight="1" thickBot="1" x14ac:dyDescent="0.45">
      <c r="A90" s="473" t="s">
        <v>60</v>
      </c>
      <c r="B90" s="474">
        <v>4</v>
      </c>
      <c r="C90" s="574" t="s">
        <v>61</v>
      </c>
      <c r="D90" s="476" t="s">
        <v>62</v>
      </c>
      <c r="E90" s="477" t="s">
        <v>63</v>
      </c>
      <c r="F90" s="476" t="s">
        <v>62</v>
      </c>
      <c r="G90" s="575" t="s">
        <v>63</v>
      </c>
      <c r="I90" s="479" t="s">
        <v>64</v>
      </c>
    </row>
    <row r="91" spans="1:12" ht="26.25" customHeight="1" x14ac:dyDescent="0.4">
      <c r="A91" s="473" t="s">
        <v>65</v>
      </c>
      <c r="B91" s="474">
        <v>20</v>
      </c>
      <c r="C91" s="576">
        <v>1</v>
      </c>
      <c r="D91" s="481">
        <v>3608038</v>
      </c>
      <c r="E91" s="482">
        <f>IF(ISBLANK(D91),"-",$D$101/$D$98*D91)</f>
        <v>4301240.5514971577</v>
      </c>
      <c r="F91" s="481">
        <v>3917331</v>
      </c>
      <c r="G91" s="483">
        <f>IF(ISBLANK(F91),"-",$D$101/$F$98*F91)</f>
        <v>4255454.9845232721</v>
      </c>
      <c r="I91" s="484"/>
    </row>
    <row r="92" spans="1:12" ht="26.25" customHeight="1" x14ac:dyDescent="0.4">
      <c r="A92" s="473" t="s">
        <v>66</v>
      </c>
      <c r="B92" s="474">
        <v>4</v>
      </c>
      <c r="C92" s="503">
        <v>2</v>
      </c>
      <c r="D92" s="486">
        <v>3591387</v>
      </c>
      <c r="E92" s="487">
        <f>IF(ISBLANK(D92),"-",$D$101/$D$98*D92)</f>
        <v>4281390.440045177</v>
      </c>
      <c r="F92" s="486">
        <v>3896364</v>
      </c>
      <c r="G92" s="488">
        <f>IF(ISBLANK(F92),"-",$D$101/$F$98*F92)</f>
        <v>4232678.2202772843</v>
      </c>
      <c r="I92" s="489">
        <f>ABS((F96/D96*D95)-F95)/D95</f>
        <v>1.1810111730414973E-2</v>
      </c>
    </row>
    <row r="93" spans="1:12" ht="26.25" customHeight="1" x14ac:dyDescent="0.4">
      <c r="A93" s="473" t="s">
        <v>67</v>
      </c>
      <c r="B93" s="474">
        <v>20</v>
      </c>
      <c r="C93" s="503">
        <v>3</v>
      </c>
      <c r="D93" s="486">
        <v>3575506</v>
      </c>
      <c r="E93" s="487">
        <f>IF(ISBLANK(D93),"-",$D$101/$D$98*D93)</f>
        <v>4262458.2666040091</v>
      </c>
      <c r="F93" s="486">
        <v>3883514</v>
      </c>
      <c r="G93" s="488">
        <f>IF(ISBLANK(F93),"-",$D$101/$F$98*F93)</f>
        <v>4218719.0739730475</v>
      </c>
      <c r="I93" s="489"/>
    </row>
    <row r="94" spans="1:12" ht="27" customHeight="1" thickBot="1" x14ac:dyDescent="0.45">
      <c r="A94" s="473" t="s">
        <v>68</v>
      </c>
      <c r="B94" s="474">
        <v>1</v>
      </c>
      <c r="C94" s="577">
        <v>4</v>
      </c>
      <c r="D94" s="491"/>
      <c r="E94" s="492" t="str">
        <f>IF(ISBLANK(D94),"-",$D$101/$D$98*D94)</f>
        <v>-</v>
      </c>
      <c r="F94" s="578"/>
      <c r="G94" s="493" t="str">
        <f>IF(ISBLANK(F94),"-",$D$101/$F$98*F94)</f>
        <v>-</v>
      </c>
      <c r="I94" s="494"/>
    </row>
    <row r="95" spans="1:12" ht="27" customHeight="1" thickBot="1" x14ac:dyDescent="0.45">
      <c r="A95" s="473" t="s">
        <v>69</v>
      </c>
      <c r="B95" s="474">
        <v>1</v>
      </c>
      <c r="C95" s="448" t="s">
        <v>70</v>
      </c>
      <c r="D95" s="579">
        <f>AVERAGE(D91:D94)</f>
        <v>3591643.6666666665</v>
      </c>
      <c r="E95" s="497">
        <f>AVERAGE(E91:E94)</f>
        <v>4281696.4193821149</v>
      </c>
      <c r="F95" s="580">
        <f>AVERAGE(F91:F94)</f>
        <v>3899069.6666666665</v>
      </c>
      <c r="G95" s="581">
        <f>AVERAGE(G91:G94)</f>
        <v>4235617.4262578683</v>
      </c>
    </row>
    <row r="96" spans="1:12" ht="26.25" customHeight="1" x14ac:dyDescent="0.4">
      <c r="A96" s="473" t="s">
        <v>71</v>
      </c>
      <c r="B96" s="450">
        <v>1</v>
      </c>
      <c r="C96" s="582" t="s">
        <v>112</v>
      </c>
      <c r="D96" s="583">
        <v>28.13</v>
      </c>
      <c r="E96" s="431"/>
      <c r="F96" s="500">
        <v>30.87</v>
      </c>
    </row>
    <row r="97" spans="1:10" ht="26.25" customHeight="1" x14ac:dyDescent="0.4">
      <c r="A97" s="473" t="s">
        <v>73</v>
      </c>
      <c r="B97" s="450">
        <v>1</v>
      </c>
      <c r="C97" s="584" t="s">
        <v>113</v>
      </c>
      <c r="D97" s="585">
        <f>D96*$B$87</f>
        <v>28.13</v>
      </c>
      <c r="E97" s="503"/>
      <c r="F97" s="502">
        <f>F96*$B$87</f>
        <v>30.87</v>
      </c>
    </row>
    <row r="98" spans="1:10" ht="19.5" customHeight="1" thickBot="1" x14ac:dyDescent="0.35">
      <c r="A98" s="473" t="s">
        <v>75</v>
      </c>
      <c r="B98" s="503">
        <f>(B97/B96)*(B95/B94)*(B93/B92)*(B91/B90)*B89</f>
        <v>500</v>
      </c>
      <c r="C98" s="584" t="s">
        <v>114</v>
      </c>
      <c r="D98" s="586">
        <f>D97*$B$83/100</f>
        <v>27.961219999999997</v>
      </c>
      <c r="E98" s="505"/>
      <c r="F98" s="504">
        <f>F97*$B$83/100</f>
        <v>30.68478</v>
      </c>
    </row>
    <row r="99" spans="1:10" ht="19.5" customHeight="1" thickBot="1" x14ac:dyDescent="0.35">
      <c r="A99" s="506" t="s">
        <v>77</v>
      </c>
      <c r="B99" s="587"/>
      <c r="C99" s="584" t="s">
        <v>115</v>
      </c>
      <c r="D99" s="588">
        <f>D98/$B$98</f>
        <v>5.5922439999999997E-2</v>
      </c>
      <c r="E99" s="505"/>
      <c r="F99" s="510">
        <f>F98/$B$98</f>
        <v>6.1369559999999997E-2</v>
      </c>
      <c r="H99" s="373"/>
    </row>
    <row r="100" spans="1:10" ht="19.5" customHeight="1" thickBot="1" x14ac:dyDescent="0.35">
      <c r="A100" s="511"/>
      <c r="B100" s="589"/>
      <c r="C100" s="584" t="s">
        <v>79</v>
      </c>
      <c r="D100" s="590">
        <f>$B$56/$B$116</f>
        <v>6.6666666666666666E-2</v>
      </c>
      <c r="F100" s="517"/>
      <c r="G100" s="591"/>
      <c r="H100" s="373"/>
    </row>
    <row r="101" spans="1:10" ht="18.75" x14ac:dyDescent="0.3">
      <c r="C101" s="584" t="s">
        <v>80</v>
      </c>
      <c r="D101" s="585">
        <f>D100*$B$98</f>
        <v>33.333333333333336</v>
      </c>
      <c r="F101" s="517"/>
      <c r="H101" s="373"/>
    </row>
    <row r="102" spans="1:10" ht="19.5" customHeight="1" thickBot="1" x14ac:dyDescent="0.35">
      <c r="C102" s="592" t="s">
        <v>81</v>
      </c>
      <c r="D102" s="593">
        <f>D101/B34</f>
        <v>33.333333333333336</v>
      </c>
      <c r="F102" s="521"/>
      <c r="H102" s="373"/>
      <c r="J102" s="594"/>
    </row>
    <row r="103" spans="1:10" ht="18.75" x14ac:dyDescent="0.3">
      <c r="C103" s="595" t="s">
        <v>116</v>
      </c>
      <c r="D103" s="596">
        <f>AVERAGE(E91:E94,G91:G94)</f>
        <v>4258656.9228199916</v>
      </c>
      <c r="F103" s="521"/>
      <c r="G103" s="591"/>
      <c r="H103" s="373"/>
      <c r="J103" s="597"/>
    </row>
    <row r="104" spans="1:10" ht="18.75" x14ac:dyDescent="0.3">
      <c r="C104" s="565" t="s">
        <v>83</v>
      </c>
      <c r="D104" s="598">
        <f>STDEV(E91:E94,G91:G94)/D103</f>
        <v>7.1414941534153255E-3</v>
      </c>
      <c r="F104" s="521"/>
      <c r="H104" s="373"/>
      <c r="J104" s="597"/>
    </row>
    <row r="105" spans="1:10" ht="19.5" customHeight="1" thickBot="1" x14ac:dyDescent="0.35">
      <c r="C105" s="567" t="s">
        <v>19</v>
      </c>
      <c r="D105" s="599">
        <f>COUNT(E91:E94,G91:G94)</f>
        <v>6</v>
      </c>
      <c r="F105" s="521"/>
      <c r="H105" s="373"/>
      <c r="J105" s="597"/>
    </row>
    <row r="106" spans="1:10" ht="19.5" customHeight="1" thickBot="1" x14ac:dyDescent="0.35">
      <c r="A106" s="525"/>
      <c r="B106" s="525"/>
      <c r="C106" s="525"/>
      <c r="D106" s="525"/>
      <c r="E106" s="525"/>
    </row>
    <row r="107" spans="1:10" ht="26.25" customHeight="1" x14ac:dyDescent="0.4">
      <c r="A107" s="468" t="s">
        <v>117</v>
      </c>
      <c r="B107" s="469">
        <v>900</v>
      </c>
      <c r="C107" s="572" t="s">
        <v>150</v>
      </c>
      <c r="D107" s="600" t="s">
        <v>62</v>
      </c>
      <c r="E107" s="601" t="s">
        <v>119</v>
      </c>
      <c r="F107" s="602" t="s">
        <v>120</v>
      </c>
    </row>
    <row r="108" spans="1:10" ht="26.25" customHeight="1" x14ac:dyDescent="0.4">
      <c r="A108" s="473" t="s">
        <v>121</v>
      </c>
      <c r="B108" s="474">
        <v>1</v>
      </c>
      <c r="C108" s="603">
        <v>1</v>
      </c>
      <c r="D108" s="604">
        <v>3914698</v>
      </c>
      <c r="E108" s="605">
        <f t="shared" ref="E108:E113" si="1">IF(ISBLANK(D108),"-",D108/$D$103*$D$100*$B$116)</f>
        <v>55.153980293971706</v>
      </c>
      <c r="F108" s="606">
        <f t="shared" ref="F108:F113" si="2">IF(ISBLANK(D108), "-", E108/$B$56)</f>
        <v>0.91923300489952842</v>
      </c>
    </row>
    <row r="109" spans="1:10" ht="26.25" customHeight="1" x14ac:dyDescent="0.4">
      <c r="A109" s="473" t="s">
        <v>94</v>
      </c>
      <c r="B109" s="474">
        <v>1</v>
      </c>
      <c r="C109" s="603">
        <v>2</v>
      </c>
      <c r="D109" s="604">
        <v>3889870</v>
      </c>
      <c r="E109" s="607">
        <f t="shared" si="1"/>
        <v>54.804179869331357</v>
      </c>
      <c r="F109" s="608">
        <f t="shared" si="2"/>
        <v>0.91340299782218926</v>
      </c>
    </row>
    <row r="110" spans="1:10" ht="26.25" customHeight="1" x14ac:dyDescent="0.4">
      <c r="A110" s="473" t="s">
        <v>95</v>
      </c>
      <c r="B110" s="474">
        <v>1</v>
      </c>
      <c r="C110" s="603">
        <v>3</v>
      </c>
      <c r="D110" s="604">
        <v>3920230</v>
      </c>
      <c r="E110" s="607">
        <f t="shared" si="1"/>
        <v>55.231920359587562</v>
      </c>
      <c r="F110" s="608">
        <f t="shared" si="2"/>
        <v>0.92053200599312601</v>
      </c>
    </row>
    <row r="111" spans="1:10" ht="26.25" customHeight="1" x14ac:dyDescent="0.4">
      <c r="A111" s="473" t="s">
        <v>96</v>
      </c>
      <c r="B111" s="474">
        <v>1</v>
      </c>
      <c r="C111" s="603">
        <v>4</v>
      </c>
      <c r="D111" s="604">
        <v>3857643</v>
      </c>
      <c r="E111" s="607">
        <f t="shared" si="1"/>
        <v>54.350135311377244</v>
      </c>
      <c r="F111" s="608">
        <f t="shared" si="2"/>
        <v>0.90583558852295409</v>
      </c>
    </row>
    <row r="112" spans="1:10" ht="26.25" customHeight="1" x14ac:dyDescent="0.4">
      <c r="A112" s="473" t="s">
        <v>97</v>
      </c>
      <c r="B112" s="474">
        <v>1</v>
      </c>
      <c r="C112" s="603">
        <v>5</v>
      </c>
      <c r="D112" s="604">
        <v>3844838</v>
      </c>
      <c r="E112" s="607">
        <f t="shared" si="1"/>
        <v>54.169726320015897</v>
      </c>
      <c r="F112" s="608">
        <f t="shared" si="2"/>
        <v>0.9028287720002649</v>
      </c>
    </row>
    <row r="113" spans="1:10" ht="26.25" customHeight="1" x14ac:dyDescent="0.4">
      <c r="A113" s="473" t="s">
        <v>99</v>
      </c>
      <c r="B113" s="474">
        <v>1</v>
      </c>
      <c r="C113" s="609">
        <v>6</v>
      </c>
      <c r="D113" s="610">
        <v>3844241</v>
      </c>
      <c r="E113" s="611">
        <f t="shared" si="1"/>
        <v>54.161315217490106</v>
      </c>
      <c r="F113" s="612">
        <f t="shared" si="2"/>
        <v>0.90268858695816845</v>
      </c>
    </row>
    <row r="114" spans="1:10" ht="26.25" customHeight="1" x14ac:dyDescent="0.4">
      <c r="A114" s="473" t="s">
        <v>100</v>
      </c>
      <c r="B114" s="474">
        <v>1</v>
      </c>
      <c r="C114" s="603"/>
      <c r="D114" s="503"/>
      <c r="E114" s="431"/>
      <c r="F114" s="613"/>
    </row>
    <row r="115" spans="1:10" ht="26.25" customHeight="1" x14ac:dyDescent="0.4">
      <c r="A115" s="473" t="s">
        <v>101</v>
      </c>
      <c r="B115" s="474">
        <v>1</v>
      </c>
      <c r="C115" s="603"/>
      <c r="D115" s="614" t="s">
        <v>70</v>
      </c>
      <c r="E115" s="615">
        <f>AVERAGE(E108:E113)</f>
        <v>54.645209561962311</v>
      </c>
      <c r="F115" s="616">
        <f>AVERAGE(F108:F113)</f>
        <v>0.91075349269937178</v>
      </c>
    </row>
    <row r="116" spans="1:10" ht="27" customHeight="1" thickBot="1" x14ac:dyDescent="0.45">
      <c r="A116" s="473" t="s">
        <v>102</v>
      </c>
      <c r="B116" s="485">
        <f>(B115/B114)*(B113/B112)*(B111/B110)*(B109/B108)*B107</f>
        <v>900</v>
      </c>
      <c r="C116" s="617"/>
      <c r="D116" s="448" t="s">
        <v>83</v>
      </c>
      <c r="E116" s="618">
        <f>STDEV(E108:E113)/E115</f>
        <v>8.8736637469990966E-3</v>
      </c>
      <c r="F116" s="618">
        <f>STDEV(F108:F113)/F115</f>
        <v>8.8736637469990897E-3</v>
      </c>
      <c r="I116" s="431"/>
    </row>
    <row r="117" spans="1:10" ht="27" customHeight="1" thickBot="1" x14ac:dyDescent="0.45">
      <c r="A117" s="506" t="s">
        <v>77</v>
      </c>
      <c r="B117" s="507"/>
      <c r="C117" s="619"/>
      <c r="D117" s="620" t="s">
        <v>19</v>
      </c>
      <c r="E117" s="621">
        <f>COUNT(E108:E113)</f>
        <v>6</v>
      </c>
      <c r="F117" s="621">
        <f>COUNT(F108:F113)</f>
        <v>6</v>
      </c>
      <c r="I117" s="431"/>
      <c r="J117" s="597"/>
    </row>
    <row r="118" spans="1:10" ht="19.5" customHeight="1" thickBot="1" x14ac:dyDescent="0.35">
      <c r="A118" s="511"/>
      <c r="B118" s="512"/>
      <c r="C118" s="431"/>
      <c r="D118" s="431"/>
      <c r="E118" s="431"/>
      <c r="F118" s="503"/>
      <c r="G118" s="431"/>
      <c r="H118" s="431"/>
      <c r="I118" s="431"/>
    </row>
    <row r="119" spans="1:10" ht="18.75" x14ac:dyDescent="0.3">
      <c r="A119" s="622"/>
      <c r="B119" s="466"/>
      <c r="C119" s="431"/>
      <c r="D119" s="431"/>
      <c r="E119" s="431"/>
      <c r="F119" s="503"/>
      <c r="G119" s="431"/>
      <c r="H119" s="431"/>
      <c r="I119" s="431"/>
    </row>
    <row r="120" spans="1:10" ht="26.25" customHeight="1" x14ac:dyDescent="0.4">
      <c r="A120" s="447" t="s">
        <v>105</v>
      </c>
      <c r="B120" s="448" t="s">
        <v>125</v>
      </c>
      <c r="C120" s="569" t="str">
        <f>B20</f>
        <v xml:space="preserve"> ZIDOVUDINE </v>
      </c>
      <c r="D120" s="569"/>
      <c r="E120" s="431" t="s">
        <v>126</v>
      </c>
      <c r="F120" s="431"/>
      <c r="G120" s="570">
        <f>F115</f>
        <v>0.91075349269937178</v>
      </c>
      <c r="H120" s="431"/>
      <c r="I120" s="431"/>
    </row>
    <row r="121" spans="1:10" ht="19.5" customHeight="1" thickBot="1" x14ac:dyDescent="0.35">
      <c r="A121" s="623"/>
      <c r="B121" s="623"/>
      <c r="C121" s="624"/>
      <c r="D121" s="624"/>
      <c r="E121" s="624"/>
      <c r="F121" s="624"/>
      <c r="G121" s="624"/>
      <c r="H121" s="624"/>
    </row>
    <row r="122" spans="1:10" ht="18.75" x14ac:dyDescent="0.3">
      <c r="B122" s="625" t="s">
        <v>25</v>
      </c>
      <c r="C122" s="625"/>
      <c r="E122" s="574" t="s">
        <v>26</v>
      </c>
      <c r="F122" s="626"/>
      <c r="G122" s="625" t="s">
        <v>27</v>
      </c>
      <c r="H122" s="625"/>
    </row>
    <row r="123" spans="1:10" ht="69.95" customHeight="1" x14ac:dyDescent="0.3">
      <c r="A123" s="447" t="s">
        <v>28</v>
      </c>
      <c r="B123" s="627"/>
      <c r="C123" s="627"/>
      <c r="E123" s="627"/>
      <c r="F123" s="431"/>
      <c r="G123" s="627"/>
      <c r="H123" s="627"/>
    </row>
    <row r="124" spans="1:10" ht="69.95" customHeight="1" x14ac:dyDescent="0.3">
      <c r="A124" s="447" t="s">
        <v>29</v>
      </c>
      <c r="B124" s="628"/>
      <c r="C124" s="628"/>
      <c r="E124" s="628"/>
      <c r="F124" s="431"/>
      <c r="G124" s="629"/>
      <c r="H124" s="629"/>
    </row>
    <row r="125" spans="1:10" ht="18.75" x14ac:dyDescent="0.3">
      <c r="A125" s="503"/>
      <c r="B125" s="503"/>
      <c r="C125" s="503"/>
      <c r="D125" s="503"/>
      <c r="E125" s="503"/>
      <c r="F125" s="505"/>
      <c r="G125" s="503"/>
      <c r="H125" s="503"/>
      <c r="I125" s="431"/>
    </row>
    <row r="126" spans="1:10" ht="18.75" x14ac:dyDescent="0.3">
      <c r="A126" s="503"/>
      <c r="B126" s="503"/>
      <c r="C126" s="503"/>
      <c r="D126" s="503"/>
      <c r="E126" s="503"/>
      <c r="F126" s="505"/>
      <c r="G126" s="503"/>
      <c r="H126" s="503"/>
      <c r="I126" s="431"/>
    </row>
    <row r="127" spans="1:10" ht="18.75" x14ac:dyDescent="0.3">
      <c r="A127" s="503"/>
      <c r="B127" s="503"/>
      <c r="C127" s="503"/>
      <c r="D127" s="503"/>
      <c r="E127" s="503"/>
      <c r="F127" s="505"/>
      <c r="G127" s="503"/>
      <c r="H127" s="503"/>
      <c r="I127" s="431"/>
    </row>
    <row r="128" spans="1:10" ht="18.75" x14ac:dyDescent="0.3">
      <c r="A128" s="503"/>
      <c r="B128" s="503"/>
      <c r="C128" s="503"/>
      <c r="D128" s="503"/>
      <c r="E128" s="503"/>
      <c r="F128" s="505"/>
      <c r="G128" s="503"/>
      <c r="H128" s="503"/>
      <c r="I128" s="431"/>
    </row>
    <row r="129" spans="1:9" ht="18.75" x14ac:dyDescent="0.3">
      <c r="A129" s="503"/>
      <c r="B129" s="503"/>
      <c r="C129" s="503"/>
      <c r="D129" s="503"/>
      <c r="E129" s="503"/>
      <c r="F129" s="505"/>
      <c r="G129" s="503"/>
      <c r="H129" s="503"/>
      <c r="I129" s="431"/>
    </row>
    <row r="130" spans="1:9" ht="18.75" x14ac:dyDescent="0.3">
      <c r="A130" s="503"/>
      <c r="B130" s="503"/>
      <c r="C130" s="503"/>
      <c r="D130" s="503"/>
      <c r="E130" s="503"/>
      <c r="F130" s="505"/>
      <c r="G130" s="503"/>
      <c r="H130" s="503"/>
      <c r="I130" s="431"/>
    </row>
    <row r="131" spans="1:9" ht="18.75" x14ac:dyDescent="0.3">
      <c r="A131" s="503"/>
      <c r="B131" s="503"/>
      <c r="C131" s="503"/>
      <c r="D131" s="503"/>
      <c r="E131" s="503"/>
      <c r="F131" s="505"/>
      <c r="G131" s="503"/>
      <c r="H131" s="503"/>
      <c r="I131" s="431"/>
    </row>
    <row r="132" spans="1:9" ht="18.75" x14ac:dyDescent="0.3">
      <c r="A132" s="503"/>
      <c r="B132" s="503"/>
      <c r="C132" s="503"/>
      <c r="D132" s="503"/>
      <c r="E132" s="503"/>
      <c r="F132" s="505"/>
      <c r="G132" s="503"/>
      <c r="H132" s="503"/>
      <c r="I132" s="431"/>
    </row>
    <row r="133" spans="1:9" ht="18.75" x14ac:dyDescent="0.3">
      <c r="A133" s="503"/>
      <c r="B133" s="503"/>
      <c r="C133" s="503"/>
      <c r="D133" s="503"/>
      <c r="E133" s="503"/>
      <c r="F133" s="505"/>
      <c r="G133" s="503"/>
      <c r="H133" s="503"/>
      <c r="I133" s="431"/>
    </row>
    <row r="250" spans="1:1" x14ac:dyDescent="0.25">
      <c r="A250" s="338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SST</vt:lpstr>
      <vt:lpstr>Uniformity</vt:lpstr>
      <vt:lpstr>zidovudine</vt:lpstr>
      <vt:lpstr>SST(LAM)(S1)</vt:lpstr>
      <vt:lpstr>SST(ZID)(S1) </vt:lpstr>
      <vt:lpstr>Uniformity (2)</vt:lpstr>
      <vt:lpstr>Lamivudine (S1)</vt:lpstr>
      <vt:lpstr>Zidovudine (S1)</vt:lpstr>
      <vt:lpstr>'Lamivudine (S1)'!Print_Area</vt:lpstr>
      <vt:lpstr>SST!Print_Area</vt:lpstr>
      <vt:lpstr>Uniformity!Print_Area</vt:lpstr>
      <vt:lpstr>'Uniformity (2)'!Print_Area</vt:lpstr>
      <vt:lpstr>'Zidovudine (S1)'!Print_Area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2017-03-08T09:44:43Z</cp:lastPrinted>
  <dcterms:created xsi:type="dcterms:W3CDTF">2005-07-05T10:19:27Z</dcterms:created>
  <dcterms:modified xsi:type="dcterms:W3CDTF">2017-05-24T04:36:45Z</dcterms:modified>
</cp:coreProperties>
</file>