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firstSheet="1" activeTab="9"/>
  </bookViews>
  <sheets>
    <sheet name="SST(LAM)" sheetId="11" r:id="rId1"/>
    <sheet name="SST(ZID) " sheetId="15" r:id="rId2"/>
    <sheet name="SST(NEV)" sheetId="16" r:id="rId3"/>
    <sheet name="Uniformity" sheetId="2" r:id="rId4"/>
    <sheet name="lamivudine" sheetId="3" r:id="rId5"/>
    <sheet name="Nevirapine" sheetId="4" r:id="rId6"/>
    <sheet name="zidovudine" sheetId="10" r:id="rId7"/>
    <sheet name="SST 2" sheetId="12" r:id="rId8"/>
    <sheet name="Uniformity 2" sheetId="13" r:id="rId9"/>
    <sheet name="Lamivudine 2" sheetId="14" r:id="rId10"/>
  </sheets>
  <definedNames>
    <definedName name="_xlnm.Print_Area" localSheetId="4">lamivudine!$A$1:$H$124</definedName>
    <definedName name="_xlnm.Print_Area" localSheetId="9">'Lamivudine 2'!$A$1:$I$131</definedName>
    <definedName name="_xlnm.Print_Area" localSheetId="7">'SST 2'!$A$15:$G$62</definedName>
    <definedName name="_xlnm.Print_Area" localSheetId="2">'SST(NEV)'!$A$15:$H$62</definedName>
    <definedName name="_xlnm.Print_Area" localSheetId="1">'SST(ZID) '!$A$15:$H$62</definedName>
    <definedName name="_xlnm.Print_Area" localSheetId="3">Uniformity!$A$1:$F$54</definedName>
    <definedName name="_xlnm.Print_Area" localSheetId="8">'Uniformity 2'!$A$12:$I$55</definedName>
  </definedNames>
  <calcPr calcId="145621"/>
</workbook>
</file>

<file path=xl/calcChain.xml><?xml version="1.0" encoding="utf-8"?>
<calcChain xmlns="http://schemas.openxmlformats.org/spreadsheetml/2006/main">
  <c r="D30" i="16" l="1"/>
  <c r="E30" i="16"/>
  <c r="B21" i="16"/>
  <c r="B20" i="16"/>
  <c r="B19" i="16"/>
  <c r="B53" i="16"/>
  <c r="E51" i="16"/>
  <c r="D51" i="16"/>
  <c r="C51" i="16"/>
  <c r="B51" i="16"/>
  <c r="B52" i="16" s="1"/>
  <c r="B32" i="16"/>
  <c r="C30" i="16"/>
  <c r="B30" i="16"/>
  <c r="B31" i="16" s="1"/>
  <c r="B17" i="16"/>
  <c r="B17" i="15"/>
  <c r="B53" i="15"/>
  <c r="F51" i="15"/>
  <c r="D51" i="15"/>
  <c r="C51" i="15"/>
  <c r="B51" i="15"/>
  <c r="B52" i="15" s="1"/>
  <c r="B32" i="15"/>
  <c r="F30" i="15"/>
  <c r="C30" i="15"/>
  <c r="B30" i="15"/>
  <c r="B31" i="15" s="1"/>
  <c r="B21" i="15"/>
  <c r="B17" i="11"/>
  <c r="C124" i="14"/>
  <c r="B116" i="14"/>
  <c r="D100" i="14"/>
  <c r="D101" i="14" s="1"/>
  <c r="B98" i="14"/>
  <c r="F95" i="14"/>
  <c r="D95" i="14"/>
  <c r="G94" i="14"/>
  <c r="E94" i="14"/>
  <c r="I92" i="14"/>
  <c r="B87" i="14"/>
  <c r="F97" i="14" s="1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B57" i="14"/>
  <c r="B69" i="14" s="1"/>
  <c r="C56" i="14"/>
  <c r="B55" i="14"/>
  <c r="B45" i="14"/>
  <c r="D48" i="14" s="1"/>
  <c r="F42" i="14"/>
  <c r="I39" i="14" s="1"/>
  <c r="D42" i="14"/>
  <c r="G41" i="14"/>
  <c r="E41" i="14"/>
  <c r="B34" i="14"/>
  <c r="F44" i="14" s="1"/>
  <c r="F45" i="14" s="1"/>
  <c r="F46" i="14" s="1"/>
  <c r="B30" i="14"/>
  <c r="D49" i="13"/>
  <c r="C46" i="13"/>
  <c r="C49" i="13" s="1"/>
  <c r="C45" i="13"/>
  <c r="D41" i="13"/>
  <c r="D40" i="13"/>
  <c r="D37" i="13"/>
  <c r="D36" i="13"/>
  <c r="D33" i="13"/>
  <c r="D32" i="13"/>
  <c r="D29" i="13"/>
  <c r="D28" i="13"/>
  <c r="D27" i="13"/>
  <c r="D25" i="13"/>
  <c r="D24" i="13"/>
  <c r="C19" i="13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B21" i="12"/>
  <c r="D102" i="14" l="1"/>
  <c r="E93" i="14"/>
  <c r="G40" i="14"/>
  <c r="G39" i="14"/>
  <c r="D49" i="14"/>
  <c r="G38" i="14"/>
  <c r="E38" i="14"/>
  <c r="F98" i="14"/>
  <c r="F99" i="14" s="1"/>
  <c r="C50" i="13"/>
  <c r="D97" i="14"/>
  <c r="D98" i="14" s="1"/>
  <c r="D99" i="14" s="1"/>
  <c r="D26" i="13"/>
  <c r="D30" i="13"/>
  <c r="D34" i="13"/>
  <c r="D38" i="13"/>
  <c r="D42" i="13"/>
  <c r="B49" i="13"/>
  <c r="D50" i="13"/>
  <c r="D44" i="14"/>
  <c r="D45" i="14" s="1"/>
  <c r="D46" i="14" s="1"/>
  <c r="D31" i="13"/>
  <c r="D35" i="13"/>
  <c r="D39" i="13"/>
  <c r="D43" i="13"/>
  <c r="G91" i="14" l="1"/>
  <c r="G42" i="14"/>
  <c r="E39" i="14"/>
  <c r="D52" i="14" s="1"/>
  <c r="E92" i="14"/>
  <c r="E91" i="14"/>
  <c r="E40" i="14"/>
  <c r="G93" i="14"/>
  <c r="G92" i="14"/>
  <c r="E42" i="14" l="1"/>
  <c r="D50" i="14"/>
  <c r="G95" i="14"/>
  <c r="D103" i="14"/>
  <c r="E95" i="14"/>
  <c r="D105" i="14"/>
  <c r="E113" i="14" l="1"/>
  <c r="F113" i="14" s="1"/>
  <c r="E111" i="14"/>
  <c r="F111" i="14" s="1"/>
  <c r="E109" i="14"/>
  <c r="F109" i="14" s="1"/>
  <c r="D104" i="14"/>
  <c r="E112" i="14"/>
  <c r="F112" i="14" s="1"/>
  <c r="E110" i="14"/>
  <c r="F110" i="14" s="1"/>
  <c r="E108" i="14"/>
  <c r="D51" i="14"/>
  <c r="G70" i="14"/>
  <c r="H70" i="14" s="1"/>
  <c r="G65" i="14"/>
  <c r="H65" i="14" s="1"/>
  <c r="G61" i="14"/>
  <c r="H61" i="14" s="1"/>
  <c r="G68" i="14"/>
  <c r="H68" i="14" s="1"/>
  <c r="G69" i="14"/>
  <c r="H69" i="14" s="1"/>
  <c r="G66" i="14"/>
  <c r="H66" i="14" s="1"/>
  <c r="G64" i="14"/>
  <c r="H64" i="14" s="1"/>
  <c r="G62" i="14"/>
  <c r="H62" i="14" s="1"/>
  <c r="G60" i="14"/>
  <c r="G74" i="14" l="1"/>
  <c r="G72" i="14"/>
  <c r="G73" i="14" s="1"/>
  <c r="H60" i="14"/>
  <c r="E120" i="14"/>
  <c r="E117" i="14"/>
  <c r="F108" i="14"/>
  <c r="E115" i="14"/>
  <c r="E116" i="14" s="1"/>
  <c r="E119" i="14"/>
  <c r="H74" i="14" l="1"/>
  <c r="H72" i="14"/>
  <c r="F125" i="14"/>
  <c r="F120" i="14"/>
  <c r="F117" i="14"/>
  <c r="D125" i="14"/>
  <c r="F115" i="14"/>
  <c r="F119" i="14"/>
  <c r="G124" i="14" l="1"/>
  <c r="F116" i="14"/>
  <c r="G76" i="14"/>
  <c r="H73" i="14"/>
  <c r="B53" i="11" l="1"/>
  <c r="E51" i="11"/>
  <c r="D51" i="11"/>
  <c r="C51" i="11"/>
  <c r="B51" i="11"/>
  <c r="B52" i="11" s="1"/>
  <c r="B32" i="11"/>
  <c r="E30" i="11"/>
  <c r="D30" i="11"/>
  <c r="C30" i="11"/>
  <c r="B30" i="11"/>
  <c r="B31" i="11" s="1"/>
  <c r="C120" i="10" l="1"/>
  <c r="B116" i="10"/>
  <c r="D100" i="10" s="1"/>
  <c r="B98" i="10"/>
  <c r="F95" i="10"/>
  <c r="D95" i="10"/>
  <c r="B87" i="10"/>
  <c r="F97" i="10" s="1"/>
  <c r="B81" i="10"/>
  <c r="B83" i="10" s="1"/>
  <c r="B80" i="10"/>
  <c r="B79" i="10"/>
  <c r="C76" i="10"/>
  <c r="H71" i="10"/>
  <c r="G71" i="10"/>
  <c r="B68" i="10"/>
  <c r="B69" i="10" s="1"/>
  <c r="H67" i="10"/>
  <c r="G67" i="10"/>
  <c r="G66" i="10"/>
  <c r="H66" i="10" s="1"/>
  <c r="G65" i="10"/>
  <c r="H65" i="10" s="1"/>
  <c r="H63" i="10"/>
  <c r="G63" i="10"/>
  <c r="B57" i="10"/>
  <c r="C56" i="10"/>
  <c r="B55" i="10"/>
  <c r="D48" i="10"/>
  <c r="D49" i="10" s="1"/>
  <c r="B45" i="10"/>
  <c r="F44" i="10"/>
  <c r="D44" i="10"/>
  <c r="F42" i="10"/>
  <c r="D42" i="10"/>
  <c r="I39" i="10" s="1"/>
  <c r="G41" i="10"/>
  <c r="E41" i="10"/>
  <c r="B34" i="10"/>
  <c r="B30" i="10"/>
  <c r="D45" i="10" s="1"/>
  <c r="C120" i="4"/>
  <c r="B116" i="4"/>
  <c r="D100" i="4" s="1"/>
  <c r="D101" i="4" s="1"/>
  <c r="B98" i="4"/>
  <c r="F95" i="4"/>
  <c r="I92" i="4" s="1"/>
  <c r="D95" i="4"/>
  <c r="B87" i="4"/>
  <c r="D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F44" i="4" s="1"/>
  <c r="F45" i="4" s="1"/>
  <c r="B30" i="4"/>
  <c r="C120" i="3"/>
  <c r="B116" i="3"/>
  <c r="D100" i="3" s="1"/>
  <c r="B98" i="3"/>
  <c r="F97" i="3"/>
  <c r="F95" i="3"/>
  <c r="D95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F45" i="3" l="1"/>
  <c r="I92" i="10"/>
  <c r="D101" i="10"/>
  <c r="D102" i="10" s="1"/>
  <c r="D97" i="10"/>
  <c r="I92" i="3"/>
  <c r="D101" i="3"/>
  <c r="D102" i="3" s="1"/>
  <c r="D46" i="10"/>
  <c r="E38" i="10"/>
  <c r="F45" i="10"/>
  <c r="F46" i="10" s="1"/>
  <c r="D98" i="10"/>
  <c r="F98" i="10"/>
  <c r="E39" i="10"/>
  <c r="G40" i="10"/>
  <c r="G39" i="10"/>
  <c r="G38" i="10"/>
  <c r="E40" i="10"/>
  <c r="B69" i="4"/>
  <c r="B69" i="3"/>
  <c r="F46" i="3"/>
  <c r="I39" i="3"/>
  <c r="D44" i="3"/>
  <c r="D45" i="3" s="1"/>
  <c r="D98" i="3"/>
  <c r="D99" i="3" s="1"/>
  <c r="F46" i="4"/>
  <c r="G38" i="4"/>
  <c r="D44" i="4"/>
  <c r="D45" i="4" s="1"/>
  <c r="E38" i="4" s="1"/>
  <c r="G40" i="4"/>
  <c r="D98" i="4"/>
  <c r="D99" i="4" s="1"/>
  <c r="G39" i="3"/>
  <c r="D49" i="3"/>
  <c r="G41" i="3"/>
  <c r="E41" i="3"/>
  <c r="G40" i="3"/>
  <c r="G38" i="3"/>
  <c r="E94" i="3"/>
  <c r="D102" i="4"/>
  <c r="E94" i="4"/>
  <c r="C50" i="2"/>
  <c r="G41" i="4"/>
  <c r="D49" i="4"/>
  <c r="F98" i="3"/>
  <c r="F99" i="3" s="1"/>
  <c r="F97" i="4"/>
  <c r="F98" i="4" s="1"/>
  <c r="F99" i="4" s="1"/>
  <c r="G39" i="4"/>
  <c r="I39" i="4"/>
  <c r="E91" i="10" l="1"/>
  <c r="G92" i="10"/>
  <c r="G94" i="10"/>
  <c r="G93" i="10"/>
  <c r="G42" i="10"/>
  <c r="D52" i="10"/>
  <c r="E94" i="10"/>
  <c r="E92" i="10"/>
  <c r="D50" i="10"/>
  <c r="G91" i="10"/>
  <c r="F99" i="10"/>
  <c r="E42" i="10"/>
  <c r="D99" i="10"/>
  <c r="E93" i="10"/>
  <c r="D46" i="3"/>
  <c r="E39" i="3"/>
  <c r="G42" i="3"/>
  <c r="E38" i="3"/>
  <c r="E40" i="3"/>
  <c r="E91" i="3"/>
  <c r="E93" i="3"/>
  <c r="E92" i="3"/>
  <c r="G42" i="4"/>
  <c r="D46" i="4"/>
  <c r="E39" i="4"/>
  <c r="E41" i="4"/>
  <c r="E91" i="4"/>
  <c r="E93" i="4"/>
  <c r="E40" i="4"/>
  <c r="E92" i="4"/>
  <c r="G94" i="4"/>
  <c r="G91" i="3"/>
  <c r="D52" i="4"/>
  <c r="G93" i="4"/>
  <c r="G91" i="4"/>
  <c r="G93" i="3"/>
  <c r="G92" i="4"/>
  <c r="G92" i="3"/>
  <c r="G94" i="3"/>
  <c r="G95" i="10" l="1"/>
  <c r="D105" i="3"/>
  <c r="D105" i="10"/>
  <c r="E95" i="10"/>
  <c r="D103" i="10"/>
  <c r="G68" i="10"/>
  <c r="H68" i="10" s="1"/>
  <c r="G69" i="10"/>
  <c r="H69" i="10" s="1"/>
  <c r="G64" i="10"/>
  <c r="H64" i="10" s="1"/>
  <c r="G62" i="10"/>
  <c r="H62" i="10" s="1"/>
  <c r="G60" i="10"/>
  <c r="D51" i="10"/>
  <c r="G70" i="10"/>
  <c r="H70" i="10" s="1"/>
  <c r="G61" i="10"/>
  <c r="H61" i="10" s="1"/>
  <c r="D105" i="4"/>
  <c r="D103" i="4"/>
  <c r="E113" i="4" s="1"/>
  <c r="F113" i="4" s="1"/>
  <c r="D103" i="3"/>
  <c r="E110" i="3" s="1"/>
  <c r="F110" i="3" s="1"/>
  <c r="E95" i="3"/>
  <c r="E42" i="3"/>
  <c r="D52" i="3"/>
  <c r="D50" i="3"/>
  <c r="G65" i="3" s="1"/>
  <c r="H65" i="3" s="1"/>
  <c r="G95" i="3"/>
  <c r="D50" i="4"/>
  <c r="G66" i="4" s="1"/>
  <c r="H66" i="4" s="1"/>
  <c r="E42" i="4"/>
  <c r="E95" i="4"/>
  <c r="G95" i="4"/>
  <c r="E109" i="4"/>
  <c r="F109" i="4" s="1"/>
  <c r="E111" i="3"/>
  <c r="F111" i="3" s="1"/>
  <c r="D104" i="3"/>
  <c r="G71" i="4"/>
  <c r="H71" i="4" s="1"/>
  <c r="G69" i="4"/>
  <c r="H69" i="4" s="1"/>
  <c r="D51" i="3" l="1"/>
  <c r="D104" i="4"/>
  <c r="E108" i="4"/>
  <c r="F108" i="4" s="1"/>
  <c r="E109" i="3"/>
  <c r="F109" i="3" s="1"/>
  <c r="E112" i="3"/>
  <c r="F112" i="3" s="1"/>
  <c r="E113" i="3"/>
  <c r="F113" i="3" s="1"/>
  <c r="E108" i="3"/>
  <c r="F108" i="3" s="1"/>
  <c r="H60" i="10"/>
  <c r="G74" i="10"/>
  <c r="G72" i="10"/>
  <c r="G73" i="10" s="1"/>
  <c r="E112" i="10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E111" i="4"/>
  <c r="F111" i="4" s="1"/>
  <c r="E110" i="4"/>
  <c r="F110" i="4" s="1"/>
  <c r="E112" i="4"/>
  <c r="F112" i="4" s="1"/>
  <c r="G67" i="4"/>
  <c r="H67" i="4" s="1"/>
  <c r="G60" i="3"/>
  <c r="G71" i="3"/>
  <c r="H71" i="3" s="1"/>
  <c r="G62" i="3"/>
  <c r="H62" i="3" s="1"/>
  <c r="G68" i="3"/>
  <c r="H68" i="3" s="1"/>
  <c r="G64" i="3"/>
  <c r="H64" i="3" s="1"/>
  <c r="G70" i="3"/>
  <c r="H70" i="3" s="1"/>
  <c r="G63" i="3"/>
  <c r="H63" i="3" s="1"/>
  <c r="G69" i="3"/>
  <c r="H69" i="3" s="1"/>
  <c r="G61" i="3"/>
  <c r="H61" i="3" s="1"/>
  <c r="G67" i="3"/>
  <c r="H67" i="3" s="1"/>
  <c r="G66" i="3"/>
  <c r="H66" i="3" s="1"/>
  <c r="G63" i="4"/>
  <c r="H63" i="4" s="1"/>
  <c r="G68" i="4"/>
  <c r="H68" i="4" s="1"/>
  <c r="G60" i="4"/>
  <c r="H60" i="4" s="1"/>
  <c r="G65" i="4"/>
  <c r="H65" i="4" s="1"/>
  <c r="G62" i="4"/>
  <c r="H62" i="4" s="1"/>
  <c r="G61" i="4"/>
  <c r="H61" i="4" s="1"/>
  <c r="G64" i="4"/>
  <c r="H64" i="4" s="1"/>
  <c r="D51" i="4"/>
  <c r="G70" i="4"/>
  <c r="H70" i="4" s="1"/>
  <c r="H60" i="3"/>
  <c r="E117" i="4" l="1"/>
  <c r="E115" i="4"/>
  <c r="E116" i="4" s="1"/>
  <c r="E117" i="3"/>
  <c r="E115" i="3"/>
  <c r="E116" i="3" s="1"/>
  <c r="E115" i="10"/>
  <c r="E116" i="10" s="1"/>
  <c r="E117" i="10"/>
  <c r="F108" i="10"/>
  <c r="H74" i="10"/>
  <c r="H72" i="10"/>
  <c r="G74" i="3"/>
  <c r="G72" i="3"/>
  <c r="G73" i="3" s="1"/>
  <c r="G74" i="4"/>
  <c r="G72" i="4"/>
  <c r="G73" i="4" s="1"/>
  <c r="F117" i="3"/>
  <c r="F115" i="3"/>
  <c r="H72" i="4"/>
  <c r="H74" i="4"/>
  <c r="H74" i="3"/>
  <c r="H72" i="3"/>
  <c r="F117" i="4"/>
  <c r="F115" i="4"/>
  <c r="G76" i="10" l="1"/>
  <c r="H73" i="10"/>
  <c r="F117" i="10"/>
  <c r="F115" i="10"/>
  <c r="H73" i="3"/>
  <c r="G76" i="3"/>
  <c r="G120" i="3"/>
  <c r="F116" i="3"/>
  <c r="G76" i="4"/>
  <c r="H73" i="4"/>
  <c r="G120" i="4"/>
  <c r="F116" i="4"/>
  <c r="G120" i="10" l="1"/>
  <c r="F116" i="10"/>
</calcChain>
</file>

<file path=xl/sharedStrings.xml><?xml version="1.0" encoding="utf-8"?>
<sst xmlns="http://schemas.openxmlformats.org/spreadsheetml/2006/main" count="888" uniqueCount="153">
  <si>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</si>
  <si>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</si>
  <si>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</si>
  <si>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</si>
  <si>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</si>
  <si>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</si>
  <si>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</si>
  <si>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NDQD2016061045</t>
  </si>
  <si>
    <t>Weight (mg):</t>
  </si>
  <si>
    <t>Lamivudine     Nevirapine and Zidovudine</t>
  </si>
  <si>
    <t>Standard Conc (mg/mL):</t>
  </si>
  <si>
    <t xml:space="preserve">Lamivudine 150mg + Zidovudine 300mg + Nevirapine 200mg </t>
  </si>
  <si>
    <t>2016-06-10 14:31:05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</si>
  <si>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</si>
  <si>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</si>
  <si>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</si>
  <si>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</si>
  <si>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</si>
  <si>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</si>
  <si>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</si>
  <si>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</si>
  <si>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</si>
  <si>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</si>
  <si>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</si>
  <si>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</si>
  <si>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</si>
  <si>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</si>
  <si>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</si>
  <si>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</si>
  <si>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</si>
  <si>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</si>
  <si>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</si>
  <si>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</si>
  <si>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</si>
  <si>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</si>
  <si>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</si>
  <si>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</si>
  <si>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</si>
  <si>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</si>
  <si>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</si>
  <si>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</si>
  <si>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</si>
  <si>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</si>
  <si>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</si>
  <si>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</si>
  <si>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</si>
  <si>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</si>
  <si>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</si>
  <si>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</si>
  <si>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</si>
  <si>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</si>
  <si>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</si>
  <si>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</si>
  <si>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</si>
  <si>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</si>
  <si>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</si>
  <si>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</si>
  <si>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</si>
  <si>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</si>
  <si>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</si>
  <si>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</si>
  <si>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</si>
  <si>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</si>
  <si>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</si>
  <si>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</si>
  <si>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</si>
  <si>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</si>
  <si>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</si>
  <si>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</si>
  <si>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</si>
  <si>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</si>
  <si>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</si>
  <si>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</si>
  <si>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</si>
  <si>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</si>
  <si>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</si>
  <si>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</si>
  <si>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</si>
  <si>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</si>
  <si>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</si>
  <si>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</si>
  <si>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</si>
  <si>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</si>
  <si>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</si>
  <si>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</si>
  <si>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</si>
  <si>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</si>
  <si>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</si>
  <si>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</si>
  <si>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</si>
  <si>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</si>
  <si>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</si>
  <si>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</si>
  <si>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</si>
  <si>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</si>
  <si>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</si>
  <si>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</si>
  <si>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</si>
  <si>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</si>
  <si>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</si>
  <si>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</si>
  <si>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</si>
  <si>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</si>
  <si>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</si>
  <si>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</si>
  <si>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</si>
  <si>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</si>
  <si>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</si>
  <si>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</si>
  <si>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</si>
  <si>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</si>
  <si>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</si>
  <si>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</si>
  <si>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</si>
  <si>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</si>
  <si>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</si>
  <si>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</si>
  <si>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</si>
  <si>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</si>
  <si>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</si>
  <si>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</si>
  <si>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</si>
  <si>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</si>
  <si>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</si>
  <si>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</si>
  <si>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</si>
  <si>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lamivudine</t>
  </si>
  <si>
    <t>zidovudine</t>
  </si>
  <si>
    <t>WRS L3-9</t>
  </si>
  <si>
    <t>WRS NI-4</t>
  </si>
  <si>
    <t>WRS Z1-3</t>
  </si>
  <si>
    <t>LAMIVUDINE</t>
  </si>
  <si>
    <t xml:space="preserve">LAMIVUDINE </t>
  </si>
  <si>
    <t>NDQD2016061045r1</t>
  </si>
  <si>
    <t xml:space="preserve">Lamivudine </t>
  </si>
  <si>
    <t xml:space="preserve">Each tablet contains Lamivudine 150mg + Zidovudine 300mg + Nevirapine 200mg </t>
  </si>
  <si>
    <t>L42-1</t>
  </si>
  <si>
    <t>Unit No.</t>
  </si>
  <si>
    <t>Range</t>
  </si>
  <si>
    <t>Minimum:</t>
  </si>
  <si>
    <t>Maximum:</t>
  </si>
  <si>
    <t>Range:</t>
  </si>
  <si>
    <t>Minimum</t>
  </si>
  <si>
    <t>Maximum</t>
  </si>
  <si>
    <t>Zidovudine</t>
  </si>
  <si>
    <t>Resolution(USP)</t>
  </si>
  <si>
    <t>43.50.5</t>
  </si>
  <si>
    <r>
      <t>The number of Theoretical Plates (USP) for all peaks is NLT</t>
    </r>
    <r>
      <rPr>
        <b/>
        <sz val="12"/>
        <color rgb="FF000000"/>
        <rFont val="Book Antiqua"/>
        <family val="1"/>
      </rPr>
      <t xml:space="preserve"> 2000</t>
    </r>
  </si>
  <si>
    <r>
      <t>The Assymetry of all peaks is NMT</t>
    </r>
    <r>
      <rPr>
        <b/>
        <sz val="12"/>
        <color rgb="FF000000"/>
        <rFont val="Book Antiqua"/>
        <family val="1"/>
      </rPr>
      <t xml:space="preserve"> 2.0</t>
    </r>
  </si>
  <si>
    <t>The Resolution between the peak pair of Lamivudine and Zidovudine peaks is NLT 3.0</t>
  </si>
  <si>
    <t xml:space="preserve">                                                                                                          The Resolution between the peak pair of Lamivudine  and Zidovudine is NLT 8</t>
  </si>
  <si>
    <t>Nevirapine</t>
  </si>
  <si>
    <t>The Resolution between the peak pair of Lamivudine  and Zidovudine is NLT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</si>
</sst>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0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94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5" fillId="3" borderId="29" xfId="4" applyFont="1" applyFill="1" applyBorder="1" applyAlignment="1" applyProtection="1">
      <alignment horizontal="center"/>
      <protection locked="0"/>
    </xf>
    <xf numFmtId="0" fontId="25" fillId="3" borderId="23" xfId="4" applyFont="1" applyFill="1" applyBorder="1" applyAlignment="1" applyProtection="1">
      <alignment horizontal="center"/>
      <protection locked="0"/>
    </xf>
    <xf numFmtId="0" fontId="25" fillId="3" borderId="34" xfId="4" applyFont="1" applyFill="1" applyBorder="1" applyAlignment="1" applyProtection="1">
      <alignment horizontal="center"/>
      <protection locked="0"/>
    </xf>
    <xf numFmtId="0" fontId="25" fillId="3" borderId="29" xfId="5" applyFont="1" applyFill="1" applyBorder="1" applyAlignment="1" applyProtection="1">
      <alignment horizontal="center"/>
      <protection locked="0"/>
    </xf>
    <xf numFmtId="0" fontId="25" fillId="3" borderId="23" xfId="5" applyFont="1" applyFill="1" applyBorder="1" applyAlignment="1" applyProtection="1">
      <alignment horizontal="center"/>
      <protection locked="0"/>
    </xf>
    <xf numFmtId="0" fontId="25" fillId="3" borderId="34" xfId="5" applyFont="1" applyFill="1" applyBorder="1" applyAlignment="1" applyProtection="1">
      <alignment horizontal="center"/>
      <protection locked="0"/>
    </xf>
    <xf numFmtId="0" fontId="25" fillId="3" borderId="29" xfId="6" applyFont="1" applyFill="1" applyBorder="1" applyAlignment="1" applyProtection="1">
      <alignment horizontal="center"/>
      <protection locked="0"/>
    </xf>
    <xf numFmtId="0" fontId="25" fillId="3" borderId="23" xfId="6" applyFont="1" applyFill="1" applyBorder="1" applyAlignment="1" applyProtection="1">
      <alignment horizontal="center"/>
      <protection locked="0"/>
    </xf>
    <xf numFmtId="0" fontId="25" fillId="3" borderId="34" xfId="6" applyFont="1" applyFill="1" applyBorder="1" applyAlignment="1" applyProtection="1">
      <alignment horizontal="center"/>
      <protection locked="0"/>
    </xf>
    <xf numFmtId="0" fontId="25" fillId="3" borderId="29" xfId="7" applyFont="1" applyFill="1" applyBorder="1" applyAlignment="1" applyProtection="1">
      <alignment horizontal="center"/>
      <protection locked="0"/>
    </xf>
    <xf numFmtId="0" fontId="25" fillId="3" borderId="23" xfId="7" applyFont="1" applyFill="1" applyBorder="1" applyAlignment="1" applyProtection="1">
      <alignment horizontal="center"/>
      <protection locked="0"/>
    </xf>
    <xf numFmtId="0" fontId="25" fillId="3" borderId="34" xfId="7" applyFont="1" applyFill="1" applyBorder="1" applyAlignment="1" applyProtection="1">
      <alignment horizontal="center"/>
      <protection locked="0"/>
    </xf>
    <xf numFmtId="0" fontId="25" fillId="3" borderId="29" xfId="8" applyFont="1" applyFill="1" applyBorder="1" applyAlignment="1" applyProtection="1">
      <alignment horizontal="center"/>
      <protection locked="0"/>
    </xf>
    <xf numFmtId="0" fontId="25" fillId="3" borderId="23" xfId="8" applyFont="1" applyFill="1" applyBorder="1" applyAlignment="1" applyProtection="1">
      <alignment horizontal="center"/>
      <protection locked="0"/>
    </xf>
    <xf numFmtId="0" fontId="25" fillId="3" borderId="34" xfId="8" applyFont="1" applyFill="1" applyBorder="1" applyAlignment="1" applyProtection="1">
      <alignment horizontal="center"/>
      <protection locked="0"/>
    </xf>
    <xf numFmtId="0" fontId="1" fillId="2" borderId="0" xfId="9" applyFont="1" applyFill="1"/>
    <xf numFmtId="0" fontId="2" fillId="2" borderId="0" xfId="9" applyFont="1" applyFill="1"/>
    <xf numFmtId="0" fontId="2" fillId="2" borderId="0" xfId="9" applyFont="1" applyFill="1" applyAlignment="1">
      <alignment horizontal="right"/>
    </xf>
    <xf numFmtId="0" fontId="4" fillId="2" borderId="0" xfId="9" applyFont="1" applyFill="1"/>
    <xf numFmtId="0" fontId="4" fillId="2" borderId="0" xfId="9" applyFont="1" applyFill="1" applyAlignment="1">
      <alignment horizontal="lef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0" fontId="6" fillId="2" borderId="0" xfId="9" applyFont="1" applyFill="1"/>
    <xf numFmtId="0" fontId="5" fillId="2" borderId="0" xfId="9" applyFont="1" applyFill="1"/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0" fontId="5" fillId="2" borderId="1" xfId="9" applyFont="1" applyFill="1" applyBorder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7" xfId="9" applyFont="1" applyFill="1" applyBorder="1"/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0" fontId="2" fillId="2" borderId="0" xfId="9" applyFont="1" applyFill="1" applyAlignment="1">
      <alignment horizontal="center"/>
    </xf>
    <xf numFmtId="10" fontId="2" fillId="2" borderId="9" xfId="9" applyNumberFormat="1" applyFont="1" applyFill="1" applyBorder="1"/>
    <xf numFmtId="0" fontId="24" fillId="2" borderId="0" xfId="9" applyFill="1"/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  <xf numFmtId="14" fontId="6" fillId="2" borderId="0" xfId="9" applyNumberFormat="1" applyFont="1" applyFill="1"/>
    <xf numFmtId="0" fontId="10" fillId="2" borderId="0" xfId="9" applyFont="1" applyFill="1" applyAlignment="1">
      <alignment wrapText="1"/>
    </xf>
    <xf numFmtId="167" fontId="6" fillId="2" borderId="0" xfId="9" applyNumberFormat="1" applyFont="1" applyFill="1" applyAlignment="1">
      <alignment horizontal="center"/>
    </xf>
    <xf numFmtId="0" fontId="5" fillId="2" borderId="0" xfId="9" applyFont="1" applyFill="1" applyAlignment="1">
      <alignment horizontal="right"/>
    </xf>
    <xf numFmtId="167" fontId="6" fillId="2" borderId="0" xfId="9" applyNumberFormat="1" applyFont="1" applyFill="1"/>
    <xf numFmtId="0" fontId="9" fillId="2" borderId="0" xfId="9" applyFont="1" applyFill="1"/>
    <xf numFmtId="164" fontId="1" fillId="2" borderId="0" xfId="9" applyNumberFormat="1" applyFont="1" applyFill="1"/>
    <xf numFmtId="164" fontId="5" fillId="2" borderId="12" xfId="9" applyNumberFormat="1" applyFont="1" applyFill="1" applyBorder="1" applyAlignment="1">
      <alignment horizontal="center" wrapText="1"/>
    </xf>
    <xf numFmtId="0" fontId="5" fillId="2" borderId="12" xfId="9" applyFont="1" applyFill="1" applyBorder="1" applyAlignment="1">
      <alignment horizontal="center" wrapText="1"/>
    </xf>
    <xf numFmtId="2" fontId="6" fillId="3" borderId="14" xfId="9" applyNumberFormat="1" applyFont="1" applyFill="1" applyBorder="1" applyProtection="1">
      <protection locked="0"/>
    </xf>
    <xf numFmtId="10" fontId="6" fillId="2" borderId="13" xfId="9" applyNumberFormat="1" applyFont="1" applyFill="1" applyBorder="1" applyAlignment="1">
      <alignment horizontal="center"/>
    </xf>
    <xf numFmtId="10" fontId="6" fillId="2" borderId="0" xfId="9" applyNumberFormat="1" applyFont="1" applyFill="1" applyAlignment="1">
      <alignment horizontal="center"/>
    </xf>
    <xf numFmtId="10" fontId="6" fillId="2" borderId="14" xfId="9" applyNumberFormat="1" applyFont="1" applyFill="1" applyBorder="1" applyAlignment="1">
      <alignment horizontal="center"/>
    </xf>
    <xf numFmtId="2" fontId="6" fillId="3" borderId="15" xfId="9" applyNumberFormat="1" applyFont="1" applyFill="1" applyBorder="1" applyProtection="1">
      <protection locked="0"/>
    </xf>
    <xf numFmtId="10" fontId="6" fillId="2" borderId="15" xfId="9" applyNumberFormat="1" applyFont="1" applyFill="1" applyBorder="1" applyAlignment="1">
      <alignment horizontal="center"/>
    </xf>
    <xf numFmtId="166" fontId="2" fillId="2" borderId="0" xfId="9" applyNumberFormat="1" applyFont="1" applyFill="1" applyAlignment="1">
      <alignment horizontal="center"/>
    </xf>
    <xf numFmtId="10" fontId="2" fillId="2" borderId="0" xfId="9" applyNumberFormat="1" applyFont="1" applyFill="1" applyAlignment="1">
      <alignment horizontal="center"/>
    </xf>
    <xf numFmtId="0" fontId="6" fillId="2" borderId="12" xfId="9" applyFont="1" applyFill="1" applyBorder="1" applyAlignment="1">
      <alignment horizontal="right" vertical="center"/>
    </xf>
    <xf numFmtId="166" fontId="6" fillId="2" borderId="12" xfId="9" applyNumberFormat="1" applyFont="1" applyFill="1" applyBorder="1" applyAlignment="1">
      <alignment horizontal="center" vertical="center"/>
    </xf>
    <xf numFmtId="166" fontId="6" fillId="2" borderId="0" xfId="9" applyNumberFormat="1" applyFont="1" applyFill="1" applyAlignment="1">
      <alignment horizontal="center"/>
    </xf>
    <xf numFmtId="164" fontId="5" fillId="2" borderId="12" xfId="9" applyNumberFormat="1" applyFont="1" applyFill="1" applyBorder="1" applyAlignment="1">
      <alignment horizontal="center" vertical="center"/>
    </xf>
    <xf numFmtId="2" fontId="8" fillId="2" borderId="0" xfId="9" applyNumberFormat="1" applyFont="1" applyFill="1" applyAlignment="1">
      <alignment horizontal="right"/>
    </xf>
    <xf numFmtId="2" fontId="5" fillId="2" borderId="0" xfId="9" applyNumberFormat="1" applyFont="1" applyFill="1"/>
    <xf numFmtId="2" fontId="8" fillId="2" borderId="0" xfId="9" applyNumberFormat="1" applyFont="1" applyFill="1"/>
    <xf numFmtId="0" fontId="5" fillId="2" borderId="12" xfId="9" applyFont="1" applyFill="1" applyBorder="1" applyAlignment="1">
      <alignment horizontal="center" vertical="center"/>
    </xf>
    <xf numFmtId="10" fontId="2" fillId="2" borderId="0" xfId="9" applyNumberFormat="1" applyFont="1" applyFill="1"/>
    <xf numFmtId="165" fontId="5" fillId="2" borderId="16" xfId="9" applyNumberFormat="1" applyFont="1" applyFill="1" applyBorder="1" applyAlignment="1">
      <alignment horizontal="center"/>
    </xf>
    <xf numFmtId="2" fontId="5" fillId="2" borderId="12" xfId="9" applyNumberFormat="1" applyFont="1" applyFill="1" applyBorder="1" applyAlignment="1">
      <alignment horizontal="center" vertical="center"/>
    </xf>
    <xf numFmtId="165" fontId="5" fillId="2" borderId="17" xfId="9" applyNumberFormat="1" applyFont="1" applyFill="1" applyBorder="1" applyAlignment="1">
      <alignment horizontal="center"/>
    </xf>
    <xf numFmtId="0" fontId="6" fillId="2" borderId="9" xfId="9" applyFont="1" applyFill="1" applyBorder="1"/>
    <xf numFmtId="0" fontId="6" fillId="2" borderId="0" xfId="9" applyFont="1" applyFill="1" applyAlignment="1">
      <alignment horizontal="center"/>
    </xf>
    <xf numFmtId="10" fontId="6" fillId="2" borderId="9" xfId="9" applyNumberFormat="1" applyFont="1" applyFill="1" applyBorder="1"/>
    <xf numFmtId="0" fontId="5" fillId="2" borderId="10" xfId="9" applyFont="1" applyFill="1" applyBorder="1"/>
    <xf numFmtId="0" fontId="5" fillId="2" borderId="10" xfId="9" applyFont="1" applyFill="1" applyBorder="1" applyAlignment="1">
      <alignment horizontal="center"/>
    </xf>
    <xf numFmtId="0" fontId="6" fillId="2" borderId="10" xfId="9" applyFont="1" applyFill="1" applyBorder="1" applyAlignment="1">
      <alignment horizontal="center"/>
    </xf>
    <xf numFmtId="0" fontId="5" fillId="2" borderId="11" xfId="9" applyFont="1" applyFill="1" applyBorder="1"/>
    <xf numFmtId="0" fontId="6" fillId="2" borderId="11" xfId="9" applyFont="1" applyFill="1" applyBorder="1"/>
    <xf numFmtId="0" fontId="11" fillId="2" borderId="0" xfId="9" applyFont="1" applyFill="1"/>
    <xf numFmtId="0" fontId="12" fillId="2" borderId="0" xfId="9" applyFont="1" applyFill="1"/>
    <xf numFmtId="0" fontId="13" fillId="2" borderId="0" xfId="9" applyFont="1" applyFill="1" applyAlignment="1" applyProtection="1">
      <alignment horizontal="right"/>
      <protection locked="0"/>
    </xf>
    <xf numFmtId="0" fontId="13" fillId="2" borderId="0" xfId="9" applyFont="1" applyFill="1" applyAlignment="1" applyProtection="1">
      <alignment horizontal="left"/>
      <protection locked="0"/>
    </xf>
    <xf numFmtId="0" fontId="14" fillId="2" borderId="0" xfId="9" applyFont="1" applyFill="1"/>
    <xf numFmtId="0" fontId="14" fillId="3" borderId="0" xfId="9" applyFont="1" applyFill="1" applyAlignment="1" applyProtection="1">
      <alignment horizontal="left"/>
      <protection locked="0"/>
    </xf>
    <xf numFmtId="0" fontId="11" fillId="3" borderId="0" xfId="9" applyFont="1" applyFill="1" applyProtection="1">
      <protection locked="0"/>
    </xf>
    <xf numFmtId="168" fontId="14" fillId="3" borderId="0" xfId="9" applyNumberFormat="1" applyFont="1" applyFill="1" applyAlignment="1" applyProtection="1">
      <alignment horizontal="center"/>
      <protection locked="0"/>
    </xf>
    <xf numFmtId="169" fontId="11" fillId="2" borderId="0" xfId="9" applyNumberFormat="1" applyFont="1" applyFill="1" applyAlignment="1">
      <alignment horizontal="left"/>
    </xf>
    <xf numFmtId="0" fontId="3" fillId="2" borderId="0" xfId="9" applyFont="1" applyFill="1" applyAlignment="1">
      <alignment horizontal="left"/>
    </xf>
    <xf numFmtId="0" fontId="12" fillId="2" borderId="0" xfId="9" applyFont="1" applyFill="1" applyAlignment="1">
      <alignment horizontal="right"/>
    </xf>
    <xf numFmtId="0" fontId="11" fillId="2" borderId="0" xfId="9" applyFont="1" applyFill="1" applyAlignment="1">
      <alignment horizontal="right"/>
    </xf>
    <xf numFmtId="0" fontId="13" fillId="3" borderId="0" xfId="9" applyFont="1" applyFill="1" applyAlignment="1" applyProtection="1">
      <alignment horizontal="center"/>
      <protection locked="0"/>
    </xf>
    <xf numFmtId="0" fontId="14" fillId="3" borderId="0" xfId="9" applyFont="1" applyFill="1" applyAlignment="1" applyProtection="1">
      <alignment horizontal="center"/>
      <protection locked="0"/>
    </xf>
    <xf numFmtId="0" fontId="15" fillId="2" borderId="0" xfId="9" applyFont="1" applyFill="1" applyAlignment="1">
      <alignment vertical="center" wrapText="1"/>
    </xf>
    <xf numFmtId="0" fontId="12" fillId="2" borderId="0" xfId="9" applyFont="1" applyFill="1" applyAlignment="1">
      <alignment horizontal="center"/>
    </xf>
    <xf numFmtId="0" fontId="16" fillId="2" borderId="0" xfId="9" applyFont="1" applyFill="1"/>
    <xf numFmtId="0" fontId="17" fillId="2" borderId="0" xfId="9" applyFont="1" applyFill="1"/>
    <xf numFmtId="2" fontId="13" fillId="3" borderId="0" xfId="9" applyNumberFormat="1" applyFont="1" applyFill="1" applyAlignment="1" applyProtection="1">
      <alignment horizontal="center"/>
      <protection locked="0"/>
    </xf>
    <xf numFmtId="0" fontId="12" fillId="2" borderId="0" xfId="9" applyFont="1" applyFill="1" applyAlignment="1">
      <alignment vertical="center" wrapText="1"/>
    </xf>
    <xf numFmtId="0" fontId="18" fillId="2" borderId="0" xfId="9" applyFont="1" applyFill="1"/>
    <xf numFmtId="2" fontId="12" fillId="2" borderId="0" xfId="9" applyNumberFormat="1" applyFont="1" applyFill="1" applyAlignment="1">
      <alignment horizontal="center"/>
    </xf>
    <xf numFmtId="0" fontId="19" fillId="2" borderId="0" xfId="9" applyFont="1" applyFill="1" applyAlignment="1">
      <alignment horizontal="left" vertical="center" wrapText="1"/>
    </xf>
    <xf numFmtId="170" fontId="12" fillId="2" borderId="0" xfId="9" applyNumberFormat="1" applyFont="1" applyFill="1" applyAlignment="1">
      <alignment horizontal="center"/>
    </xf>
    <xf numFmtId="0" fontId="11" fillId="2" borderId="21" xfId="9" applyFont="1" applyFill="1" applyBorder="1" applyAlignment="1">
      <alignment horizontal="right"/>
    </xf>
    <xf numFmtId="0" fontId="13" fillId="3" borderId="22" xfId="9" applyFont="1" applyFill="1" applyBorder="1" applyAlignment="1" applyProtection="1">
      <alignment horizontal="center"/>
      <protection locked="0"/>
    </xf>
    <xf numFmtId="0" fontId="11" fillId="2" borderId="23" xfId="9" applyFont="1" applyFill="1" applyBorder="1" applyAlignment="1">
      <alignment horizontal="right"/>
    </xf>
    <xf numFmtId="0" fontId="13" fillId="3" borderId="24" xfId="9" applyFont="1" applyFill="1" applyBorder="1" applyAlignment="1" applyProtection="1">
      <alignment horizontal="center"/>
      <protection locked="0"/>
    </xf>
    <xf numFmtId="0" fontId="12" fillId="2" borderId="22" xfId="9" applyFont="1" applyFill="1" applyBorder="1" applyAlignment="1">
      <alignment horizontal="center"/>
    </xf>
    <xf numFmtId="0" fontId="12" fillId="2" borderId="25" xfId="9" applyFont="1" applyFill="1" applyBorder="1" applyAlignment="1">
      <alignment horizontal="center"/>
    </xf>
    <xf numFmtId="0" fontId="12" fillId="2" borderId="26" xfId="9" applyFont="1" applyFill="1" applyBorder="1" applyAlignment="1">
      <alignment horizontal="center"/>
    </xf>
    <xf numFmtId="0" fontId="12" fillId="2" borderId="27" xfId="9" applyFont="1" applyFill="1" applyBorder="1" applyAlignment="1">
      <alignment horizontal="center"/>
    </xf>
    <xf numFmtId="0" fontId="12" fillId="2" borderId="12" xfId="9" applyFont="1" applyFill="1" applyBorder="1" applyAlignment="1">
      <alignment horizontal="center"/>
    </xf>
    <xf numFmtId="0" fontId="11" fillId="2" borderId="28" xfId="9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9" applyNumberFormat="1" applyFont="1" applyFill="1" applyBorder="1" applyAlignment="1">
      <alignment horizontal="center"/>
    </xf>
    <xf numFmtId="171" fontId="11" fillId="2" borderId="30" xfId="9" applyNumberFormat="1" applyFont="1" applyFill="1" applyBorder="1" applyAlignment="1">
      <alignment horizontal="center"/>
    </xf>
    <xf numFmtId="0" fontId="18" fillId="2" borderId="13" xfId="9" applyFont="1" applyFill="1" applyBorder="1"/>
    <xf numFmtId="0" fontId="11" fillId="2" borderId="24" xfId="9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9" applyNumberFormat="1" applyFont="1" applyFill="1" applyBorder="1" applyAlignment="1">
      <alignment horizontal="center"/>
    </xf>
    <xf numFmtId="171" fontId="11" fillId="2" borderId="32" xfId="9" applyNumberFormat="1" applyFont="1" applyFill="1" applyBorder="1" applyAlignment="1">
      <alignment horizontal="center"/>
    </xf>
    <xf numFmtId="0" fontId="11" fillId="2" borderId="33" xfId="9" applyFont="1" applyFill="1" applyBorder="1" applyAlignment="1">
      <alignment horizontal="center"/>
    </xf>
    <xf numFmtId="0" fontId="13" fillId="3" borderId="34" xfId="9" applyFont="1" applyFill="1" applyBorder="1" applyAlignment="1" applyProtection="1">
      <alignment horizontal="center"/>
      <protection locked="0"/>
    </xf>
    <xf numFmtId="171" fontId="11" fillId="2" borderId="35" xfId="9" applyNumberFormat="1" applyFont="1" applyFill="1" applyBorder="1" applyAlignment="1">
      <alignment horizontal="center"/>
    </xf>
    <xf numFmtId="171" fontId="11" fillId="2" borderId="36" xfId="9" applyNumberFormat="1" applyFont="1" applyFill="1" applyBorder="1" applyAlignment="1">
      <alignment horizontal="center"/>
    </xf>
    <xf numFmtId="0" fontId="11" fillId="2" borderId="15" xfId="9" applyFont="1" applyFill="1" applyBorder="1"/>
    <xf numFmtId="0" fontId="11" fillId="2" borderId="24" xfId="9" applyFont="1" applyFill="1" applyBorder="1" applyAlignment="1">
      <alignment horizontal="right"/>
    </xf>
    <xf numFmtId="1" fontId="12" fillId="6" borderId="37" xfId="9" applyNumberFormat="1" applyFont="1" applyFill="1" applyBorder="1" applyAlignment="1">
      <alignment horizontal="center"/>
    </xf>
    <xf numFmtId="171" fontId="12" fillId="6" borderId="38" xfId="9" applyNumberFormat="1" applyFont="1" applyFill="1" applyBorder="1" applyAlignment="1">
      <alignment horizontal="center"/>
    </xf>
    <xf numFmtId="171" fontId="12" fillId="6" borderId="39" xfId="9" applyNumberFormat="1" applyFont="1" applyFill="1" applyBorder="1" applyAlignment="1">
      <alignment horizontal="center"/>
    </xf>
    <xf numFmtId="0" fontId="11" fillId="2" borderId="40" xfId="9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9" applyFont="1" applyFill="1" applyBorder="1" applyAlignment="1">
      <alignment horizontal="right"/>
    </xf>
    <xf numFmtId="2" fontId="11" fillId="6" borderId="41" xfId="9" applyNumberFormat="1" applyFont="1" applyFill="1" applyBorder="1" applyAlignment="1">
      <alignment horizontal="center"/>
    </xf>
    <xf numFmtId="0" fontId="11" fillId="2" borderId="0" xfId="9" applyFont="1" applyFill="1" applyAlignment="1">
      <alignment horizontal="center"/>
    </xf>
    <xf numFmtId="2" fontId="11" fillId="7" borderId="41" xfId="9" applyNumberFormat="1" applyFont="1" applyFill="1" applyBorder="1" applyAlignment="1">
      <alignment horizontal="center"/>
    </xf>
    <xf numFmtId="2" fontId="11" fillId="2" borderId="0" xfId="9" applyNumberFormat="1" applyFont="1" applyFill="1" applyAlignment="1">
      <alignment horizontal="center"/>
    </xf>
    <xf numFmtId="166" fontId="11" fillId="6" borderId="41" xfId="9" applyNumberFormat="1" applyFont="1" applyFill="1" applyBorder="1" applyAlignment="1">
      <alignment horizontal="center"/>
    </xf>
    <xf numFmtId="166" fontId="11" fillId="2" borderId="0" xfId="9" applyNumberFormat="1" applyFont="1" applyFill="1" applyAlignment="1">
      <alignment horizontal="center"/>
    </xf>
    <xf numFmtId="166" fontId="11" fillId="6" borderId="17" xfId="9" applyNumberFormat="1" applyFont="1" applyFill="1" applyBorder="1" applyAlignment="1">
      <alignment horizontal="center"/>
    </xf>
    <xf numFmtId="0" fontId="11" fillId="2" borderId="42" xfId="9" applyFont="1" applyFill="1" applyBorder="1" applyAlignment="1">
      <alignment horizontal="right"/>
    </xf>
    <xf numFmtId="166" fontId="13" fillId="3" borderId="41" xfId="9" applyNumberFormat="1" applyFont="1" applyFill="1" applyBorder="1" applyAlignment="1" applyProtection="1">
      <alignment horizontal="center"/>
      <protection locked="0"/>
    </xf>
    <xf numFmtId="166" fontId="11" fillId="2" borderId="0" xfId="9" applyNumberFormat="1" applyFont="1" applyFill="1"/>
    <xf numFmtId="0" fontId="11" fillId="2" borderId="29" xfId="9" applyFont="1" applyFill="1" applyBorder="1" applyAlignment="1">
      <alignment horizontal="right"/>
    </xf>
    <xf numFmtId="1" fontId="11" fillId="2" borderId="0" xfId="9" applyNumberFormat="1" applyFont="1" applyFill="1" applyAlignment="1">
      <alignment horizontal="center"/>
    </xf>
    <xf numFmtId="0" fontId="11" fillId="2" borderId="15" xfId="9" applyFont="1" applyFill="1" applyBorder="1" applyAlignment="1">
      <alignment horizontal="right"/>
    </xf>
    <xf numFmtId="2" fontId="11" fillId="6" borderId="15" xfId="9" applyNumberFormat="1" applyFont="1" applyFill="1" applyBorder="1" applyAlignment="1">
      <alignment horizontal="center"/>
    </xf>
    <xf numFmtId="171" fontId="12" fillId="7" borderId="13" xfId="9" applyNumberFormat="1" applyFont="1" applyFill="1" applyBorder="1" applyAlignment="1">
      <alignment horizontal="center"/>
    </xf>
    <xf numFmtId="171" fontId="11" fillId="2" borderId="0" xfId="9" applyNumberFormat="1" applyFont="1" applyFill="1" applyAlignment="1">
      <alignment horizontal="center"/>
    </xf>
    <xf numFmtId="10" fontId="11" fillId="6" borderId="41" xfId="9" applyNumberFormat="1" applyFont="1" applyFill="1" applyBorder="1" applyAlignment="1">
      <alignment horizontal="center"/>
    </xf>
    <xf numFmtId="0" fontId="11" fillId="2" borderId="43" xfId="9" applyFont="1" applyFill="1" applyBorder="1" applyAlignment="1">
      <alignment horizontal="right"/>
    </xf>
    <xf numFmtId="0" fontId="11" fillId="7" borderId="15" xfId="9" applyFont="1" applyFill="1" applyBorder="1" applyAlignment="1">
      <alignment horizontal="center"/>
    </xf>
    <xf numFmtId="0" fontId="3" fillId="2" borderId="0" xfId="9" applyFont="1" applyFill="1"/>
    <xf numFmtId="0" fontId="12" fillId="2" borderId="0" xfId="9" applyFont="1" applyFill="1" applyAlignment="1">
      <alignment horizontal="left"/>
    </xf>
    <xf numFmtId="0" fontId="11" fillId="2" borderId="0" xfId="9" applyFont="1" applyFill="1" applyAlignment="1">
      <alignment horizontal="left"/>
    </xf>
    <xf numFmtId="172" fontId="13" fillId="3" borderId="0" xfId="9" applyNumberFormat="1" applyFont="1" applyFill="1" applyAlignment="1" applyProtection="1">
      <alignment horizontal="center"/>
      <protection locked="0"/>
    </xf>
    <xf numFmtId="166" fontId="12" fillId="2" borderId="0" xfId="9" applyNumberFormat="1" applyFont="1" applyFill="1" applyAlignment="1" applyProtection="1">
      <alignment horizontal="center"/>
      <protection locked="0"/>
    </xf>
    <xf numFmtId="2" fontId="12" fillId="2" borderId="13" xfId="9" applyNumberFormat="1" applyFont="1" applyFill="1" applyBorder="1" applyAlignment="1">
      <alignment horizontal="center"/>
    </xf>
    <xf numFmtId="0" fontId="12" fillId="2" borderId="13" xfId="9" applyFont="1" applyFill="1" applyBorder="1" applyAlignment="1">
      <alignment horizontal="center"/>
    </xf>
    <xf numFmtId="0" fontId="11" fillId="2" borderId="13" xfId="9" applyFont="1" applyFill="1" applyBorder="1" applyAlignment="1">
      <alignment horizontal="center"/>
    </xf>
    <xf numFmtId="0" fontId="13" fillId="3" borderId="21" xfId="9" applyFont="1" applyFill="1" applyBorder="1" applyAlignment="1" applyProtection="1">
      <alignment horizontal="center"/>
      <protection locked="0"/>
    </xf>
    <xf numFmtId="166" fontId="11" fillId="2" borderId="21" xfId="9" applyNumberFormat="1" applyFont="1" applyFill="1" applyBorder="1" applyAlignment="1">
      <alignment horizontal="center"/>
    </xf>
    <xf numFmtId="173" fontId="11" fillId="2" borderId="13" xfId="9" applyNumberFormat="1" applyFont="1" applyFill="1" applyBorder="1" applyAlignment="1">
      <alignment horizontal="center" vertical="center"/>
    </xf>
    <xf numFmtId="0" fontId="11" fillId="2" borderId="14" xfId="9" applyFont="1" applyFill="1" applyBorder="1" applyAlignment="1">
      <alignment horizontal="center"/>
    </xf>
    <xf numFmtId="0" fontId="13" fillId="3" borderId="23" xfId="9" applyFont="1" applyFill="1" applyBorder="1" applyAlignment="1" applyProtection="1">
      <alignment horizontal="center"/>
      <protection locked="0"/>
    </xf>
    <xf numFmtId="166" fontId="11" fillId="2" borderId="23" xfId="9" applyNumberFormat="1" applyFont="1" applyFill="1" applyBorder="1" applyAlignment="1">
      <alignment horizontal="center"/>
    </xf>
    <xf numFmtId="173" fontId="11" fillId="2" borderId="14" xfId="9" applyNumberFormat="1" applyFont="1" applyFill="1" applyBorder="1" applyAlignment="1">
      <alignment horizontal="center" vertical="center"/>
    </xf>
    <xf numFmtId="1" fontId="13" fillId="3" borderId="23" xfId="9" applyNumberFormat="1" applyFont="1" applyFill="1" applyBorder="1" applyAlignment="1" applyProtection="1">
      <alignment horizontal="center"/>
      <protection locked="0"/>
    </xf>
    <xf numFmtId="0" fontId="11" fillId="2" borderId="15" xfId="9" applyFont="1" applyFill="1" applyBorder="1" applyAlignment="1">
      <alignment horizontal="center"/>
    </xf>
    <xf numFmtId="0" fontId="13" fillId="3" borderId="43" xfId="9" applyFont="1" applyFill="1" applyBorder="1" applyAlignment="1" applyProtection="1">
      <alignment horizontal="center"/>
      <protection locked="0"/>
    </xf>
    <xf numFmtId="166" fontId="11" fillId="2" borderId="43" xfId="9" applyNumberFormat="1" applyFont="1" applyFill="1" applyBorder="1" applyAlignment="1">
      <alignment horizontal="center"/>
    </xf>
    <xf numFmtId="173" fontId="11" fillId="2" borderId="15" xfId="9" applyNumberFormat="1" applyFont="1" applyFill="1" applyBorder="1" applyAlignment="1">
      <alignment horizontal="center" vertical="center"/>
    </xf>
    <xf numFmtId="0" fontId="14" fillId="2" borderId="24" xfId="9" applyFont="1" applyFill="1" applyBorder="1" applyAlignment="1">
      <alignment horizontal="center"/>
    </xf>
    <xf numFmtId="2" fontId="14" fillId="2" borderId="44" xfId="9" applyNumberFormat="1" applyFont="1" applyFill="1" applyBorder="1" applyAlignment="1">
      <alignment horizontal="center"/>
    </xf>
    <xf numFmtId="0" fontId="11" fillId="2" borderId="45" xfId="9" applyFont="1" applyFill="1" applyBorder="1" applyAlignment="1">
      <alignment horizontal="right"/>
    </xf>
    <xf numFmtId="2" fontId="13" fillId="7" borderId="33" xfId="9" applyNumberFormat="1" applyFont="1" applyFill="1" applyBorder="1" applyAlignment="1">
      <alignment horizontal="center"/>
    </xf>
    <xf numFmtId="173" fontId="13" fillId="7" borderId="33" xfId="9" applyNumberFormat="1" applyFont="1" applyFill="1" applyBorder="1" applyAlignment="1">
      <alignment horizontal="center"/>
    </xf>
    <xf numFmtId="0" fontId="11" fillId="2" borderId="41" xfId="9" applyFont="1" applyFill="1" applyBorder="1" applyAlignment="1">
      <alignment horizontal="right"/>
    </xf>
    <xf numFmtId="10" fontId="13" fillId="6" borderId="57" xfId="9" applyNumberFormat="1" applyFont="1" applyFill="1" applyBorder="1" applyAlignment="1">
      <alignment horizontal="center"/>
    </xf>
    <xf numFmtId="0" fontId="11" fillId="2" borderId="17" xfId="9" applyFont="1" applyFill="1" applyBorder="1" applyAlignment="1">
      <alignment horizontal="right"/>
    </xf>
    <xf numFmtId="0" fontId="13" fillId="7" borderId="46" xfId="9" applyFont="1" applyFill="1" applyBorder="1" applyAlignment="1">
      <alignment horizontal="center"/>
    </xf>
    <xf numFmtId="165" fontId="13" fillId="2" borderId="0" xfId="9" applyNumberFormat="1" applyFont="1" applyFill="1" applyAlignment="1">
      <alignment horizontal="center"/>
    </xf>
    <xf numFmtId="0" fontId="12" fillId="2" borderId="47" xfId="9" applyFont="1" applyFill="1" applyBorder="1" applyAlignment="1">
      <alignment horizontal="center"/>
    </xf>
    <xf numFmtId="0" fontId="12" fillId="2" borderId="40" xfId="9" applyFont="1" applyFill="1" applyBorder="1" applyAlignment="1">
      <alignment horizontal="center"/>
    </xf>
    <xf numFmtId="0" fontId="12" fillId="2" borderId="10" xfId="9" applyFont="1" applyFill="1" applyBorder="1" applyAlignment="1">
      <alignment horizontal="center"/>
    </xf>
    <xf numFmtId="0" fontId="12" fillId="2" borderId="30" xfId="9" applyFont="1" applyFill="1" applyBorder="1" applyAlignment="1">
      <alignment horizontal="center"/>
    </xf>
    <xf numFmtId="0" fontId="11" fillId="2" borderId="48" xfId="9" applyFont="1" applyFill="1" applyBorder="1" applyAlignment="1">
      <alignment horizontal="center"/>
    </xf>
    <xf numFmtId="0" fontId="11" fillId="2" borderId="7" xfId="9" applyFont="1" applyFill="1" applyBorder="1" applyAlignment="1">
      <alignment horizontal="center"/>
    </xf>
    <xf numFmtId="171" fontId="13" fillId="3" borderId="34" xfId="9" applyNumberFormat="1" applyFont="1" applyFill="1" applyBorder="1" applyAlignment="1" applyProtection="1">
      <alignment horizontal="center"/>
      <protection locked="0"/>
    </xf>
    <xf numFmtId="1" fontId="12" fillId="6" borderId="49" xfId="9" applyNumberFormat="1" applyFont="1" applyFill="1" applyBorder="1" applyAlignment="1">
      <alignment horizontal="center"/>
    </xf>
    <xf numFmtId="1" fontId="12" fillId="6" borderId="50" xfId="9" applyNumberFormat="1" applyFont="1" applyFill="1" applyBorder="1" applyAlignment="1">
      <alignment horizontal="center"/>
    </xf>
    <xf numFmtId="171" fontId="12" fillId="6" borderId="15" xfId="9" applyNumberFormat="1" applyFont="1" applyFill="1" applyBorder="1" applyAlignment="1">
      <alignment horizontal="center"/>
    </xf>
    <xf numFmtId="0" fontId="11" fillId="2" borderId="51" xfId="9" applyFont="1" applyFill="1" applyBorder="1" applyAlignment="1">
      <alignment horizontal="right"/>
    </xf>
    <xf numFmtId="0" fontId="13" fillId="3" borderId="52" xfId="9" applyFont="1" applyFill="1" applyBorder="1" applyAlignment="1" applyProtection="1">
      <alignment horizontal="center"/>
      <protection locked="0"/>
    </xf>
    <xf numFmtId="0" fontId="13" fillId="3" borderId="16" xfId="9" applyFont="1" applyFill="1" applyBorder="1" applyAlignment="1" applyProtection="1">
      <alignment horizontal="center"/>
      <protection locked="0"/>
    </xf>
    <xf numFmtId="0" fontId="11" fillId="2" borderId="25" xfId="9" applyFont="1" applyFill="1" applyBorder="1" applyAlignment="1">
      <alignment horizontal="right"/>
    </xf>
    <xf numFmtId="2" fontId="11" fillId="6" borderId="27" xfId="9" applyNumberFormat="1" applyFont="1" applyFill="1" applyBorder="1" applyAlignment="1">
      <alignment horizontal="center"/>
    </xf>
    <xf numFmtId="2" fontId="11" fillId="7" borderId="27" xfId="9" applyNumberFormat="1" applyFont="1" applyFill="1" applyBorder="1" applyAlignment="1">
      <alignment horizontal="center"/>
    </xf>
    <xf numFmtId="166" fontId="11" fillId="6" borderId="27" xfId="9" applyNumberFormat="1" applyFont="1" applyFill="1" applyBorder="1" applyAlignment="1">
      <alignment horizontal="center"/>
    </xf>
    <xf numFmtId="166" fontId="11" fillId="7" borderId="27" xfId="9" applyNumberFormat="1" applyFont="1" applyFill="1" applyBorder="1" applyAlignment="1">
      <alignment horizontal="center"/>
    </xf>
    <xf numFmtId="2" fontId="2" fillId="2" borderId="0" xfId="9" applyNumberFormat="1" applyFont="1" applyFill="1" applyAlignment="1">
      <alignment horizontal="center"/>
    </xf>
    <xf numFmtId="0" fontId="11" fillId="2" borderId="53" xfId="9" applyFont="1" applyFill="1" applyBorder="1" applyAlignment="1">
      <alignment horizontal="right"/>
    </xf>
    <xf numFmtId="2" fontId="11" fillId="7" borderId="30" xfId="9" applyNumberFormat="1" applyFont="1" applyFill="1" applyBorder="1" applyAlignment="1">
      <alignment horizontal="center"/>
    </xf>
    <xf numFmtId="0" fontId="12" fillId="2" borderId="0" xfId="9" applyFont="1" applyFill="1" applyAlignment="1">
      <alignment horizontal="center" wrapText="1"/>
    </xf>
    <xf numFmtId="0" fontId="11" fillId="2" borderId="16" xfId="9" applyFont="1" applyFill="1" applyBorder="1" applyAlignment="1">
      <alignment horizontal="right"/>
    </xf>
    <xf numFmtId="171" fontId="12" fillId="7" borderId="16" xfId="9" applyNumberFormat="1" applyFont="1" applyFill="1" applyBorder="1" applyAlignment="1">
      <alignment horizontal="center"/>
    </xf>
    <xf numFmtId="10" fontId="11" fillId="2" borderId="0" xfId="9" applyNumberFormat="1" applyFont="1" applyFill="1" applyAlignment="1">
      <alignment horizontal="center"/>
    </xf>
    <xf numFmtId="10" fontId="12" fillId="6" borderId="41" xfId="9" applyNumberFormat="1" applyFont="1" applyFill="1" applyBorder="1" applyAlignment="1">
      <alignment horizontal="center"/>
    </xf>
    <xf numFmtId="0" fontId="12" fillId="7" borderId="17" xfId="9" applyFont="1" applyFill="1" applyBorder="1" applyAlignment="1">
      <alignment horizontal="center"/>
    </xf>
    <xf numFmtId="0" fontId="12" fillId="2" borderId="22" xfId="9" applyFont="1" applyFill="1" applyBorder="1" applyAlignment="1">
      <alignment horizontal="center" wrapText="1"/>
    </xf>
    <xf numFmtId="1" fontId="13" fillId="3" borderId="13" xfId="9" applyNumberFormat="1" applyFont="1" applyFill="1" applyBorder="1" applyAlignment="1" applyProtection="1">
      <alignment horizontal="center"/>
      <protection locked="0"/>
    </xf>
    <xf numFmtId="166" fontId="11" fillId="2" borderId="13" xfId="9" applyNumberFormat="1" applyFont="1" applyFill="1" applyBorder="1" applyAlignment="1">
      <alignment horizontal="center"/>
    </xf>
    <xf numFmtId="173" fontId="11" fillId="2" borderId="22" xfId="9" applyNumberFormat="1" applyFont="1" applyFill="1" applyBorder="1" applyAlignment="1">
      <alignment horizontal="center"/>
    </xf>
    <xf numFmtId="1" fontId="13" fillId="3" borderId="14" xfId="9" applyNumberFormat="1" applyFont="1" applyFill="1" applyBorder="1" applyAlignment="1" applyProtection="1">
      <alignment horizontal="center"/>
      <protection locked="0"/>
    </xf>
    <xf numFmtId="166" fontId="11" fillId="2" borderId="14" xfId="9" applyNumberFormat="1" applyFont="1" applyFill="1" applyBorder="1" applyAlignment="1">
      <alignment horizontal="center"/>
    </xf>
    <xf numFmtId="173" fontId="11" fillId="2" borderId="24" xfId="9" applyNumberFormat="1" applyFont="1" applyFill="1" applyBorder="1" applyAlignment="1">
      <alignment horizontal="center"/>
    </xf>
    <xf numFmtId="1" fontId="13" fillId="3" borderId="15" xfId="9" applyNumberFormat="1" applyFont="1" applyFill="1" applyBorder="1" applyAlignment="1" applyProtection="1">
      <alignment horizontal="center"/>
      <protection locked="0"/>
    </xf>
    <xf numFmtId="166" fontId="11" fillId="2" borderId="15" xfId="9" applyNumberFormat="1" applyFont="1" applyFill="1" applyBorder="1" applyAlignment="1">
      <alignment horizontal="center"/>
    </xf>
    <xf numFmtId="173" fontId="11" fillId="2" borderId="44" xfId="9" applyNumberFormat="1" applyFont="1" applyFill="1" applyBorder="1" applyAlignment="1">
      <alignment horizontal="center"/>
    </xf>
    <xf numFmtId="0" fontId="11" fillId="2" borderId="23" xfId="9" applyFont="1" applyFill="1" applyBorder="1" applyAlignment="1">
      <alignment horizontal="center"/>
    </xf>
    <xf numFmtId="171" fontId="11" fillId="2" borderId="16" xfId="9" applyNumberFormat="1" applyFont="1" applyFill="1" applyBorder="1" applyAlignment="1">
      <alignment horizontal="right"/>
    </xf>
    <xf numFmtId="2" fontId="13" fillId="7" borderId="58" xfId="9" applyNumberFormat="1" applyFont="1" applyFill="1" applyBorder="1" applyAlignment="1">
      <alignment horizontal="center"/>
    </xf>
    <xf numFmtId="174" fontId="13" fillId="7" borderId="52" xfId="9" applyNumberFormat="1" applyFont="1" applyFill="1" applyBorder="1" applyAlignment="1">
      <alignment horizontal="center"/>
    </xf>
    <xf numFmtId="0" fontId="11" fillId="2" borderId="23" xfId="9" applyFont="1" applyFill="1" applyBorder="1"/>
    <xf numFmtId="0" fontId="11" fillId="2" borderId="14" xfId="9" applyFont="1" applyFill="1" applyBorder="1" applyAlignment="1">
      <alignment horizontal="right"/>
    </xf>
    <xf numFmtId="10" fontId="13" fillId="6" borderId="27" xfId="9" applyNumberFormat="1" applyFont="1" applyFill="1" applyBorder="1" applyAlignment="1">
      <alignment horizontal="center"/>
    </xf>
    <xf numFmtId="0" fontId="11" fillId="2" borderId="43" xfId="9" applyFont="1" applyFill="1" applyBorder="1"/>
    <xf numFmtId="0" fontId="13" fillId="7" borderId="28" xfId="9" applyFont="1" applyFill="1" applyBorder="1" applyAlignment="1">
      <alignment horizontal="center"/>
    </xf>
    <xf numFmtId="0" fontId="13" fillId="7" borderId="59" xfId="9" applyFont="1" applyFill="1" applyBorder="1" applyAlignment="1">
      <alignment horizontal="center"/>
    </xf>
    <xf numFmtId="0" fontId="11" fillId="2" borderId="13" xfId="9" applyFont="1" applyFill="1" applyBorder="1"/>
    <xf numFmtId="0" fontId="19" fillId="2" borderId="0" xfId="9" applyFont="1" applyFill="1" applyAlignment="1">
      <alignment horizontal="right" vertical="center" wrapText="1"/>
    </xf>
    <xf numFmtId="2" fontId="13" fillId="6" borderId="57" xfId="9" applyNumberFormat="1" applyFont="1" applyFill="1" applyBorder="1" applyAlignment="1">
      <alignment horizontal="center"/>
    </xf>
    <xf numFmtId="174" fontId="13" fillId="6" borderId="57" xfId="9" applyNumberFormat="1" applyFont="1" applyFill="1" applyBorder="1" applyAlignment="1">
      <alignment horizontal="center"/>
    </xf>
    <xf numFmtId="2" fontId="13" fillId="7" borderId="46" xfId="9" applyNumberFormat="1" applyFont="1" applyFill="1" applyBorder="1" applyAlignment="1">
      <alignment horizontal="center"/>
    </xf>
    <xf numFmtId="174" fontId="13" fillId="7" borderId="46" xfId="9" applyNumberFormat="1" applyFont="1" applyFill="1" applyBorder="1" applyAlignment="1">
      <alignment horizontal="center"/>
    </xf>
    <xf numFmtId="175" fontId="26" fillId="2" borderId="0" xfId="9" applyNumberFormat="1" applyFont="1" applyFill="1" applyAlignment="1">
      <alignment horizontal="center"/>
    </xf>
    <xf numFmtId="0" fontId="19" fillId="2" borderId="9" xfId="9" applyFont="1" applyFill="1" applyBorder="1" applyAlignment="1">
      <alignment horizontal="left" vertical="center" wrapText="1"/>
    </xf>
    <xf numFmtId="0" fontId="11" fillId="2" borderId="9" xfId="9" applyFont="1" applyFill="1" applyBorder="1"/>
    <xf numFmtId="0" fontId="11" fillId="2" borderId="10" xfId="9" applyFont="1" applyFill="1" applyBorder="1" applyAlignment="1">
      <alignment horizontal="center"/>
    </xf>
    <xf numFmtId="0" fontId="11" fillId="2" borderId="7" xfId="9" applyFont="1" applyFill="1" applyBorder="1"/>
    <xf numFmtId="0" fontId="12" fillId="2" borderId="11" xfId="9" applyFont="1" applyFill="1" applyBorder="1"/>
    <xf numFmtId="0" fontId="11" fillId="2" borderId="11" xfId="9" applyFont="1" applyFill="1" applyBorder="1"/>
    <xf numFmtId="0" fontId="2" fillId="2" borderId="0" xfId="1" applyFont="1" applyFill="1" applyAlignment="1">
      <alignment horizontal="center"/>
    </xf>
    <xf numFmtId="10" fontId="2" fillId="2" borderId="0" xfId="9" applyNumberFormat="1" applyFont="1" applyFill="1" applyBorder="1"/>
    <xf numFmtId="0" fontId="3" fillId="2" borderId="0" xfId="9" applyFont="1" applyFill="1" applyAlignment="1">
      <alignment horizontal="center"/>
    </xf>
    <xf numFmtId="0" fontId="1" fillId="2" borderId="10" xfId="9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5" fillId="2" borderId="0" xfId="9" applyFont="1" applyFill="1" applyAlignment="1">
      <alignment horizontal="right"/>
    </xf>
    <xf numFmtId="0" fontId="4" fillId="2" borderId="0" xfId="9" applyFont="1" applyFill="1" applyAlignment="1">
      <alignment horizontal="center"/>
    </xf>
    <xf numFmtId="164" fontId="1" fillId="2" borderId="0" xfId="9" applyNumberFormat="1" applyFont="1" applyFill="1" applyAlignment="1">
      <alignment horizontal="center"/>
    </xf>
    <xf numFmtId="166" fontId="5" fillId="2" borderId="13" xfId="9" applyNumberFormat="1" applyFont="1" applyFill="1" applyBorder="1" applyAlignment="1">
      <alignment horizontal="center" vertical="center"/>
    </xf>
    <xf numFmtId="166" fontId="5" fillId="2" borderId="15" xfId="9" applyNumberFormat="1" applyFont="1" applyFill="1" applyBorder="1" applyAlignment="1">
      <alignment horizontal="center" vertical="center"/>
    </xf>
    <xf numFmtId="0" fontId="10" fillId="2" borderId="18" xfId="9" applyFont="1" applyFill="1" applyBorder="1" applyAlignment="1">
      <alignment horizontal="center" wrapText="1"/>
    </xf>
    <xf numFmtId="0" fontId="10" fillId="2" borderId="19" xfId="9" applyFont="1" applyFill="1" applyBorder="1" applyAlignment="1">
      <alignment horizontal="center" wrapText="1"/>
    </xf>
    <xf numFmtId="0" fontId="10" fillId="2" borderId="20" xfId="9" applyFont="1" applyFill="1" applyBorder="1" applyAlignment="1">
      <alignment horizontal="center" wrapText="1"/>
    </xf>
    <xf numFmtId="10" fontId="15" fillId="2" borderId="14" xfId="9" applyNumberFormat="1" applyFont="1" applyFill="1" applyBorder="1" applyAlignment="1">
      <alignment horizontal="center" vertical="center"/>
    </xf>
    <xf numFmtId="0" fontId="19" fillId="2" borderId="21" xfId="9" applyFont="1" applyFill="1" applyBorder="1" applyAlignment="1">
      <alignment horizontal="left" vertical="center" wrapText="1"/>
    </xf>
    <xf numFmtId="0" fontId="19" fillId="2" borderId="10" xfId="9" applyFont="1" applyFill="1" applyBorder="1" applyAlignment="1">
      <alignment horizontal="left" vertical="center" wrapText="1"/>
    </xf>
    <xf numFmtId="0" fontId="19" fillId="2" borderId="43" xfId="9" applyFont="1" applyFill="1" applyBorder="1" applyAlignment="1">
      <alignment horizontal="left" vertical="center" wrapText="1"/>
    </xf>
    <xf numFmtId="0" fontId="19" fillId="2" borderId="9" xfId="9" applyFont="1" applyFill="1" applyBorder="1" applyAlignment="1">
      <alignment horizontal="left" vertical="center" wrapText="1"/>
    </xf>
    <xf numFmtId="0" fontId="19" fillId="2" borderId="22" xfId="9" applyFont="1" applyFill="1" applyBorder="1" applyAlignment="1">
      <alignment horizontal="left" vertical="center" wrapText="1"/>
    </xf>
    <xf numFmtId="0" fontId="19" fillId="2" borderId="44" xfId="9" applyFont="1" applyFill="1" applyBorder="1" applyAlignment="1">
      <alignment horizontal="left" vertical="center" wrapText="1"/>
    </xf>
    <xf numFmtId="0" fontId="12" fillId="2" borderId="47" xfId="9" applyFont="1" applyFill="1" applyBorder="1" applyAlignment="1">
      <alignment horizontal="center" vertical="center"/>
    </xf>
    <xf numFmtId="0" fontId="12" fillId="2" borderId="58" xfId="9" applyFont="1" applyFill="1" applyBorder="1" applyAlignment="1">
      <alignment horizontal="center" vertical="center"/>
    </xf>
    <xf numFmtId="0" fontId="12" fillId="2" borderId="0" xfId="9" applyFont="1" applyFill="1" applyAlignment="1">
      <alignment horizontal="center"/>
    </xf>
    <xf numFmtId="0" fontId="12" fillId="2" borderId="10" xfId="9" applyFont="1" applyFill="1" applyBorder="1" applyAlignment="1">
      <alignment horizontal="center"/>
    </xf>
    <xf numFmtId="0" fontId="13" fillId="3" borderId="0" xfId="9" applyFont="1" applyFill="1" applyAlignment="1" applyProtection="1">
      <alignment horizontal="left"/>
      <protection locked="0"/>
    </xf>
    <xf numFmtId="0" fontId="19" fillId="2" borderId="18" xfId="9" applyFont="1" applyFill="1" applyBorder="1" applyAlignment="1">
      <alignment horizontal="justify" vertical="center" wrapText="1"/>
    </xf>
    <xf numFmtId="0" fontId="19" fillId="2" borderId="19" xfId="9" applyFont="1" applyFill="1" applyBorder="1" applyAlignment="1">
      <alignment horizontal="justify" vertical="center" wrapText="1"/>
    </xf>
    <xf numFmtId="0" fontId="19" fillId="2" borderId="20" xfId="9" applyFont="1" applyFill="1" applyBorder="1" applyAlignment="1">
      <alignment horizontal="justify" vertical="center" wrapText="1"/>
    </xf>
    <xf numFmtId="0" fontId="19" fillId="2" borderId="18" xfId="9" applyFont="1" applyFill="1" applyBorder="1" applyAlignment="1">
      <alignment horizontal="left" vertical="center" wrapText="1"/>
    </xf>
    <xf numFmtId="0" fontId="19" fillId="2" borderId="19" xfId="9" applyFont="1" applyFill="1" applyBorder="1" applyAlignment="1">
      <alignment horizontal="left" vertical="center" wrapText="1"/>
    </xf>
    <xf numFmtId="0" fontId="19" fillId="2" borderId="20" xfId="9" applyFont="1" applyFill="1" applyBorder="1" applyAlignment="1">
      <alignment horizontal="left" vertical="center" wrapText="1"/>
    </xf>
    <xf numFmtId="0" fontId="12" fillId="2" borderId="47" xfId="9" applyFont="1" applyFill="1" applyBorder="1" applyAlignment="1">
      <alignment horizontal="center"/>
    </xf>
    <xf numFmtId="0" fontId="12" fillId="2" borderId="58" xfId="9" applyFont="1" applyFill="1" applyBorder="1" applyAlignment="1">
      <alignment horizontal="center"/>
    </xf>
    <xf numFmtId="0" fontId="12" fillId="2" borderId="10" xfId="9" applyFont="1" applyFill="1" applyBorder="1" applyAlignment="1">
      <alignment horizontal="center" vertical="center"/>
    </xf>
    <xf numFmtId="0" fontId="12" fillId="2" borderId="0" xfId="9" applyFont="1" applyFill="1" applyAlignment="1">
      <alignment horizontal="center" vertical="center"/>
    </xf>
    <xf numFmtId="0" fontId="12" fillId="2" borderId="9" xfId="9" applyFont="1" applyFill="1" applyBorder="1" applyAlignment="1">
      <alignment horizontal="center" vertical="center"/>
    </xf>
    <xf numFmtId="2" fontId="13" fillId="3" borderId="13" xfId="9" applyNumberFormat="1" applyFont="1" applyFill="1" applyBorder="1" applyAlignment="1" applyProtection="1">
      <alignment horizontal="center" vertical="center"/>
      <protection locked="0"/>
    </xf>
    <xf numFmtId="2" fontId="13" fillId="3" borderId="14" xfId="9" applyNumberFormat="1" applyFont="1" applyFill="1" applyBorder="1" applyAlignment="1" applyProtection="1">
      <alignment horizontal="center" vertical="center"/>
      <protection locked="0"/>
    </xf>
    <xf numFmtId="2" fontId="13" fillId="3" borderId="15" xfId="9" applyNumberFormat="1" applyFont="1" applyFill="1" applyBorder="1" applyAlignment="1" applyProtection="1">
      <alignment horizontal="center" vertical="center"/>
      <protection locked="0"/>
    </xf>
    <xf numFmtId="0" fontId="12" fillId="2" borderId="43" xfId="9" applyFont="1" applyFill="1" applyBorder="1" applyAlignment="1">
      <alignment horizontal="center" vertical="center"/>
    </xf>
    <xf numFmtId="0" fontId="19" fillId="2" borderId="21" xfId="9" applyFont="1" applyFill="1" applyBorder="1" applyAlignment="1">
      <alignment horizontal="center" vertical="center" wrapText="1"/>
    </xf>
    <xf numFmtId="0" fontId="19" fillId="2" borderId="22" xfId="9" applyFont="1" applyFill="1" applyBorder="1" applyAlignment="1">
      <alignment horizontal="center" vertical="center" wrapText="1"/>
    </xf>
    <xf numFmtId="0" fontId="19" fillId="2" borderId="43" xfId="9" applyFont="1" applyFill="1" applyBorder="1" applyAlignment="1">
      <alignment horizontal="center" vertical="center" wrapText="1"/>
    </xf>
    <xf numFmtId="0" fontId="19" fillId="2" borderId="44" xfId="9" applyFont="1" applyFill="1" applyBorder="1" applyAlignment="1">
      <alignment horizontal="center" vertical="center" wrapText="1"/>
    </xf>
    <xf numFmtId="0" fontId="12" fillId="2" borderId="40" xfId="9" applyFont="1" applyFill="1" applyBorder="1" applyAlignment="1">
      <alignment horizontal="center"/>
    </xf>
    <xf numFmtId="0" fontId="14" fillId="3" borderId="0" xfId="9" applyFont="1" applyFill="1" applyAlignment="1" applyProtection="1">
      <alignment horizontal="left" wrapText="1"/>
      <protection locked="0"/>
    </xf>
    <xf numFmtId="0" fontId="13" fillId="3" borderId="0" xfId="9" applyFont="1" applyFill="1" applyAlignment="1" applyProtection="1">
      <alignment horizontal="left" wrapText="1"/>
      <protection locked="0"/>
    </xf>
    <xf numFmtId="0" fontId="14" fillId="3" borderId="0" xfId="9" applyFont="1" applyFill="1" applyAlignment="1" applyProtection="1">
      <alignment horizontal="left"/>
      <protection locked="0"/>
    </xf>
    <xf numFmtId="0" fontId="21" fillId="2" borderId="0" xfId="9" applyFont="1" applyFill="1" applyAlignment="1">
      <alignment horizontal="center" vertical="center"/>
    </xf>
    <xf numFmtId="0" fontId="22" fillId="2" borderId="0" xfId="9" applyFont="1" applyFill="1" applyAlignment="1">
      <alignment horizontal="center" vertical="center"/>
    </xf>
    <xf numFmtId="0" fontId="19" fillId="2" borderId="18" xfId="9" applyFont="1" applyFill="1" applyBorder="1" applyAlignment="1">
      <alignment horizontal="center"/>
    </xf>
    <xf numFmtId="0" fontId="19" fillId="2" borderId="19" xfId="9" applyFont="1" applyFill="1" applyBorder="1" applyAlignment="1">
      <alignment horizontal="center"/>
    </xf>
    <xf numFmtId="0" fontId="19" fillId="2" borderId="20" xfId="9" applyFont="1" applyFill="1" applyBorder="1" applyAlignment="1">
      <alignment horizontal="center"/>
    </xf>
    <xf numFmtId="0" fontId="20" fillId="2" borderId="10" xfId="9" applyFont="1" applyFill="1" applyBorder="1" applyAlignment="1">
      <alignment horizontal="center" vertical="center"/>
    </xf>
  </cellXfs>
  <cellStyles count="10">
    <cellStyle name="Normal" xfId="0" builtinId="0"/>
    <cellStyle name="Normal 10" xfId="9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7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B20" sqref="B20"/>
    </sheetView>
  </sheetViews>
  <sheetFormatPr defaultRowHeight="13.5" x14ac:dyDescent="0.25"/>
  <cols>
    <col min="1" max="1" width="27.5703125" style="598" customWidth="1"/>
    <col min="2" max="2" width="20.42578125" style="598" customWidth="1"/>
    <col min="3" max="3" width="31.85546875" style="598" customWidth="1"/>
    <col min="4" max="4" width="25.85546875" style="598" customWidth="1"/>
    <col min="5" max="5" width="25.7109375" style="598" customWidth="1"/>
    <col min="6" max="6" width="23.140625" style="598" customWidth="1"/>
    <col min="7" max="7" width="28.42578125" style="598" customWidth="1"/>
    <col min="8" max="8" width="21.5703125" style="598" customWidth="1"/>
    <col min="9" max="9" width="9.140625" style="598" customWidth="1"/>
    <col min="10" max="16384" width="9.140625" style="634"/>
  </cols>
  <sheetData>
    <row r="14" spans="1:6" ht="15" customHeight="1" x14ac:dyDescent="0.3">
      <c r="A14" s="597"/>
      <c r="C14" s="599"/>
      <c r="F14" s="599"/>
    </row>
    <row r="15" spans="1:6" ht="18.75" customHeight="1" x14ac:dyDescent="0.3">
      <c r="A15" s="843" t="s">
        <v>0</v>
      </c>
      <c r="B15" s="843"/>
      <c r="C15" s="843"/>
      <c r="D15" s="843"/>
      <c r="E15" s="843"/>
    </row>
    <row r="16" spans="1:6" ht="16.5" customHeight="1" x14ac:dyDescent="0.3">
      <c r="A16" s="600" t="s">
        <v>1</v>
      </c>
      <c r="B16" s="601" t="s">
        <v>2</v>
      </c>
    </row>
    <row r="17" spans="1:5" ht="16.5" customHeight="1" x14ac:dyDescent="0.3">
      <c r="A17" s="602" t="s">
        <v>3</v>
      </c>
      <c r="B17" s="602" t="str">
        <f>lamivudine!B18</f>
        <v>LAMIVUDINE 150MG + ZIDOVUDINE 300MG + NEVIRAPINE 200MG TABLETS</v>
      </c>
      <c r="D17" s="603"/>
      <c r="E17" s="604"/>
    </row>
    <row r="18" spans="1:5" ht="16.5" customHeight="1" x14ac:dyDescent="0.3">
      <c r="A18" s="605" t="s">
        <v>4</v>
      </c>
      <c r="B18" s="602" t="s">
        <v>131</v>
      </c>
      <c r="C18" s="604"/>
      <c r="D18" s="604"/>
      <c r="E18" s="604"/>
    </row>
    <row r="19" spans="1:5" ht="16.5" customHeight="1" x14ac:dyDescent="0.3">
      <c r="A19" s="605" t="s">
        <v>6</v>
      </c>
      <c r="B19" s="606">
        <v>84.06</v>
      </c>
      <c r="C19" s="604"/>
      <c r="D19" s="604"/>
      <c r="E19" s="604"/>
    </row>
    <row r="20" spans="1:5" ht="16.5" customHeight="1" x14ac:dyDescent="0.3">
      <c r="A20" s="602" t="s">
        <v>8</v>
      </c>
      <c r="B20" s="606">
        <v>15.03</v>
      </c>
      <c r="C20" s="604"/>
      <c r="D20" s="604"/>
      <c r="E20" s="604"/>
    </row>
    <row r="21" spans="1:5" ht="16.5" customHeight="1" x14ac:dyDescent="0.3">
      <c r="A21" s="602" t="s">
        <v>10</v>
      </c>
      <c r="B21" s="607">
        <v>0.15</v>
      </c>
      <c r="C21" s="604"/>
      <c r="D21" s="604"/>
      <c r="E21" s="604"/>
    </row>
    <row r="22" spans="1:5" ht="15.75" customHeight="1" x14ac:dyDescent="0.25">
      <c r="A22" s="604"/>
      <c r="B22" s="604"/>
      <c r="C22" s="604"/>
      <c r="D22" s="604"/>
      <c r="E22" s="604"/>
    </row>
    <row r="23" spans="1:5" ht="16.5" customHeight="1" x14ac:dyDescent="0.3">
      <c r="A23" s="608" t="s">
        <v>13</v>
      </c>
      <c r="B23" s="609" t="s">
        <v>14</v>
      </c>
      <c r="C23" s="608" t="s">
        <v>15</v>
      </c>
      <c r="D23" s="608" t="s">
        <v>16</v>
      </c>
      <c r="E23" s="608" t="s">
        <v>17</v>
      </c>
    </row>
    <row r="24" spans="1:5" ht="16.5" customHeight="1" x14ac:dyDescent="0.3">
      <c r="A24" s="610">
        <v>1</v>
      </c>
      <c r="B24" s="611">
        <v>115506147</v>
      </c>
      <c r="C24" s="611">
        <v>3863.1</v>
      </c>
      <c r="D24" s="612">
        <v>1.2</v>
      </c>
      <c r="E24" s="613">
        <v>3</v>
      </c>
    </row>
    <row r="25" spans="1:5" ht="16.5" customHeight="1" x14ac:dyDescent="0.3">
      <c r="A25" s="610">
        <v>2</v>
      </c>
      <c r="B25" s="611">
        <v>115593793</v>
      </c>
      <c r="C25" s="611">
        <v>3860.3</v>
      </c>
      <c r="D25" s="612">
        <v>1.1000000000000001</v>
      </c>
      <c r="E25" s="612">
        <v>3</v>
      </c>
    </row>
    <row r="26" spans="1:5" ht="16.5" customHeight="1" x14ac:dyDescent="0.3">
      <c r="A26" s="610">
        <v>3</v>
      </c>
      <c r="B26" s="611">
        <v>115837796</v>
      </c>
      <c r="C26" s="611">
        <v>3853.8</v>
      </c>
      <c r="D26" s="612">
        <v>1.2</v>
      </c>
      <c r="E26" s="612">
        <v>3</v>
      </c>
    </row>
    <row r="27" spans="1:5" ht="16.5" customHeight="1" x14ac:dyDescent="0.3">
      <c r="A27" s="610">
        <v>4</v>
      </c>
      <c r="B27" s="611">
        <v>115833536</v>
      </c>
      <c r="C27" s="611">
        <v>3869.6</v>
      </c>
      <c r="D27" s="612">
        <v>1.2</v>
      </c>
      <c r="E27" s="612">
        <v>3</v>
      </c>
    </row>
    <row r="28" spans="1:5" ht="16.5" customHeight="1" x14ac:dyDescent="0.3">
      <c r="A28" s="610">
        <v>5</v>
      </c>
      <c r="B28" s="611">
        <v>115845247</v>
      </c>
      <c r="C28" s="611">
        <v>3882.3</v>
      </c>
      <c r="D28" s="612">
        <v>1.1000000000000001</v>
      </c>
      <c r="E28" s="612">
        <v>3</v>
      </c>
    </row>
    <row r="29" spans="1:5" ht="16.5" customHeight="1" x14ac:dyDescent="0.3">
      <c r="A29" s="610">
        <v>6</v>
      </c>
      <c r="B29" s="614">
        <v>115488855</v>
      </c>
      <c r="C29" s="614">
        <v>3899.5</v>
      </c>
      <c r="D29" s="615">
        <v>1.1000000000000001</v>
      </c>
      <c r="E29" s="615">
        <v>3</v>
      </c>
    </row>
    <row r="30" spans="1:5" ht="16.5" customHeight="1" x14ac:dyDescent="0.3">
      <c r="A30" s="616" t="s">
        <v>18</v>
      </c>
      <c r="B30" s="617">
        <f>AVERAGE(B24:B29)</f>
        <v>115684229</v>
      </c>
      <c r="C30" s="618">
        <f>AVERAGE(C24:C29)</f>
        <v>3871.4333333333338</v>
      </c>
      <c r="D30" s="619">
        <f>AVERAGE(D24:D29)</f>
        <v>1.1500000000000001</v>
      </c>
      <c r="E30" s="619">
        <f>AVERAGE(E24:E29)</f>
        <v>3</v>
      </c>
    </row>
    <row r="31" spans="1:5" ht="16.5" customHeight="1" x14ac:dyDescent="0.3">
      <c r="A31" s="620" t="s">
        <v>19</v>
      </c>
      <c r="B31" s="621">
        <f>(STDEV(B24:B29)/B30)</f>
        <v>1.4965493752908856E-3</v>
      </c>
      <c r="C31" s="622"/>
      <c r="D31" s="622"/>
      <c r="E31" s="623"/>
    </row>
    <row r="32" spans="1:5" s="598" customFormat="1" ht="16.5" customHeight="1" x14ac:dyDescent="0.3">
      <c r="A32" s="624" t="s">
        <v>20</v>
      </c>
      <c r="B32" s="625">
        <f>COUNT(B24:B29)</f>
        <v>6</v>
      </c>
      <c r="C32" s="626"/>
      <c r="D32" s="627"/>
      <c r="E32" s="628"/>
    </row>
    <row r="33" spans="1:5" s="598" customFormat="1" ht="15.75" customHeight="1" x14ac:dyDescent="0.25">
      <c r="A33" s="604"/>
      <c r="B33" s="604"/>
      <c r="C33" s="604"/>
      <c r="D33" s="604"/>
      <c r="E33" s="604"/>
    </row>
    <row r="34" spans="1:5" s="598" customFormat="1" ht="16.5" customHeight="1" x14ac:dyDescent="0.3">
      <c r="A34" s="605" t="s">
        <v>21</v>
      </c>
      <c r="B34" s="629" t="s">
        <v>22</v>
      </c>
      <c r="C34" s="630"/>
      <c r="D34" s="630"/>
      <c r="E34" s="630"/>
    </row>
    <row r="35" spans="1:5" ht="16.5" customHeight="1" x14ac:dyDescent="0.3">
      <c r="A35" s="605"/>
      <c r="B35" s="629" t="s">
        <v>23</v>
      </c>
      <c r="C35" s="630"/>
      <c r="D35" s="630"/>
      <c r="E35" s="630"/>
    </row>
    <row r="36" spans="1:5" ht="16.5" customHeight="1" x14ac:dyDescent="0.3">
      <c r="A36" s="605"/>
      <c r="B36" s="629" t="s">
        <v>24</v>
      </c>
      <c r="C36" s="630"/>
      <c r="D36" s="630"/>
      <c r="E36" s="630"/>
    </row>
    <row r="37" spans="1:5" ht="15.75" customHeight="1" x14ac:dyDescent="0.25">
      <c r="A37" s="604"/>
      <c r="B37" s="604"/>
      <c r="C37" s="604"/>
      <c r="D37" s="604"/>
      <c r="E37" s="604"/>
    </row>
    <row r="38" spans="1:5" ht="16.5" customHeight="1" x14ac:dyDescent="0.3">
      <c r="A38" s="600" t="s">
        <v>1</v>
      </c>
      <c r="B38" s="601" t="s">
        <v>25</v>
      </c>
    </row>
    <row r="39" spans="1:5" ht="16.5" customHeight="1" x14ac:dyDescent="0.3">
      <c r="A39" s="605" t="s">
        <v>4</v>
      </c>
      <c r="B39" s="602" t="s">
        <v>131</v>
      </c>
      <c r="C39" s="604"/>
      <c r="D39" s="604"/>
      <c r="E39" s="604"/>
    </row>
    <row r="40" spans="1:5" ht="16.5" customHeight="1" x14ac:dyDescent="0.3">
      <c r="A40" s="605" t="s">
        <v>6</v>
      </c>
      <c r="B40" s="606">
        <v>100.4</v>
      </c>
      <c r="C40" s="604"/>
      <c r="D40" s="604"/>
      <c r="E40" s="604"/>
    </row>
    <row r="41" spans="1:5" ht="16.5" customHeight="1" x14ac:dyDescent="0.3">
      <c r="A41" s="602" t="s">
        <v>8</v>
      </c>
      <c r="B41" s="606">
        <v>15.33</v>
      </c>
      <c r="C41" s="604"/>
      <c r="D41" s="604"/>
      <c r="E41" s="604"/>
    </row>
    <row r="42" spans="1:5" ht="16.5" customHeight="1" x14ac:dyDescent="0.3">
      <c r="A42" s="602" t="s">
        <v>10</v>
      </c>
      <c r="B42" s="607">
        <v>0.15</v>
      </c>
      <c r="C42" s="604"/>
      <c r="D42" s="604"/>
      <c r="E42" s="604"/>
    </row>
    <row r="43" spans="1:5" ht="15.75" customHeight="1" x14ac:dyDescent="0.25">
      <c r="A43" s="604"/>
      <c r="B43" s="604"/>
      <c r="C43" s="604"/>
      <c r="D43" s="604"/>
      <c r="E43" s="604"/>
    </row>
    <row r="44" spans="1:5" ht="16.5" customHeight="1" x14ac:dyDescent="0.3">
      <c r="A44" s="608" t="s">
        <v>13</v>
      </c>
      <c r="B44" s="609" t="s">
        <v>14</v>
      </c>
      <c r="C44" s="608" t="s">
        <v>15</v>
      </c>
      <c r="D44" s="608" t="s">
        <v>16</v>
      </c>
      <c r="E44" s="608" t="s">
        <v>17</v>
      </c>
    </row>
    <row r="45" spans="1:5" ht="16.5" customHeight="1" x14ac:dyDescent="0.3">
      <c r="A45" s="610">
        <v>1</v>
      </c>
      <c r="B45" s="611">
        <v>14082147</v>
      </c>
      <c r="C45" s="611">
        <v>7947.4</v>
      </c>
      <c r="D45" s="612">
        <v>1.1000000000000001</v>
      </c>
      <c r="E45" s="613">
        <v>3.2</v>
      </c>
    </row>
    <row r="46" spans="1:5" ht="16.5" customHeight="1" x14ac:dyDescent="0.3">
      <c r="A46" s="610">
        <v>2</v>
      </c>
      <c r="B46" s="611">
        <v>14109025</v>
      </c>
      <c r="C46" s="611">
        <v>7887.4</v>
      </c>
      <c r="D46" s="612">
        <v>1.1000000000000001</v>
      </c>
      <c r="E46" s="612">
        <v>3.2</v>
      </c>
    </row>
    <row r="47" spans="1:5" ht="16.5" customHeight="1" x14ac:dyDescent="0.3">
      <c r="A47" s="610">
        <v>3</v>
      </c>
      <c r="B47" s="611">
        <v>14058700</v>
      </c>
      <c r="C47" s="611">
        <v>7899</v>
      </c>
      <c r="D47" s="612">
        <v>1.1000000000000001</v>
      </c>
      <c r="E47" s="612">
        <v>3.2</v>
      </c>
    </row>
    <row r="48" spans="1:5" ht="16.5" customHeight="1" x14ac:dyDescent="0.3">
      <c r="A48" s="610">
        <v>4</v>
      </c>
      <c r="B48" s="611">
        <v>14096903</v>
      </c>
      <c r="C48" s="611">
        <v>7817.9</v>
      </c>
      <c r="D48" s="612">
        <v>1.1000000000000001</v>
      </c>
      <c r="E48" s="612">
        <v>3.2</v>
      </c>
    </row>
    <row r="49" spans="1:7" ht="16.5" customHeight="1" x14ac:dyDescent="0.3">
      <c r="A49" s="610">
        <v>5</v>
      </c>
      <c r="B49" s="611">
        <v>14077640</v>
      </c>
      <c r="C49" s="611">
        <v>7822</v>
      </c>
      <c r="D49" s="612">
        <v>1.1000000000000001</v>
      </c>
      <c r="E49" s="612">
        <v>3.2</v>
      </c>
    </row>
    <row r="50" spans="1:7" ht="16.5" customHeight="1" x14ac:dyDescent="0.3">
      <c r="A50" s="610">
        <v>6</v>
      </c>
      <c r="B50" s="614">
        <v>14080194</v>
      </c>
      <c r="C50" s="614">
        <v>7788.7</v>
      </c>
      <c r="D50" s="615">
        <v>1.2</v>
      </c>
      <c r="E50" s="615">
        <v>3.2</v>
      </c>
    </row>
    <row r="51" spans="1:7" ht="16.5" customHeight="1" x14ac:dyDescent="0.3">
      <c r="A51" s="616" t="s">
        <v>18</v>
      </c>
      <c r="B51" s="617">
        <f>AVERAGE(B45:B50)</f>
        <v>14084101.5</v>
      </c>
      <c r="C51" s="618">
        <f>AVERAGE(C45:C50)</f>
        <v>7860.3999999999987</v>
      </c>
      <c r="D51" s="619">
        <f>AVERAGE(D45:D50)</f>
        <v>1.1166666666666667</v>
      </c>
      <c r="E51" s="619">
        <f>AVERAGE(E45:E50)</f>
        <v>3.1999999999999997</v>
      </c>
    </row>
    <row r="52" spans="1:7" ht="16.5" customHeight="1" x14ac:dyDescent="0.3">
      <c r="A52" s="620" t="s">
        <v>19</v>
      </c>
      <c r="B52" s="621">
        <f>(STDEV(B45:B50)/B51)</f>
        <v>1.2261520912616748E-3</v>
      </c>
      <c r="C52" s="622"/>
      <c r="D52" s="622"/>
      <c r="E52" s="623"/>
    </row>
    <row r="53" spans="1:7" s="598" customFormat="1" ht="16.5" customHeight="1" x14ac:dyDescent="0.3">
      <c r="A53" s="624" t="s">
        <v>20</v>
      </c>
      <c r="B53" s="625">
        <f>COUNT(B45:B50)</f>
        <v>6</v>
      </c>
      <c r="C53" s="626"/>
      <c r="D53" s="627"/>
      <c r="E53" s="628"/>
    </row>
    <row r="54" spans="1:7" s="598" customFormat="1" ht="15.75" customHeight="1" x14ac:dyDescent="0.25">
      <c r="A54" s="604"/>
      <c r="B54" s="604"/>
      <c r="C54" s="604"/>
      <c r="D54" s="604"/>
      <c r="E54" s="604"/>
    </row>
    <row r="55" spans="1:7" s="598" customFormat="1" ht="16.5" customHeight="1" x14ac:dyDescent="0.3">
      <c r="A55" s="605" t="s">
        <v>21</v>
      </c>
      <c r="B55" s="629" t="s">
        <v>22</v>
      </c>
      <c r="C55" s="630"/>
      <c r="D55" s="630"/>
      <c r="E55" s="630"/>
    </row>
    <row r="56" spans="1:7" ht="16.5" customHeight="1" x14ac:dyDescent="0.3">
      <c r="A56" s="605"/>
      <c r="B56" s="629" t="s">
        <v>23</v>
      </c>
      <c r="C56" s="630"/>
      <c r="D56" s="630"/>
      <c r="E56" s="630"/>
    </row>
    <row r="57" spans="1:7" ht="16.5" customHeight="1" x14ac:dyDescent="0.3">
      <c r="A57" s="605"/>
      <c r="B57" s="629" t="s">
        <v>24</v>
      </c>
      <c r="C57" s="630"/>
      <c r="D57" s="630"/>
      <c r="E57" s="630"/>
    </row>
    <row r="58" spans="1:7" ht="14.25" customHeight="1" thickBot="1" x14ac:dyDescent="0.3">
      <c r="A58" s="631"/>
      <c r="B58" s="632"/>
      <c r="D58" s="633"/>
      <c r="F58" s="634"/>
      <c r="G58" s="634"/>
    </row>
    <row r="59" spans="1:7" ht="15" customHeight="1" x14ac:dyDescent="0.3">
      <c r="B59" s="844" t="s">
        <v>26</v>
      </c>
      <c r="C59" s="844"/>
      <c r="E59" s="635" t="s">
        <v>27</v>
      </c>
      <c r="F59" s="636"/>
      <c r="G59" s="635" t="s">
        <v>28</v>
      </c>
    </row>
    <row r="60" spans="1:7" ht="15" customHeight="1" x14ac:dyDescent="0.3">
      <c r="A60" s="637" t="s">
        <v>29</v>
      </c>
      <c r="B60" s="638"/>
      <c r="C60" s="638"/>
      <c r="E60" s="638"/>
      <c r="G60" s="638"/>
    </row>
    <row r="61" spans="1:7" ht="15" customHeight="1" x14ac:dyDescent="0.3">
      <c r="A61" s="637" t="s">
        <v>30</v>
      </c>
      <c r="B61" s="639"/>
      <c r="C61" s="639"/>
      <c r="E61" s="639"/>
      <c r="G61" s="64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92" zoomScale="60" zoomScaleNormal="40" zoomScalePageLayoutView="55" workbookViewId="0">
      <selection activeCell="G113" sqref="G113"/>
    </sheetView>
  </sheetViews>
  <sheetFormatPr defaultColWidth="9.140625" defaultRowHeight="13.5" x14ac:dyDescent="0.25"/>
  <cols>
    <col min="1" max="1" width="55.42578125" style="598" customWidth="1"/>
    <col min="2" max="2" width="33.7109375" style="598" customWidth="1"/>
    <col min="3" max="3" width="42.28515625" style="598" customWidth="1"/>
    <col min="4" max="4" width="30.5703125" style="598" customWidth="1"/>
    <col min="5" max="5" width="39.85546875" style="598" customWidth="1"/>
    <col min="6" max="6" width="30.7109375" style="598" customWidth="1"/>
    <col min="7" max="7" width="39.85546875" style="598" customWidth="1"/>
    <col min="8" max="8" width="30" style="598" customWidth="1"/>
    <col min="9" max="9" width="30.28515625" style="598" hidden="1" customWidth="1"/>
    <col min="10" max="10" width="30.42578125" style="598" customWidth="1"/>
    <col min="11" max="11" width="21.28515625" style="598" customWidth="1"/>
    <col min="12" max="12" width="9.140625" style="598"/>
    <col min="13" max="16384" width="9.140625" style="634"/>
  </cols>
  <sheetData>
    <row r="1" spans="1:9" ht="18.75" customHeight="1" x14ac:dyDescent="0.25">
      <c r="A1" s="935" t="s">
        <v>45</v>
      </c>
      <c r="B1" s="935"/>
      <c r="C1" s="935"/>
      <c r="D1" s="935"/>
      <c r="E1" s="935"/>
      <c r="F1" s="935"/>
      <c r="G1" s="935"/>
      <c r="H1" s="935"/>
      <c r="I1" s="935"/>
    </row>
    <row r="2" spans="1:9" ht="18.75" customHeight="1" x14ac:dyDescent="0.25">
      <c r="A2" s="935"/>
      <c r="B2" s="935"/>
      <c r="C2" s="935"/>
      <c r="D2" s="935"/>
      <c r="E2" s="935"/>
      <c r="F2" s="935"/>
      <c r="G2" s="935"/>
      <c r="H2" s="935"/>
      <c r="I2" s="935"/>
    </row>
    <row r="3" spans="1:9" ht="18.75" customHeight="1" x14ac:dyDescent="0.25">
      <c r="A3" s="935"/>
      <c r="B3" s="935"/>
      <c r="C3" s="935"/>
      <c r="D3" s="935"/>
      <c r="E3" s="935"/>
      <c r="F3" s="935"/>
      <c r="G3" s="935"/>
      <c r="H3" s="935"/>
      <c r="I3" s="935"/>
    </row>
    <row r="4" spans="1:9" ht="18.75" customHeight="1" x14ac:dyDescent="0.25">
      <c r="A4" s="935"/>
      <c r="B4" s="935"/>
      <c r="C4" s="935"/>
      <c r="D4" s="935"/>
      <c r="E4" s="935"/>
      <c r="F4" s="935"/>
      <c r="G4" s="935"/>
      <c r="H4" s="935"/>
      <c r="I4" s="935"/>
    </row>
    <row r="5" spans="1:9" ht="18.75" customHeight="1" x14ac:dyDescent="0.25">
      <c r="A5" s="935"/>
      <c r="B5" s="935"/>
      <c r="C5" s="935"/>
      <c r="D5" s="935"/>
      <c r="E5" s="935"/>
      <c r="F5" s="935"/>
      <c r="G5" s="935"/>
      <c r="H5" s="935"/>
      <c r="I5" s="935"/>
    </row>
    <row r="6" spans="1:9" ht="18.75" customHeight="1" x14ac:dyDescent="0.25">
      <c r="A6" s="935"/>
      <c r="B6" s="935"/>
      <c r="C6" s="935"/>
      <c r="D6" s="935"/>
      <c r="E6" s="935"/>
      <c r="F6" s="935"/>
      <c r="G6" s="935"/>
      <c r="H6" s="935"/>
      <c r="I6" s="935"/>
    </row>
    <row r="7" spans="1:9" ht="18.75" customHeight="1" x14ac:dyDescent="0.25">
      <c r="A7" s="935"/>
      <c r="B7" s="935"/>
      <c r="C7" s="935"/>
      <c r="D7" s="935"/>
      <c r="E7" s="935"/>
      <c r="F7" s="935"/>
      <c r="G7" s="935"/>
      <c r="H7" s="935"/>
      <c r="I7" s="935"/>
    </row>
    <row r="8" spans="1:9" x14ac:dyDescent="0.25">
      <c r="A8" s="936" t="s">
        <v>46</v>
      </c>
      <c r="B8" s="936"/>
      <c r="C8" s="936"/>
      <c r="D8" s="936"/>
      <c r="E8" s="936"/>
      <c r="F8" s="936"/>
      <c r="G8" s="936"/>
      <c r="H8" s="936"/>
      <c r="I8" s="936"/>
    </row>
    <row r="9" spans="1:9" x14ac:dyDescent="0.25">
      <c r="A9" s="936"/>
      <c r="B9" s="936"/>
      <c r="C9" s="936"/>
      <c r="D9" s="936"/>
      <c r="E9" s="936"/>
      <c r="F9" s="936"/>
      <c r="G9" s="936"/>
      <c r="H9" s="936"/>
      <c r="I9" s="936"/>
    </row>
    <row r="10" spans="1:9" x14ac:dyDescent="0.25">
      <c r="A10" s="936"/>
      <c r="B10" s="936"/>
      <c r="C10" s="936"/>
      <c r="D10" s="936"/>
      <c r="E10" s="936"/>
      <c r="F10" s="936"/>
      <c r="G10" s="936"/>
      <c r="H10" s="936"/>
      <c r="I10" s="936"/>
    </row>
    <row r="11" spans="1:9" x14ac:dyDescent="0.25">
      <c r="A11" s="936"/>
      <c r="B11" s="936"/>
      <c r="C11" s="936"/>
      <c r="D11" s="936"/>
      <c r="E11" s="936"/>
      <c r="F11" s="936"/>
      <c r="G11" s="936"/>
      <c r="H11" s="936"/>
      <c r="I11" s="936"/>
    </row>
    <row r="12" spans="1:9" x14ac:dyDescent="0.25">
      <c r="A12" s="936"/>
      <c r="B12" s="936"/>
      <c r="C12" s="936"/>
      <c r="D12" s="936"/>
      <c r="E12" s="936"/>
      <c r="F12" s="936"/>
      <c r="G12" s="936"/>
      <c r="H12" s="936"/>
      <c r="I12" s="936"/>
    </row>
    <row r="13" spans="1:9" x14ac:dyDescent="0.25">
      <c r="A13" s="936"/>
      <c r="B13" s="936"/>
      <c r="C13" s="936"/>
      <c r="D13" s="936"/>
      <c r="E13" s="936"/>
      <c r="F13" s="936"/>
      <c r="G13" s="936"/>
      <c r="H13" s="936"/>
      <c r="I13" s="936"/>
    </row>
    <row r="14" spans="1:9" x14ac:dyDescent="0.25">
      <c r="A14" s="936"/>
      <c r="B14" s="936"/>
      <c r="C14" s="936"/>
      <c r="D14" s="936"/>
      <c r="E14" s="936"/>
      <c r="F14" s="936"/>
      <c r="G14" s="936"/>
      <c r="H14" s="936"/>
      <c r="I14" s="936"/>
    </row>
    <row r="15" spans="1:9" ht="19.5" customHeight="1" thickBot="1" x14ac:dyDescent="0.35">
      <c r="A15" s="678"/>
    </row>
    <row r="16" spans="1:9" ht="19.5" customHeight="1" thickBot="1" x14ac:dyDescent="0.35">
      <c r="A16" s="937" t="s">
        <v>31</v>
      </c>
      <c r="B16" s="938"/>
      <c r="C16" s="938"/>
      <c r="D16" s="938"/>
      <c r="E16" s="938"/>
      <c r="F16" s="938"/>
      <c r="G16" s="938"/>
      <c r="H16" s="939"/>
    </row>
    <row r="17" spans="1:14" ht="20.25" customHeight="1" x14ac:dyDescent="0.25">
      <c r="A17" s="940" t="s">
        <v>47</v>
      </c>
      <c r="B17" s="940"/>
      <c r="C17" s="940"/>
      <c r="D17" s="940"/>
      <c r="E17" s="940"/>
      <c r="F17" s="940"/>
      <c r="G17" s="940"/>
      <c r="H17" s="940"/>
    </row>
    <row r="18" spans="1:14" ht="26.25" customHeight="1" x14ac:dyDescent="0.4">
      <c r="A18" s="679" t="s">
        <v>33</v>
      </c>
      <c r="B18" s="933" t="s">
        <v>5</v>
      </c>
      <c r="C18" s="933"/>
      <c r="D18" s="680"/>
      <c r="E18" s="681"/>
      <c r="F18" s="682"/>
      <c r="G18" s="682"/>
      <c r="H18" s="682"/>
    </row>
    <row r="19" spans="1:14" ht="26.25" customHeight="1" x14ac:dyDescent="0.4">
      <c r="A19" s="679" t="s">
        <v>34</v>
      </c>
      <c r="B19" s="683" t="s">
        <v>133</v>
      </c>
      <c r="C19" s="682">
        <v>1</v>
      </c>
      <c r="D19" s="682"/>
      <c r="E19" s="682"/>
      <c r="F19" s="682"/>
      <c r="G19" s="682"/>
      <c r="H19" s="682"/>
    </row>
    <row r="20" spans="1:14" ht="26.25" customHeight="1" x14ac:dyDescent="0.4">
      <c r="A20" s="679" t="s">
        <v>35</v>
      </c>
      <c r="B20" s="932" t="s">
        <v>134</v>
      </c>
      <c r="C20" s="932"/>
      <c r="D20" s="682"/>
      <c r="E20" s="682"/>
      <c r="F20" s="682"/>
      <c r="G20" s="682"/>
      <c r="H20" s="682"/>
    </row>
    <row r="21" spans="1:14" ht="26.25" customHeight="1" x14ac:dyDescent="0.4">
      <c r="A21" s="679" t="s">
        <v>36</v>
      </c>
      <c r="B21" s="932" t="s">
        <v>135</v>
      </c>
      <c r="C21" s="932"/>
      <c r="D21" s="932"/>
      <c r="E21" s="932"/>
      <c r="F21" s="932"/>
      <c r="G21" s="932"/>
      <c r="H21" s="932"/>
      <c r="I21" s="684"/>
    </row>
    <row r="22" spans="1:14" ht="26.25" customHeight="1" x14ac:dyDescent="0.4">
      <c r="A22" s="679" t="s">
        <v>37</v>
      </c>
      <c r="B22" s="685">
        <v>42801</v>
      </c>
      <c r="C22" s="682"/>
      <c r="D22" s="682"/>
      <c r="E22" s="682"/>
      <c r="F22" s="682"/>
      <c r="G22" s="682"/>
      <c r="H22" s="682"/>
    </row>
    <row r="23" spans="1:14" ht="26.25" customHeight="1" x14ac:dyDescent="0.4">
      <c r="A23" s="679" t="s">
        <v>38</v>
      </c>
      <c r="B23" s="685">
        <v>42802</v>
      </c>
      <c r="C23" s="682"/>
      <c r="D23" s="682"/>
      <c r="E23" s="682"/>
      <c r="F23" s="682"/>
      <c r="G23" s="682"/>
      <c r="H23" s="682"/>
    </row>
    <row r="24" spans="1:14" ht="18.75" x14ac:dyDescent="0.3">
      <c r="A24" s="679"/>
      <c r="B24" s="686"/>
    </row>
    <row r="25" spans="1:14" ht="18.75" x14ac:dyDescent="0.3">
      <c r="A25" s="687" t="s">
        <v>1</v>
      </c>
      <c r="B25" s="686"/>
    </row>
    <row r="26" spans="1:14" ht="26.25" customHeight="1" x14ac:dyDescent="0.4">
      <c r="A26" s="688" t="s">
        <v>4</v>
      </c>
      <c r="B26" s="933" t="s">
        <v>131</v>
      </c>
      <c r="C26" s="933"/>
    </row>
    <row r="27" spans="1:14" ht="26.25" customHeight="1" x14ac:dyDescent="0.4">
      <c r="A27" s="689" t="s">
        <v>48</v>
      </c>
      <c r="B27" s="934" t="s">
        <v>136</v>
      </c>
      <c r="C27" s="934"/>
    </row>
    <row r="28" spans="1:14" ht="27" customHeight="1" thickBot="1" x14ac:dyDescent="0.45">
      <c r="A28" s="689" t="s">
        <v>6</v>
      </c>
      <c r="B28" s="690">
        <v>99.8</v>
      </c>
    </row>
    <row r="29" spans="1:14" s="608" customFormat="1" ht="27" customHeight="1" thickBot="1" x14ac:dyDescent="0.45">
      <c r="A29" s="689" t="s">
        <v>49</v>
      </c>
      <c r="B29" s="691">
        <v>0</v>
      </c>
      <c r="C29" s="912" t="s">
        <v>50</v>
      </c>
      <c r="D29" s="913"/>
      <c r="E29" s="913"/>
      <c r="F29" s="913"/>
      <c r="G29" s="914"/>
      <c r="I29" s="692"/>
      <c r="J29" s="692"/>
      <c r="K29" s="692"/>
      <c r="L29" s="692"/>
    </row>
    <row r="30" spans="1:14" s="608" customFormat="1" ht="19.5" customHeight="1" thickBot="1" x14ac:dyDescent="0.35">
      <c r="A30" s="689" t="s">
        <v>51</v>
      </c>
      <c r="B30" s="693">
        <f>B28-B29</f>
        <v>99.8</v>
      </c>
      <c r="C30" s="694"/>
      <c r="D30" s="694"/>
      <c r="E30" s="694"/>
      <c r="F30" s="694"/>
      <c r="G30" s="695"/>
      <c r="I30" s="692"/>
      <c r="J30" s="692"/>
      <c r="K30" s="692"/>
      <c r="L30" s="692"/>
    </row>
    <row r="31" spans="1:14" s="608" customFormat="1" ht="27" customHeight="1" thickBot="1" x14ac:dyDescent="0.45">
      <c r="A31" s="689" t="s">
        <v>52</v>
      </c>
      <c r="B31" s="696">
        <v>1</v>
      </c>
      <c r="C31" s="915" t="s">
        <v>53</v>
      </c>
      <c r="D31" s="916"/>
      <c r="E31" s="916"/>
      <c r="F31" s="916"/>
      <c r="G31" s="916"/>
      <c r="H31" s="917"/>
      <c r="I31" s="692"/>
      <c r="J31" s="692"/>
      <c r="K31" s="692"/>
      <c r="L31" s="692"/>
    </row>
    <row r="32" spans="1:14" s="608" customFormat="1" ht="27" customHeight="1" thickBot="1" x14ac:dyDescent="0.45">
      <c r="A32" s="689" t="s">
        <v>54</v>
      </c>
      <c r="B32" s="696">
        <v>1</v>
      </c>
      <c r="C32" s="915" t="s">
        <v>55</v>
      </c>
      <c r="D32" s="916"/>
      <c r="E32" s="916"/>
      <c r="F32" s="916"/>
      <c r="G32" s="916"/>
      <c r="H32" s="917"/>
      <c r="I32" s="692"/>
      <c r="J32" s="692"/>
      <c r="K32" s="692"/>
      <c r="L32" s="697"/>
      <c r="M32" s="697"/>
      <c r="N32" s="698"/>
    </row>
    <row r="33" spans="1:14" s="608" customFormat="1" ht="17.25" customHeight="1" x14ac:dyDescent="0.3">
      <c r="A33" s="689"/>
      <c r="B33" s="699"/>
      <c r="C33" s="700"/>
      <c r="D33" s="700"/>
      <c r="E33" s="700"/>
      <c r="F33" s="700"/>
      <c r="G33" s="700"/>
      <c r="H33" s="700"/>
      <c r="I33" s="692"/>
      <c r="J33" s="692"/>
      <c r="K33" s="692"/>
      <c r="L33" s="697"/>
      <c r="M33" s="697"/>
      <c r="N33" s="698"/>
    </row>
    <row r="34" spans="1:14" s="608" customFormat="1" ht="18.75" x14ac:dyDescent="0.3">
      <c r="A34" s="689" t="s">
        <v>56</v>
      </c>
      <c r="B34" s="701">
        <f>B31/B32</f>
        <v>1</v>
      </c>
      <c r="C34" s="678" t="s">
        <v>57</v>
      </c>
      <c r="D34" s="678"/>
      <c r="E34" s="678"/>
      <c r="F34" s="678"/>
      <c r="G34" s="678"/>
      <c r="I34" s="692"/>
      <c r="J34" s="692"/>
      <c r="K34" s="692"/>
      <c r="L34" s="697"/>
      <c r="M34" s="697"/>
      <c r="N34" s="698"/>
    </row>
    <row r="35" spans="1:14" s="608" customFormat="1" ht="19.5" customHeight="1" thickBot="1" x14ac:dyDescent="0.35">
      <c r="A35" s="689"/>
      <c r="B35" s="693"/>
      <c r="G35" s="678"/>
      <c r="I35" s="692"/>
      <c r="J35" s="692"/>
      <c r="K35" s="692"/>
      <c r="L35" s="697"/>
      <c r="M35" s="697"/>
      <c r="N35" s="698"/>
    </row>
    <row r="36" spans="1:14" s="608" customFormat="1" ht="27" customHeight="1" thickBot="1" x14ac:dyDescent="0.45">
      <c r="A36" s="702" t="s">
        <v>58</v>
      </c>
      <c r="B36" s="703">
        <v>100</v>
      </c>
      <c r="C36" s="678"/>
      <c r="D36" s="918" t="s">
        <v>59</v>
      </c>
      <c r="E36" s="931"/>
      <c r="F36" s="918" t="s">
        <v>60</v>
      </c>
      <c r="G36" s="919"/>
      <c r="J36" s="692"/>
      <c r="K36" s="692"/>
      <c r="L36" s="697"/>
      <c r="M36" s="697"/>
      <c r="N36" s="698"/>
    </row>
    <row r="37" spans="1:14" s="608" customFormat="1" ht="27" customHeight="1" thickBot="1" x14ac:dyDescent="0.45">
      <c r="A37" s="704" t="s">
        <v>61</v>
      </c>
      <c r="B37" s="705">
        <v>1</v>
      </c>
      <c r="C37" s="706" t="s">
        <v>62</v>
      </c>
      <c r="D37" s="707" t="s">
        <v>63</v>
      </c>
      <c r="E37" s="708" t="s">
        <v>64</v>
      </c>
      <c r="F37" s="707" t="s">
        <v>63</v>
      </c>
      <c r="G37" s="709" t="s">
        <v>64</v>
      </c>
      <c r="I37" s="710" t="s">
        <v>65</v>
      </c>
      <c r="J37" s="692"/>
      <c r="K37" s="692"/>
      <c r="L37" s="697"/>
      <c r="M37" s="697"/>
      <c r="N37" s="698"/>
    </row>
    <row r="38" spans="1:14" s="608" customFormat="1" ht="26.25" customHeight="1" x14ac:dyDescent="0.4">
      <c r="A38" s="704" t="s">
        <v>66</v>
      </c>
      <c r="B38" s="705">
        <v>1</v>
      </c>
      <c r="C38" s="711">
        <v>1</v>
      </c>
      <c r="D38" s="712">
        <v>70623602</v>
      </c>
      <c r="E38" s="713">
        <f>IF(ISBLANK(D38),"-",$D$48/$D$45*D38)</f>
        <v>61144987.555756673</v>
      </c>
      <c r="F38" s="712">
        <v>61431853</v>
      </c>
      <c r="G38" s="714">
        <f>IF(ISBLANK(F38),"-",$D$48/$F$45*F38)</f>
        <v>60229905.015510477</v>
      </c>
      <c r="I38" s="715"/>
      <c r="J38" s="692"/>
      <c r="K38" s="692"/>
      <c r="L38" s="697"/>
      <c r="M38" s="697"/>
      <c r="N38" s="698"/>
    </row>
    <row r="39" spans="1:14" s="608" customFormat="1" ht="26.25" customHeight="1" x14ac:dyDescent="0.4">
      <c r="A39" s="704" t="s">
        <v>67</v>
      </c>
      <c r="B39" s="705">
        <v>1</v>
      </c>
      <c r="C39" s="716">
        <v>2</v>
      </c>
      <c r="D39" s="717">
        <v>70411311</v>
      </c>
      <c r="E39" s="718">
        <f>IF(ISBLANK(D39),"-",$D$48/$D$45*D39)</f>
        <v>60961188.794639975</v>
      </c>
      <c r="F39" s="717">
        <v>61101452</v>
      </c>
      <c r="G39" s="719">
        <f>IF(ISBLANK(F39),"-",$D$48/$F$45*F39)</f>
        <v>59905968.492758512</v>
      </c>
      <c r="I39" s="900">
        <f>ABS((F43/D43*D42)-F42)/D42</f>
        <v>8.957637161841529E-3</v>
      </c>
      <c r="J39" s="692"/>
      <c r="K39" s="692"/>
      <c r="L39" s="697"/>
      <c r="M39" s="697"/>
      <c r="N39" s="698"/>
    </row>
    <row r="40" spans="1:14" ht="26.25" customHeight="1" x14ac:dyDescent="0.4">
      <c r="A40" s="704" t="s">
        <v>68</v>
      </c>
      <c r="B40" s="705">
        <v>1</v>
      </c>
      <c r="C40" s="716">
        <v>3</v>
      </c>
      <c r="D40" s="717">
        <v>69811230</v>
      </c>
      <c r="E40" s="718">
        <f>IF(ISBLANK(D40),"-",$D$48/$D$45*D40)</f>
        <v>60441646.541931793</v>
      </c>
      <c r="F40" s="717">
        <v>61768759</v>
      </c>
      <c r="G40" s="719">
        <f>IF(ISBLANK(F40),"-",$D$48/$F$45*F40)</f>
        <v>60560219.264360428</v>
      </c>
      <c r="I40" s="900"/>
      <c r="L40" s="697"/>
      <c r="M40" s="697"/>
      <c r="N40" s="678"/>
    </row>
    <row r="41" spans="1:14" ht="27" customHeight="1" thickBot="1" x14ac:dyDescent="0.45">
      <c r="A41" s="704" t="s">
        <v>69</v>
      </c>
      <c r="B41" s="705">
        <v>1</v>
      </c>
      <c r="C41" s="720">
        <v>4</v>
      </c>
      <c r="D41" s="721"/>
      <c r="E41" s="722" t="str">
        <f>IF(ISBLANK(D41),"-",$D$48/$D$45*D41)</f>
        <v>-</v>
      </c>
      <c r="F41" s="721"/>
      <c r="G41" s="723" t="str">
        <f>IF(ISBLANK(F41),"-",$D$48/$F$45*F41)</f>
        <v>-</v>
      </c>
      <c r="I41" s="724"/>
      <c r="L41" s="697"/>
      <c r="M41" s="697"/>
      <c r="N41" s="678"/>
    </row>
    <row r="42" spans="1:14" ht="27" customHeight="1" thickBot="1" x14ac:dyDescent="0.45">
      <c r="A42" s="704" t="s">
        <v>70</v>
      </c>
      <c r="B42" s="705">
        <v>1</v>
      </c>
      <c r="C42" s="725" t="s">
        <v>71</v>
      </c>
      <c r="D42" s="726">
        <f>AVERAGE(D38:D41)</f>
        <v>70282047.666666672</v>
      </c>
      <c r="E42" s="727">
        <f>AVERAGE(E38:E41)</f>
        <v>60849274.297442816</v>
      </c>
      <c r="F42" s="726">
        <f>AVERAGE(F38:F41)</f>
        <v>61434021.333333336</v>
      </c>
      <c r="G42" s="728">
        <f>AVERAGE(G38:G41)</f>
        <v>60232030.924209803</v>
      </c>
      <c r="H42" s="632"/>
    </row>
    <row r="43" spans="1:14" ht="26.25" customHeight="1" x14ac:dyDescent="0.4">
      <c r="A43" s="704" t="s">
        <v>72</v>
      </c>
      <c r="B43" s="705">
        <v>1</v>
      </c>
      <c r="C43" s="729" t="s">
        <v>73</v>
      </c>
      <c r="D43" s="730">
        <v>17.36</v>
      </c>
      <c r="E43" s="678"/>
      <c r="F43" s="730">
        <v>15.33</v>
      </c>
      <c r="H43" s="632"/>
    </row>
    <row r="44" spans="1:14" ht="26.25" customHeight="1" x14ac:dyDescent="0.4">
      <c r="A44" s="704" t="s">
        <v>74</v>
      </c>
      <c r="B44" s="705">
        <v>1</v>
      </c>
      <c r="C44" s="731" t="s">
        <v>75</v>
      </c>
      <c r="D44" s="732">
        <f>D43*$B$34</f>
        <v>17.36</v>
      </c>
      <c r="E44" s="733"/>
      <c r="F44" s="732">
        <f>F43*$B$34</f>
        <v>15.33</v>
      </c>
      <c r="H44" s="632"/>
    </row>
    <row r="45" spans="1:14" ht="19.5" customHeight="1" thickBot="1" x14ac:dyDescent="0.35">
      <c r="A45" s="704" t="s">
        <v>76</v>
      </c>
      <c r="B45" s="716">
        <f>(B44/B43)*(B42/B41)*(B40/B39)*(B38/B37)*B36</f>
        <v>100</v>
      </c>
      <c r="C45" s="731" t="s">
        <v>77</v>
      </c>
      <c r="D45" s="734">
        <f>D44*$B$30/100</f>
        <v>17.325279999999999</v>
      </c>
      <c r="E45" s="735"/>
      <c r="F45" s="734">
        <f>F44*$B$30/100</f>
        <v>15.299339999999999</v>
      </c>
      <c r="H45" s="632"/>
    </row>
    <row r="46" spans="1:14" ht="19.5" customHeight="1" thickBot="1" x14ac:dyDescent="0.35">
      <c r="A46" s="901" t="s">
        <v>78</v>
      </c>
      <c r="B46" s="905"/>
      <c r="C46" s="731" t="s">
        <v>79</v>
      </c>
      <c r="D46" s="736">
        <f>D45/$B$45</f>
        <v>0.17325279999999998</v>
      </c>
      <c r="E46" s="737"/>
      <c r="F46" s="738">
        <f>F45/$B$45</f>
        <v>0.1529934</v>
      </c>
      <c r="H46" s="632"/>
    </row>
    <row r="47" spans="1:14" ht="27" customHeight="1" thickBot="1" x14ac:dyDescent="0.45">
      <c r="A47" s="903"/>
      <c r="B47" s="906"/>
      <c r="C47" s="739" t="s">
        <v>80</v>
      </c>
      <c r="D47" s="740">
        <v>0.15</v>
      </c>
      <c r="E47" s="741"/>
      <c r="F47" s="737"/>
      <c r="H47" s="632"/>
    </row>
    <row r="48" spans="1:14" ht="18.75" x14ac:dyDescent="0.3">
      <c r="C48" s="742" t="s">
        <v>81</v>
      </c>
      <c r="D48" s="734">
        <f>D47*$B$45</f>
        <v>15</v>
      </c>
      <c r="F48" s="743"/>
      <c r="H48" s="632"/>
    </row>
    <row r="49" spans="1:12" ht="19.5" customHeight="1" thickBot="1" x14ac:dyDescent="0.35">
      <c r="C49" s="744" t="s">
        <v>82</v>
      </c>
      <c r="D49" s="745">
        <f>D48/B34</f>
        <v>15</v>
      </c>
      <c r="F49" s="743"/>
      <c r="H49" s="632"/>
    </row>
    <row r="50" spans="1:12" ht="18.75" x14ac:dyDescent="0.3">
      <c r="C50" s="702" t="s">
        <v>83</v>
      </c>
      <c r="D50" s="746">
        <f>AVERAGE(E38:E41,G38:G41)</f>
        <v>60540652.610826313</v>
      </c>
      <c r="F50" s="747"/>
      <c r="H50" s="632"/>
    </row>
    <row r="51" spans="1:12" ht="18.75" x14ac:dyDescent="0.3">
      <c r="C51" s="704" t="s">
        <v>84</v>
      </c>
      <c r="D51" s="748">
        <f>STDEV(E38:E41,G38:G41)/D50</f>
        <v>7.5753441713954641E-3</v>
      </c>
      <c r="F51" s="747"/>
      <c r="H51" s="632"/>
    </row>
    <row r="52" spans="1:12" ht="19.5" customHeight="1" thickBot="1" x14ac:dyDescent="0.35">
      <c r="C52" s="749" t="s">
        <v>20</v>
      </c>
      <c r="D52" s="750">
        <f>COUNT(E38:E41,G38:G41)</f>
        <v>6</v>
      </c>
      <c r="F52" s="747"/>
    </row>
    <row r="54" spans="1:12" ht="18.75" x14ac:dyDescent="0.3">
      <c r="A54" s="751" t="s">
        <v>1</v>
      </c>
      <c r="B54" s="752" t="s">
        <v>85</v>
      </c>
    </row>
    <row r="55" spans="1:12" ht="18.75" x14ac:dyDescent="0.3">
      <c r="A55" s="678" t="s">
        <v>86</v>
      </c>
      <c r="B55" s="753" t="str">
        <f>B21</f>
        <v xml:space="preserve">Each tablet contains Lamivudine 150mg + Zidovudine 300mg + Nevirapine 200mg </v>
      </c>
    </row>
    <row r="56" spans="1:12" ht="26.25" customHeight="1" x14ac:dyDescent="0.4">
      <c r="A56" s="753" t="s">
        <v>87</v>
      </c>
      <c r="B56" s="754">
        <v>150</v>
      </c>
      <c r="C56" s="678" t="str">
        <f>B20</f>
        <v xml:space="preserve">Lamivudine </v>
      </c>
      <c r="H56" s="733"/>
    </row>
    <row r="57" spans="1:12" ht="18.75" x14ac:dyDescent="0.3">
      <c r="A57" s="753" t="s">
        <v>88</v>
      </c>
      <c r="B57" s="755">
        <f>'Uniformity 2'!C46</f>
        <v>1135.2115000000001</v>
      </c>
      <c r="H57" s="733"/>
    </row>
    <row r="58" spans="1:12" ht="19.5" customHeight="1" thickBot="1" x14ac:dyDescent="0.35">
      <c r="H58" s="733"/>
    </row>
    <row r="59" spans="1:12" s="608" customFormat="1" ht="27" customHeight="1" thickBot="1" x14ac:dyDescent="0.45">
      <c r="A59" s="702" t="s">
        <v>89</v>
      </c>
      <c r="B59" s="703">
        <v>200</v>
      </c>
      <c r="C59" s="678"/>
      <c r="D59" s="756" t="s">
        <v>90</v>
      </c>
      <c r="E59" s="757" t="s">
        <v>62</v>
      </c>
      <c r="F59" s="757" t="s">
        <v>63</v>
      </c>
      <c r="G59" s="757" t="s">
        <v>91</v>
      </c>
      <c r="H59" s="706" t="s">
        <v>92</v>
      </c>
      <c r="L59" s="692"/>
    </row>
    <row r="60" spans="1:12" s="608" customFormat="1" ht="26.25" customHeight="1" x14ac:dyDescent="0.4">
      <c r="A60" s="704" t="s">
        <v>93</v>
      </c>
      <c r="B60" s="705">
        <v>4</v>
      </c>
      <c r="C60" s="920" t="s">
        <v>94</v>
      </c>
      <c r="D60" s="923">
        <v>1134.8599999999999</v>
      </c>
      <c r="E60" s="758">
        <v>1</v>
      </c>
      <c r="F60" s="759">
        <v>57119622</v>
      </c>
      <c r="G60" s="760">
        <f>IF(ISBLANK(F60),"-",(F60/$D$50*$D$47*$B$68)*($B$57/$D$60))</f>
        <v>141.56763559776701</v>
      </c>
      <c r="H60" s="761">
        <f t="shared" ref="H60:H71" si="0">IF(ISBLANK(F60),"-",(G60/$B$56)*100)</f>
        <v>94.378423731844677</v>
      </c>
      <c r="L60" s="692"/>
    </row>
    <row r="61" spans="1:12" s="608" customFormat="1" ht="26.25" customHeight="1" x14ac:dyDescent="0.4">
      <c r="A61" s="704" t="s">
        <v>95</v>
      </c>
      <c r="B61" s="705">
        <v>20</v>
      </c>
      <c r="C61" s="921"/>
      <c r="D61" s="924"/>
      <c r="E61" s="762">
        <v>2</v>
      </c>
      <c r="F61" s="763">
        <v>57614054</v>
      </c>
      <c r="G61" s="764">
        <f>IF(ISBLANK(F61),"-",(F61/$D$50*$D$47*$B$68)*($B$57/$D$60))</f>
        <v>142.79305633328721</v>
      </c>
      <c r="H61" s="765">
        <f t="shared" si="0"/>
        <v>95.19537088885815</v>
      </c>
      <c r="L61" s="692"/>
    </row>
    <row r="62" spans="1:12" s="608" customFormat="1" ht="26.25" customHeight="1" x14ac:dyDescent="0.4">
      <c r="A62" s="704" t="s">
        <v>96</v>
      </c>
      <c r="B62" s="705">
        <v>1</v>
      </c>
      <c r="C62" s="921"/>
      <c r="D62" s="924"/>
      <c r="E62" s="762">
        <v>3</v>
      </c>
      <c r="F62" s="766">
        <v>57661681</v>
      </c>
      <c r="G62" s="764">
        <f>IF(ISBLANK(F62),"-",(F62/$D$50*$D$47*$B$68)*($B$57/$D$60))</f>
        <v>142.91109706157869</v>
      </c>
      <c r="H62" s="765">
        <f t="shared" si="0"/>
        <v>95.27406470771912</v>
      </c>
      <c r="L62" s="692"/>
    </row>
    <row r="63" spans="1:12" ht="27" customHeight="1" thickBot="1" x14ac:dyDescent="0.45">
      <c r="A63" s="704" t="s">
        <v>97</v>
      </c>
      <c r="B63" s="705">
        <v>1</v>
      </c>
      <c r="C63" s="922"/>
      <c r="D63" s="925"/>
      <c r="E63" s="767">
        <v>4</v>
      </c>
      <c r="F63" s="768"/>
      <c r="G63" s="764" t="str">
        <f>IF(ISBLANK(F63),"-",(F63/$D$50*$D$47*$B$68)*($B$57/$D$60))</f>
        <v>-</v>
      </c>
      <c r="H63" s="765" t="str">
        <f t="shared" si="0"/>
        <v>-</v>
      </c>
    </row>
    <row r="64" spans="1:12" ht="26.25" customHeight="1" x14ac:dyDescent="0.4">
      <c r="A64" s="704" t="s">
        <v>98</v>
      </c>
      <c r="B64" s="705">
        <v>1</v>
      </c>
      <c r="C64" s="920" t="s">
        <v>99</v>
      </c>
      <c r="D64" s="923">
        <v>1137.48</v>
      </c>
      <c r="E64" s="758">
        <v>1</v>
      </c>
      <c r="F64" s="759">
        <v>59582309</v>
      </c>
      <c r="G64" s="760">
        <f>IF(ISBLANK(F64),"-",(F64/$D$50*$D$47*$B$68)*($B$57/$D$64))</f>
        <v>147.33112429098</v>
      </c>
      <c r="H64" s="761">
        <f t="shared" si="0"/>
        <v>98.220749527319995</v>
      </c>
    </row>
    <row r="65" spans="1:8" ht="26.25" customHeight="1" x14ac:dyDescent="0.4">
      <c r="A65" s="704" t="s">
        <v>100</v>
      </c>
      <c r="B65" s="705">
        <v>1</v>
      </c>
      <c r="C65" s="921"/>
      <c r="D65" s="924"/>
      <c r="E65" s="762">
        <v>2</v>
      </c>
      <c r="F65" s="763">
        <v>59197506</v>
      </c>
      <c r="G65" s="764">
        <f>IF(ISBLANK(F65),"-",(F65/$D$50*$D$47*$B$68)*($B$57/$D$64))</f>
        <v>146.37960932668847</v>
      </c>
      <c r="H65" s="765">
        <f t="shared" si="0"/>
        <v>97.586406217792316</v>
      </c>
    </row>
    <row r="66" spans="1:8" ht="26.25" customHeight="1" x14ac:dyDescent="0.4">
      <c r="A66" s="704" t="s">
        <v>101</v>
      </c>
      <c r="B66" s="705">
        <v>1</v>
      </c>
      <c r="C66" s="921"/>
      <c r="D66" s="924"/>
      <c r="E66" s="762">
        <v>3</v>
      </c>
      <c r="F66" s="763">
        <v>59479229</v>
      </c>
      <c r="G66" s="764">
        <f>IF(ISBLANK(F66),"-",(F66/$D$50*$D$47*$B$68)*($B$57/$D$64))</f>
        <v>147.07623500342461</v>
      </c>
      <c r="H66" s="765">
        <f t="shared" si="0"/>
        <v>98.050823335616414</v>
      </c>
    </row>
    <row r="67" spans="1:8" ht="27" customHeight="1" thickBot="1" x14ac:dyDescent="0.45">
      <c r="A67" s="704" t="s">
        <v>102</v>
      </c>
      <c r="B67" s="705">
        <v>1</v>
      </c>
      <c r="C67" s="922"/>
      <c r="D67" s="925"/>
      <c r="E67" s="767">
        <v>4</v>
      </c>
      <c r="F67" s="768"/>
      <c r="G67" s="769" t="str">
        <f>IF(ISBLANK(F67),"-",(F67/$D$50*$D$47*$B$68)*($B$57/$D$64))</f>
        <v>-</v>
      </c>
      <c r="H67" s="770" t="str">
        <f t="shared" si="0"/>
        <v>-</v>
      </c>
    </row>
    <row r="68" spans="1:8" ht="26.25" customHeight="1" x14ac:dyDescent="0.4">
      <c r="A68" s="704" t="s">
        <v>103</v>
      </c>
      <c r="B68" s="771">
        <f>(B67/B66)*(B65/B64)*(B63/B62)*(B61/B60)*B59</f>
        <v>1000</v>
      </c>
      <c r="C68" s="920" t="s">
        <v>104</v>
      </c>
      <c r="D68" s="923">
        <v>1137.92</v>
      </c>
      <c r="E68" s="758">
        <v>1</v>
      </c>
      <c r="F68" s="759">
        <v>57995206</v>
      </c>
      <c r="G68" s="760">
        <f>IF(ISBLANK(F68),"-",(F68/$D$50*$D$47*$B$68)*($B$57/$D$68))</f>
        <v>143.35119168543437</v>
      </c>
      <c r="H68" s="765">
        <f t="shared" si="0"/>
        <v>95.567461123622905</v>
      </c>
    </row>
    <row r="69" spans="1:8" ht="27" customHeight="1" thickBot="1" x14ac:dyDescent="0.45">
      <c r="A69" s="749" t="s">
        <v>105</v>
      </c>
      <c r="B69" s="772">
        <f>(D47*B68)/B56*B57</f>
        <v>1135.2115000000001</v>
      </c>
      <c r="C69" s="921"/>
      <c r="D69" s="924"/>
      <c r="E69" s="762">
        <v>2</v>
      </c>
      <c r="F69" s="763">
        <v>58164637</v>
      </c>
      <c r="G69" s="764">
        <f>IF(ISBLANK(F69),"-",(F69/$D$50*$D$47*$B$68)*($B$57/$D$68))</f>
        <v>143.76998726240765</v>
      </c>
      <c r="H69" s="765">
        <f t="shared" si="0"/>
        <v>95.84665817493844</v>
      </c>
    </row>
    <row r="70" spans="1:8" ht="26.25" customHeight="1" x14ac:dyDescent="0.4">
      <c r="A70" s="927" t="s">
        <v>78</v>
      </c>
      <c r="B70" s="928"/>
      <c r="C70" s="921"/>
      <c r="D70" s="924"/>
      <c r="E70" s="762">
        <v>3</v>
      </c>
      <c r="F70" s="763">
        <v>58280479</v>
      </c>
      <c r="G70" s="764">
        <f>IF(ISBLANK(F70),"-",(F70/$D$50*$D$47*$B$68)*($B$57/$D$68))</f>
        <v>144.05632280447338</v>
      </c>
      <c r="H70" s="765">
        <f t="shared" si="0"/>
        <v>96.037548536315583</v>
      </c>
    </row>
    <row r="71" spans="1:8" ht="27" customHeight="1" thickBot="1" x14ac:dyDescent="0.45">
      <c r="A71" s="929"/>
      <c r="B71" s="930"/>
      <c r="C71" s="926"/>
      <c r="D71" s="925"/>
      <c r="E71" s="767">
        <v>4</v>
      </c>
      <c r="F71" s="768"/>
      <c r="G71" s="769" t="str">
        <f>IF(ISBLANK(F71),"-",(F71/$D$50*$D$47*$B$68)*($B$57/$D$68))</f>
        <v>-</v>
      </c>
      <c r="H71" s="770" t="str">
        <f t="shared" si="0"/>
        <v>-</v>
      </c>
    </row>
    <row r="72" spans="1:8" ht="26.25" customHeight="1" x14ac:dyDescent="0.4">
      <c r="A72" s="733"/>
      <c r="B72" s="733"/>
      <c r="C72" s="733"/>
      <c r="D72" s="733"/>
      <c r="E72" s="733"/>
      <c r="F72" s="773" t="s">
        <v>71</v>
      </c>
      <c r="G72" s="774">
        <f>AVERAGE(G60:G71)</f>
        <v>144.35958437400461</v>
      </c>
      <c r="H72" s="775">
        <f>AVERAGE(H60:H71)</f>
        <v>96.239722916003061</v>
      </c>
    </row>
    <row r="73" spans="1:8" ht="26.25" customHeight="1" x14ac:dyDescent="0.4">
      <c r="C73" s="733"/>
      <c r="D73" s="733"/>
      <c r="E73" s="733"/>
      <c r="F73" s="776" t="s">
        <v>84</v>
      </c>
      <c r="G73" s="777">
        <f>STDEV(G60:G71)/G72</f>
        <v>1.4300467185247296E-2</v>
      </c>
      <c r="H73" s="777">
        <f>STDEV(H60:H71)/H72</f>
        <v>1.4300467185247294E-2</v>
      </c>
    </row>
    <row r="74" spans="1:8" ht="27" customHeight="1" thickBot="1" x14ac:dyDescent="0.45">
      <c r="A74" s="733"/>
      <c r="B74" s="733"/>
      <c r="C74" s="733"/>
      <c r="D74" s="733"/>
      <c r="E74" s="735"/>
      <c r="F74" s="778" t="s">
        <v>20</v>
      </c>
      <c r="G74" s="779">
        <f>COUNT(G60:G71)</f>
        <v>9</v>
      </c>
      <c r="H74" s="779">
        <f>COUNT(H60:H71)</f>
        <v>9</v>
      </c>
    </row>
    <row r="76" spans="1:8" ht="26.25" customHeight="1" x14ac:dyDescent="0.4">
      <c r="A76" s="688" t="s">
        <v>106</v>
      </c>
      <c r="B76" s="689" t="s">
        <v>107</v>
      </c>
      <c r="C76" s="909" t="str">
        <f>B26</f>
        <v>LAMIVUDINE</v>
      </c>
      <c r="D76" s="909"/>
      <c r="E76" s="678" t="s">
        <v>108</v>
      </c>
      <c r="F76" s="678"/>
      <c r="G76" s="780">
        <f>H72</f>
        <v>96.239722916003061</v>
      </c>
      <c r="H76" s="693"/>
    </row>
    <row r="77" spans="1:8" ht="18.75" x14ac:dyDescent="0.3">
      <c r="A77" s="687" t="s">
        <v>109</v>
      </c>
      <c r="B77" s="687" t="s">
        <v>110</v>
      </c>
    </row>
    <row r="78" spans="1:8" ht="18.75" x14ac:dyDescent="0.3">
      <c r="A78" s="687"/>
      <c r="B78" s="687"/>
    </row>
    <row r="79" spans="1:8" ht="26.25" customHeight="1" x14ac:dyDescent="0.4">
      <c r="A79" s="688" t="s">
        <v>4</v>
      </c>
      <c r="B79" s="911" t="str">
        <f>B26</f>
        <v>LAMIVUDINE</v>
      </c>
      <c r="C79" s="911"/>
    </row>
    <row r="80" spans="1:8" ht="26.25" customHeight="1" x14ac:dyDescent="0.4">
      <c r="A80" s="689" t="s">
        <v>48</v>
      </c>
      <c r="B80" s="911" t="str">
        <f>B27</f>
        <v>L42-1</v>
      </c>
      <c r="C80" s="911"/>
    </row>
    <row r="81" spans="1:12" ht="27" customHeight="1" thickBot="1" x14ac:dyDescent="0.45">
      <c r="A81" s="689" t="s">
        <v>6</v>
      </c>
      <c r="B81" s="690">
        <f>B28</f>
        <v>99.8</v>
      </c>
    </row>
    <row r="82" spans="1:12" s="608" customFormat="1" ht="27" customHeight="1" thickBot="1" x14ac:dyDescent="0.45">
      <c r="A82" s="689" t="s">
        <v>49</v>
      </c>
      <c r="B82" s="691">
        <v>0</v>
      </c>
      <c r="C82" s="912" t="s">
        <v>50</v>
      </c>
      <c r="D82" s="913"/>
      <c r="E82" s="913"/>
      <c r="F82" s="913"/>
      <c r="G82" s="914"/>
      <c r="I82" s="692"/>
      <c r="J82" s="692"/>
      <c r="K82" s="692"/>
      <c r="L82" s="692"/>
    </row>
    <row r="83" spans="1:12" s="608" customFormat="1" ht="19.5" customHeight="1" thickBot="1" x14ac:dyDescent="0.35">
      <c r="A83" s="689" t="s">
        <v>51</v>
      </c>
      <c r="B83" s="693">
        <f>B81-B82</f>
        <v>99.8</v>
      </c>
      <c r="C83" s="694"/>
      <c r="D83" s="694"/>
      <c r="E83" s="694"/>
      <c r="F83" s="694"/>
      <c r="G83" s="695"/>
      <c r="I83" s="692"/>
      <c r="J83" s="692"/>
      <c r="K83" s="692"/>
      <c r="L83" s="692"/>
    </row>
    <row r="84" spans="1:12" s="608" customFormat="1" ht="27" customHeight="1" thickBot="1" x14ac:dyDescent="0.45">
      <c r="A84" s="689" t="s">
        <v>52</v>
      </c>
      <c r="B84" s="696">
        <v>1</v>
      </c>
      <c r="C84" s="915" t="s">
        <v>111</v>
      </c>
      <c r="D84" s="916"/>
      <c r="E84" s="916"/>
      <c r="F84" s="916"/>
      <c r="G84" s="916"/>
      <c r="H84" s="917"/>
      <c r="I84" s="692"/>
      <c r="J84" s="692"/>
      <c r="K84" s="692"/>
      <c r="L84" s="692"/>
    </row>
    <row r="85" spans="1:12" s="608" customFormat="1" ht="27" customHeight="1" thickBot="1" x14ac:dyDescent="0.45">
      <c r="A85" s="689" t="s">
        <v>54</v>
      </c>
      <c r="B85" s="696">
        <v>1</v>
      </c>
      <c r="C85" s="915" t="s">
        <v>112</v>
      </c>
      <c r="D85" s="916"/>
      <c r="E85" s="916"/>
      <c r="F85" s="916"/>
      <c r="G85" s="916"/>
      <c r="H85" s="917"/>
      <c r="I85" s="692"/>
      <c r="J85" s="692"/>
      <c r="K85" s="692"/>
      <c r="L85" s="692"/>
    </row>
    <row r="86" spans="1:12" s="608" customFormat="1" ht="18.75" x14ac:dyDescent="0.3">
      <c r="A86" s="689"/>
      <c r="B86" s="699"/>
      <c r="C86" s="700"/>
      <c r="D86" s="700"/>
      <c r="E86" s="700"/>
      <c r="F86" s="700"/>
      <c r="G86" s="700"/>
      <c r="H86" s="700"/>
      <c r="I86" s="692"/>
      <c r="J86" s="692"/>
      <c r="K86" s="692"/>
      <c r="L86" s="692"/>
    </row>
    <row r="87" spans="1:12" s="608" customFormat="1" ht="18.75" x14ac:dyDescent="0.3">
      <c r="A87" s="689" t="s">
        <v>56</v>
      </c>
      <c r="B87" s="701">
        <f>B84/B85</f>
        <v>1</v>
      </c>
      <c r="C87" s="678" t="s">
        <v>57</v>
      </c>
      <c r="D87" s="678"/>
      <c r="E87" s="678"/>
      <c r="F87" s="678"/>
      <c r="G87" s="678"/>
      <c r="I87" s="692"/>
      <c r="J87" s="692"/>
      <c r="K87" s="692"/>
      <c r="L87" s="692"/>
    </row>
    <row r="88" spans="1:12" ht="19.5" customHeight="1" thickBot="1" x14ac:dyDescent="0.35">
      <c r="A88" s="687"/>
      <c r="B88" s="687"/>
    </row>
    <row r="89" spans="1:12" ht="27" customHeight="1" thickBot="1" x14ac:dyDescent="0.45">
      <c r="A89" s="702" t="s">
        <v>58</v>
      </c>
      <c r="B89" s="703">
        <v>100</v>
      </c>
      <c r="D89" s="781" t="s">
        <v>59</v>
      </c>
      <c r="E89" s="782"/>
      <c r="F89" s="918" t="s">
        <v>60</v>
      </c>
      <c r="G89" s="919"/>
    </row>
    <row r="90" spans="1:12" ht="27" customHeight="1" thickBot="1" x14ac:dyDescent="0.45">
      <c r="A90" s="704" t="s">
        <v>61</v>
      </c>
      <c r="B90" s="705">
        <v>1</v>
      </c>
      <c r="C90" s="783" t="s">
        <v>62</v>
      </c>
      <c r="D90" s="707" t="s">
        <v>63</v>
      </c>
      <c r="E90" s="708" t="s">
        <v>64</v>
      </c>
      <c r="F90" s="707" t="s">
        <v>63</v>
      </c>
      <c r="G90" s="784" t="s">
        <v>64</v>
      </c>
      <c r="I90" s="710" t="s">
        <v>65</v>
      </c>
    </row>
    <row r="91" spans="1:12" ht="26.25" customHeight="1" x14ac:dyDescent="0.4">
      <c r="A91" s="704" t="s">
        <v>66</v>
      </c>
      <c r="B91" s="705">
        <v>1</v>
      </c>
      <c r="C91" s="785">
        <v>1</v>
      </c>
      <c r="D91" s="712">
        <v>70623602</v>
      </c>
      <c r="E91" s="713">
        <f>IF(ISBLANK(D91),"-",$D$101/$D$98*D91)</f>
        <v>67938875.061951861</v>
      </c>
      <c r="F91" s="712">
        <v>61431853</v>
      </c>
      <c r="G91" s="714">
        <f>IF(ISBLANK(F91),"-",$D$101/$F$98*F91)</f>
        <v>66922116.68390052</v>
      </c>
      <c r="I91" s="715"/>
    </row>
    <row r="92" spans="1:12" ht="26.25" customHeight="1" x14ac:dyDescent="0.4">
      <c r="A92" s="704" t="s">
        <v>67</v>
      </c>
      <c r="B92" s="705">
        <v>1</v>
      </c>
      <c r="C92" s="733">
        <v>2</v>
      </c>
      <c r="D92" s="717">
        <v>70411311</v>
      </c>
      <c r="E92" s="718">
        <f>IF(ISBLANK(D92),"-",$D$101/$D$98*D92)</f>
        <v>67734654.216266632</v>
      </c>
      <c r="F92" s="717">
        <v>61101452</v>
      </c>
      <c r="G92" s="719">
        <f>IF(ISBLANK(F92),"-",$D$101/$F$98*F92)</f>
        <v>66562187.214176118</v>
      </c>
      <c r="I92" s="900">
        <f>ABS((F96/D96*D95)-F95)/D95</f>
        <v>8.957637161841529E-3</v>
      </c>
    </row>
    <row r="93" spans="1:12" ht="26.25" customHeight="1" x14ac:dyDescent="0.4">
      <c r="A93" s="704" t="s">
        <v>68</v>
      </c>
      <c r="B93" s="705">
        <v>1</v>
      </c>
      <c r="C93" s="733">
        <v>3</v>
      </c>
      <c r="D93" s="717">
        <v>69811230</v>
      </c>
      <c r="E93" s="718">
        <f>IF(ISBLANK(D93),"-",$D$101/$D$98*D93)</f>
        <v>67157385.046590865</v>
      </c>
      <c r="F93" s="717">
        <v>61768759</v>
      </c>
      <c r="G93" s="719">
        <f>IF(ISBLANK(F93),"-",$D$101/$F$98*F93)</f>
        <v>67289132.515956014</v>
      </c>
      <c r="I93" s="900"/>
    </row>
    <row r="94" spans="1:12" ht="27" customHeight="1" thickBot="1" x14ac:dyDescent="0.45">
      <c r="A94" s="704" t="s">
        <v>69</v>
      </c>
      <c r="B94" s="705">
        <v>1</v>
      </c>
      <c r="C94" s="786">
        <v>4</v>
      </c>
      <c r="D94" s="721"/>
      <c r="E94" s="722" t="str">
        <f>IF(ISBLANK(D94),"-",$D$101/$D$98*D94)</f>
        <v>-</v>
      </c>
      <c r="F94" s="787"/>
      <c r="G94" s="723" t="str">
        <f>IF(ISBLANK(F94),"-",$D$101/$F$98*F94)</f>
        <v>-</v>
      </c>
      <c r="I94" s="724"/>
    </row>
    <row r="95" spans="1:12" ht="27" customHeight="1" thickBot="1" x14ac:dyDescent="0.45">
      <c r="A95" s="704" t="s">
        <v>70</v>
      </c>
      <c r="B95" s="705">
        <v>1</v>
      </c>
      <c r="C95" s="689" t="s">
        <v>71</v>
      </c>
      <c r="D95" s="788">
        <f>AVERAGE(D91:D94)</f>
        <v>70282047.666666672</v>
      </c>
      <c r="E95" s="727">
        <f>AVERAGE(E91:E94)</f>
        <v>67610304.774936453</v>
      </c>
      <c r="F95" s="789">
        <f>AVERAGE(F91:F94)</f>
        <v>61434021.333333336</v>
      </c>
      <c r="G95" s="790">
        <f>AVERAGE(G91:G94)</f>
        <v>66924478.804677546</v>
      </c>
    </row>
    <row r="96" spans="1:12" ht="26.25" customHeight="1" x14ac:dyDescent="0.4">
      <c r="A96" s="704" t="s">
        <v>72</v>
      </c>
      <c r="B96" s="690">
        <v>1</v>
      </c>
      <c r="C96" s="791" t="s">
        <v>113</v>
      </c>
      <c r="D96" s="792">
        <v>17.36</v>
      </c>
      <c r="E96" s="678"/>
      <c r="F96" s="793">
        <v>15.33</v>
      </c>
    </row>
    <row r="97" spans="1:10" ht="26.25" customHeight="1" x14ac:dyDescent="0.4">
      <c r="A97" s="704" t="s">
        <v>74</v>
      </c>
      <c r="B97" s="690">
        <v>1</v>
      </c>
      <c r="C97" s="794" t="s">
        <v>114</v>
      </c>
      <c r="D97" s="795">
        <f>D96*$B$87</f>
        <v>17.36</v>
      </c>
      <c r="E97" s="733"/>
      <c r="F97" s="732">
        <f>F96*$B$87</f>
        <v>15.33</v>
      </c>
    </row>
    <row r="98" spans="1:10" ht="19.5" customHeight="1" thickBot="1" x14ac:dyDescent="0.35">
      <c r="A98" s="704" t="s">
        <v>76</v>
      </c>
      <c r="B98" s="733">
        <f>(B97/B96)*(B95/B94)*(B93/B92)*(B91/B90)*B89</f>
        <v>100</v>
      </c>
      <c r="C98" s="794" t="s">
        <v>115</v>
      </c>
      <c r="D98" s="796">
        <f>D97*$B$83/100</f>
        <v>17.325279999999999</v>
      </c>
      <c r="E98" s="735"/>
      <c r="F98" s="734">
        <f>F97*$B$83/100</f>
        <v>15.299339999999999</v>
      </c>
    </row>
    <row r="99" spans="1:10" ht="19.5" customHeight="1" thickBot="1" x14ac:dyDescent="0.35">
      <c r="A99" s="901" t="s">
        <v>78</v>
      </c>
      <c r="B99" s="902"/>
      <c r="C99" s="794" t="s">
        <v>116</v>
      </c>
      <c r="D99" s="797">
        <f>D98/$B$98</f>
        <v>0.17325279999999998</v>
      </c>
      <c r="E99" s="735"/>
      <c r="F99" s="738">
        <f>F98/$B$98</f>
        <v>0.1529934</v>
      </c>
      <c r="H99" s="632"/>
    </row>
    <row r="100" spans="1:10" ht="19.5" customHeight="1" thickBot="1" x14ac:dyDescent="0.35">
      <c r="A100" s="903"/>
      <c r="B100" s="904"/>
      <c r="C100" s="794" t="s">
        <v>80</v>
      </c>
      <c r="D100" s="798">
        <f>$B$56/$B$116</f>
        <v>0.16666666666666666</v>
      </c>
      <c r="F100" s="743"/>
      <c r="G100" s="799"/>
      <c r="H100" s="632"/>
    </row>
    <row r="101" spans="1:10" ht="18.75" x14ac:dyDescent="0.3">
      <c r="C101" s="794" t="s">
        <v>81</v>
      </c>
      <c r="D101" s="795">
        <f>D100*$B$98</f>
        <v>16.666666666666664</v>
      </c>
      <c r="F101" s="743"/>
      <c r="H101" s="632"/>
    </row>
    <row r="102" spans="1:10" ht="19.5" customHeight="1" thickBot="1" x14ac:dyDescent="0.35">
      <c r="C102" s="800" t="s">
        <v>82</v>
      </c>
      <c r="D102" s="801">
        <f>D101/B34</f>
        <v>16.666666666666664</v>
      </c>
      <c r="F102" s="747"/>
      <c r="H102" s="632"/>
      <c r="J102" s="802"/>
    </row>
    <row r="103" spans="1:10" ht="18.75" x14ac:dyDescent="0.3">
      <c r="C103" s="803" t="s">
        <v>117</v>
      </c>
      <c r="D103" s="804">
        <f>AVERAGE(E91:E94,G91:G94)</f>
        <v>67267391.789807007</v>
      </c>
      <c r="F103" s="747"/>
      <c r="G103" s="799"/>
      <c r="H103" s="632"/>
      <c r="J103" s="805"/>
    </row>
    <row r="104" spans="1:10" ht="18.75" x14ac:dyDescent="0.3">
      <c r="C104" s="776" t="s">
        <v>84</v>
      </c>
      <c r="D104" s="806">
        <f>STDEV(E91:E94,G91:G94)/D103</f>
        <v>7.5753441713955084E-3</v>
      </c>
      <c r="F104" s="747"/>
      <c r="H104" s="632"/>
      <c r="J104" s="805"/>
    </row>
    <row r="105" spans="1:10" ht="19.5" customHeight="1" thickBot="1" x14ac:dyDescent="0.35">
      <c r="C105" s="778" t="s">
        <v>20</v>
      </c>
      <c r="D105" s="807">
        <f>COUNT(E91:E94,G91:G94)</f>
        <v>6</v>
      </c>
      <c r="F105" s="747"/>
      <c r="H105" s="632"/>
      <c r="J105" s="805"/>
    </row>
    <row r="106" spans="1:10" ht="19.5" customHeight="1" thickBot="1" x14ac:dyDescent="0.35">
      <c r="A106" s="751"/>
      <c r="B106" s="751"/>
      <c r="C106" s="751"/>
      <c r="D106" s="751"/>
      <c r="E106" s="751"/>
    </row>
    <row r="107" spans="1:10" ht="27" customHeight="1" thickBot="1" x14ac:dyDescent="0.45">
      <c r="A107" s="702" t="s">
        <v>118</v>
      </c>
      <c r="B107" s="703">
        <v>900</v>
      </c>
      <c r="C107" s="757" t="s">
        <v>137</v>
      </c>
      <c r="D107" s="757" t="s">
        <v>63</v>
      </c>
      <c r="E107" s="757" t="s">
        <v>120</v>
      </c>
      <c r="F107" s="808" t="s">
        <v>121</v>
      </c>
    </row>
    <row r="108" spans="1:10" ht="26.25" customHeight="1" x14ac:dyDescent="0.4">
      <c r="A108" s="704" t="s">
        <v>122</v>
      </c>
      <c r="B108" s="705">
        <v>1</v>
      </c>
      <c r="C108" s="758">
        <v>1</v>
      </c>
      <c r="D108" s="809">
        <v>65597405</v>
      </c>
      <c r="E108" s="810">
        <f t="shared" ref="E108:E113" si="1">IF(ISBLANK(D108),"-",D108/$D$103*$D$100*$B$116)</f>
        <v>146.27608545825899</v>
      </c>
      <c r="F108" s="811">
        <f t="shared" ref="F108:F113" si="2">IF(ISBLANK(D108), "-", (E108/$B$56)*100)</f>
        <v>97.517390305505984</v>
      </c>
    </row>
    <row r="109" spans="1:10" ht="26.25" customHeight="1" x14ac:dyDescent="0.4">
      <c r="A109" s="704" t="s">
        <v>95</v>
      </c>
      <c r="B109" s="705">
        <v>1</v>
      </c>
      <c r="C109" s="762">
        <v>2</v>
      </c>
      <c r="D109" s="812">
        <v>65890154</v>
      </c>
      <c r="E109" s="813">
        <f t="shared" si="1"/>
        <v>146.92888838151214</v>
      </c>
      <c r="F109" s="814">
        <f t="shared" si="2"/>
        <v>97.952592254341425</v>
      </c>
    </row>
    <row r="110" spans="1:10" ht="26.25" customHeight="1" x14ac:dyDescent="0.4">
      <c r="A110" s="704" t="s">
        <v>96</v>
      </c>
      <c r="B110" s="705">
        <v>1</v>
      </c>
      <c r="C110" s="762">
        <v>3</v>
      </c>
      <c r="D110" s="812">
        <v>65722905</v>
      </c>
      <c r="E110" s="813">
        <f t="shared" si="1"/>
        <v>146.55593873484838</v>
      </c>
      <c r="F110" s="814">
        <f t="shared" si="2"/>
        <v>97.703959156565588</v>
      </c>
    </row>
    <row r="111" spans="1:10" ht="26.25" customHeight="1" x14ac:dyDescent="0.4">
      <c r="A111" s="704" t="s">
        <v>97</v>
      </c>
      <c r="B111" s="705">
        <v>1</v>
      </c>
      <c r="C111" s="762">
        <v>4</v>
      </c>
      <c r="D111" s="812">
        <v>65681178</v>
      </c>
      <c r="E111" s="813">
        <f t="shared" si="1"/>
        <v>146.46289142271897</v>
      </c>
      <c r="F111" s="814">
        <f t="shared" si="2"/>
        <v>97.641927615145974</v>
      </c>
    </row>
    <row r="112" spans="1:10" ht="26.25" customHeight="1" x14ac:dyDescent="0.4">
      <c r="A112" s="704" t="s">
        <v>98</v>
      </c>
      <c r="B112" s="705">
        <v>1</v>
      </c>
      <c r="C112" s="762">
        <v>5</v>
      </c>
      <c r="D112" s="812">
        <v>65585780</v>
      </c>
      <c r="E112" s="813">
        <f t="shared" si="1"/>
        <v>146.25016279419245</v>
      </c>
      <c r="F112" s="814">
        <f t="shared" si="2"/>
        <v>97.500108529461642</v>
      </c>
    </row>
    <row r="113" spans="1:10" ht="27" customHeight="1" thickBot="1" x14ac:dyDescent="0.45">
      <c r="A113" s="704" t="s">
        <v>100</v>
      </c>
      <c r="B113" s="705">
        <v>1</v>
      </c>
      <c r="C113" s="767">
        <v>6</v>
      </c>
      <c r="D113" s="815">
        <v>65982114</v>
      </c>
      <c r="E113" s="816">
        <f t="shared" si="1"/>
        <v>147.13395059119469</v>
      </c>
      <c r="F113" s="817">
        <f t="shared" si="2"/>
        <v>98.089300394129793</v>
      </c>
    </row>
    <row r="114" spans="1:10" ht="27" customHeight="1" thickBot="1" x14ac:dyDescent="0.45">
      <c r="A114" s="704" t="s">
        <v>101</v>
      </c>
      <c r="B114" s="705">
        <v>1</v>
      </c>
      <c r="C114" s="818"/>
      <c r="D114" s="733"/>
      <c r="E114" s="678"/>
      <c r="F114" s="814"/>
    </row>
    <row r="115" spans="1:10" ht="26.25" customHeight="1" x14ac:dyDescent="0.4">
      <c r="A115" s="704" t="s">
        <v>102</v>
      </c>
      <c r="B115" s="705">
        <v>1</v>
      </c>
      <c r="C115" s="818"/>
      <c r="D115" s="819" t="s">
        <v>71</v>
      </c>
      <c r="E115" s="820">
        <f>AVERAGE(E108:E113)</f>
        <v>146.6013195637876</v>
      </c>
      <c r="F115" s="821">
        <f>AVERAGE(F108:F113)</f>
        <v>97.734213042525042</v>
      </c>
    </row>
    <row r="116" spans="1:10" ht="27" customHeight="1" thickBot="1" x14ac:dyDescent="0.45">
      <c r="A116" s="704" t="s">
        <v>103</v>
      </c>
      <c r="B116" s="716">
        <f>(B115/B114)*(B113/B112)*(B111/B110)*(B109/B108)*B107</f>
        <v>900</v>
      </c>
      <c r="C116" s="822"/>
      <c r="D116" s="823" t="s">
        <v>84</v>
      </c>
      <c r="E116" s="777">
        <f>STDEV(E108:E113)/E115</f>
        <v>2.4429252607807922E-3</v>
      </c>
      <c r="F116" s="824">
        <f>STDEV(F108:F113)/F115</f>
        <v>2.4429252607807948E-3</v>
      </c>
      <c r="I116" s="678"/>
    </row>
    <row r="117" spans="1:10" ht="27" customHeight="1" thickBot="1" x14ac:dyDescent="0.45">
      <c r="A117" s="901" t="s">
        <v>78</v>
      </c>
      <c r="B117" s="905"/>
      <c r="C117" s="825"/>
      <c r="D117" s="778" t="s">
        <v>20</v>
      </c>
      <c r="E117" s="826">
        <f>COUNT(E108:E113)</f>
        <v>6</v>
      </c>
      <c r="F117" s="827">
        <f>COUNT(F108:F113)</f>
        <v>6</v>
      </c>
      <c r="I117" s="678"/>
      <c r="J117" s="805"/>
    </row>
    <row r="118" spans="1:10" ht="26.25" customHeight="1" thickBot="1" x14ac:dyDescent="0.35">
      <c r="A118" s="903"/>
      <c r="B118" s="906"/>
      <c r="C118" s="678"/>
      <c r="D118" s="828"/>
      <c r="E118" s="907" t="s">
        <v>138</v>
      </c>
      <c r="F118" s="908"/>
      <c r="G118" s="678"/>
      <c r="H118" s="678"/>
      <c r="I118" s="678"/>
    </row>
    <row r="119" spans="1:10" ht="25.5" customHeight="1" x14ac:dyDescent="0.4">
      <c r="A119" s="829"/>
      <c r="B119" s="700"/>
      <c r="C119" s="678"/>
      <c r="D119" s="823" t="s">
        <v>139</v>
      </c>
      <c r="E119" s="830">
        <f>MIN(E108:E113)</f>
        <v>146.25016279419245</v>
      </c>
      <c r="F119" s="831">
        <f>MIN(F108:F113)</f>
        <v>97.500108529461642</v>
      </c>
      <c r="G119" s="678"/>
      <c r="H119" s="678"/>
      <c r="I119" s="678"/>
    </row>
    <row r="120" spans="1:10" ht="24" customHeight="1" thickBot="1" x14ac:dyDescent="0.45">
      <c r="A120" s="829"/>
      <c r="B120" s="700"/>
      <c r="C120" s="678"/>
      <c r="D120" s="744" t="s">
        <v>140</v>
      </c>
      <c r="E120" s="832">
        <f>MAX(E108:E113)</f>
        <v>147.13395059119469</v>
      </c>
      <c r="F120" s="833">
        <f>MAX(F108:F113)</f>
        <v>98.089300394129793</v>
      </c>
      <c r="G120" s="678"/>
      <c r="H120" s="678"/>
      <c r="I120" s="678"/>
    </row>
    <row r="121" spans="1:10" ht="27" customHeight="1" x14ac:dyDescent="0.3">
      <c r="A121" s="829"/>
      <c r="B121" s="700"/>
      <c r="C121" s="678"/>
      <c r="D121" s="678"/>
      <c r="E121" s="678"/>
      <c r="F121" s="733"/>
      <c r="G121" s="678"/>
      <c r="H121" s="678"/>
      <c r="I121" s="678"/>
    </row>
    <row r="122" spans="1:10" ht="25.5" customHeight="1" x14ac:dyDescent="0.3">
      <c r="A122" s="829"/>
      <c r="B122" s="700"/>
      <c r="C122" s="678"/>
      <c r="D122" s="678"/>
      <c r="E122" s="678"/>
      <c r="F122" s="733"/>
      <c r="G122" s="678"/>
      <c r="H122" s="678"/>
      <c r="I122" s="678"/>
    </row>
    <row r="123" spans="1:10" ht="18.75" x14ac:dyDescent="0.3">
      <c r="A123" s="829"/>
      <c r="B123" s="700"/>
      <c r="C123" s="678"/>
      <c r="D123" s="678"/>
      <c r="E123" s="678"/>
      <c r="F123" s="733"/>
      <c r="G123" s="678"/>
      <c r="H123" s="678"/>
      <c r="I123" s="678"/>
    </row>
    <row r="124" spans="1:10" ht="45.75" customHeight="1" x14ac:dyDescent="0.65">
      <c r="A124" s="688" t="s">
        <v>106</v>
      </c>
      <c r="B124" s="689" t="s">
        <v>123</v>
      </c>
      <c r="C124" s="909" t="str">
        <f>B26</f>
        <v>LAMIVUDINE</v>
      </c>
      <c r="D124" s="909"/>
      <c r="E124" s="678" t="s">
        <v>124</v>
      </c>
      <c r="F124" s="678"/>
      <c r="G124" s="834">
        <f>F115</f>
        <v>97.734213042525042</v>
      </c>
      <c r="H124" s="678"/>
      <c r="I124" s="678"/>
    </row>
    <row r="125" spans="1:10" ht="45.75" customHeight="1" x14ac:dyDescent="0.65">
      <c r="A125" s="688"/>
      <c r="B125" s="689" t="s">
        <v>141</v>
      </c>
      <c r="C125" s="689" t="s">
        <v>142</v>
      </c>
      <c r="D125" s="834">
        <f>MIN(F108:F113)</f>
        <v>97.500108529461642</v>
      </c>
      <c r="E125" s="689" t="s">
        <v>143</v>
      </c>
      <c r="F125" s="834">
        <f>MAX(F108:F113)</f>
        <v>98.089300394129793</v>
      </c>
      <c r="G125" s="780"/>
      <c r="H125" s="678"/>
      <c r="I125" s="678"/>
    </row>
    <row r="126" spans="1:10" ht="19.5" customHeight="1" thickBot="1" x14ac:dyDescent="0.35">
      <c r="A126" s="835"/>
      <c r="B126" s="835"/>
      <c r="C126" s="836"/>
      <c r="D126" s="836"/>
      <c r="E126" s="836"/>
      <c r="F126" s="836"/>
      <c r="G126" s="836"/>
      <c r="H126" s="836"/>
    </row>
    <row r="127" spans="1:10" ht="18.75" x14ac:dyDescent="0.3">
      <c r="B127" s="910" t="s">
        <v>26</v>
      </c>
      <c r="C127" s="910"/>
      <c r="E127" s="783" t="s">
        <v>27</v>
      </c>
      <c r="F127" s="837"/>
      <c r="G127" s="910" t="s">
        <v>28</v>
      </c>
      <c r="H127" s="910"/>
    </row>
    <row r="128" spans="1:10" ht="69.95" customHeight="1" x14ac:dyDescent="0.3">
      <c r="A128" s="688" t="s">
        <v>29</v>
      </c>
      <c r="B128" s="838"/>
      <c r="C128" s="838"/>
      <c r="E128" s="838"/>
      <c r="F128" s="678"/>
      <c r="G128" s="838"/>
      <c r="H128" s="838"/>
    </row>
    <row r="129" spans="1:9" ht="69.95" customHeight="1" x14ac:dyDescent="0.3">
      <c r="A129" s="688" t="s">
        <v>30</v>
      </c>
      <c r="B129" s="839"/>
      <c r="C129" s="839"/>
      <c r="E129" s="839"/>
      <c r="F129" s="678"/>
      <c r="G129" s="840"/>
      <c r="H129" s="840"/>
    </row>
    <row r="130" spans="1:9" ht="18.75" x14ac:dyDescent="0.3">
      <c r="A130" s="733"/>
      <c r="B130" s="733"/>
      <c r="C130" s="733"/>
      <c r="D130" s="733"/>
      <c r="E130" s="733"/>
      <c r="F130" s="735"/>
      <c r="G130" s="733"/>
      <c r="H130" s="733"/>
      <c r="I130" s="678"/>
    </row>
    <row r="131" spans="1:9" ht="18.75" x14ac:dyDescent="0.3">
      <c r="A131" s="733"/>
      <c r="B131" s="733"/>
      <c r="C131" s="733"/>
      <c r="D131" s="733"/>
      <c r="E131" s="733"/>
      <c r="F131" s="735"/>
      <c r="G131" s="733"/>
      <c r="H131" s="733"/>
      <c r="I131" s="678"/>
    </row>
    <row r="132" spans="1:9" ht="18.75" x14ac:dyDescent="0.3">
      <c r="A132" s="733"/>
      <c r="B132" s="733"/>
      <c r="C132" s="733"/>
      <c r="D132" s="733"/>
      <c r="E132" s="733"/>
      <c r="F132" s="735"/>
      <c r="G132" s="733"/>
      <c r="H132" s="733"/>
      <c r="I132" s="678"/>
    </row>
    <row r="133" spans="1:9" ht="18.75" x14ac:dyDescent="0.3">
      <c r="A133" s="733"/>
      <c r="B133" s="733"/>
      <c r="C133" s="733"/>
      <c r="D133" s="733"/>
      <c r="E133" s="733"/>
      <c r="F133" s="735"/>
      <c r="G133" s="733"/>
      <c r="H133" s="733"/>
      <c r="I133" s="678"/>
    </row>
    <row r="134" spans="1:9" ht="18.75" x14ac:dyDescent="0.3">
      <c r="A134" s="733"/>
      <c r="B134" s="733"/>
      <c r="C134" s="733"/>
      <c r="D134" s="733"/>
      <c r="E134" s="733"/>
      <c r="F134" s="735"/>
      <c r="G134" s="733"/>
      <c r="H134" s="733"/>
      <c r="I134" s="678"/>
    </row>
    <row r="135" spans="1:9" ht="18.75" x14ac:dyDescent="0.3">
      <c r="A135" s="733"/>
      <c r="B135" s="733"/>
      <c r="C135" s="733"/>
      <c r="D135" s="733"/>
      <c r="E135" s="733"/>
      <c r="F135" s="735"/>
      <c r="G135" s="733"/>
      <c r="H135" s="733"/>
      <c r="I135" s="678"/>
    </row>
    <row r="136" spans="1:9" ht="18.75" x14ac:dyDescent="0.3">
      <c r="A136" s="733"/>
      <c r="B136" s="733"/>
      <c r="C136" s="733"/>
      <c r="D136" s="733"/>
      <c r="E136" s="733"/>
      <c r="F136" s="735"/>
      <c r="G136" s="733"/>
      <c r="H136" s="733"/>
      <c r="I136" s="678"/>
    </row>
    <row r="137" spans="1:9" ht="18.75" x14ac:dyDescent="0.3">
      <c r="A137" s="733"/>
      <c r="B137" s="733"/>
      <c r="C137" s="733"/>
      <c r="D137" s="733"/>
      <c r="E137" s="733"/>
      <c r="F137" s="735"/>
      <c r="G137" s="733"/>
      <c r="H137" s="733"/>
      <c r="I137" s="678"/>
    </row>
    <row r="138" spans="1:9" ht="18.75" x14ac:dyDescent="0.3">
      <c r="A138" s="733"/>
      <c r="B138" s="733"/>
      <c r="C138" s="733"/>
      <c r="D138" s="733"/>
      <c r="E138" s="733"/>
      <c r="F138" s="735"/>
      <c r="G138" s="733"/>
      <c r="H138" s="733"/>
      <c r="I138" s="678"/>
    </row>
    <row r="250" spans="1:1" x14ac:dyDescent="0.25">
      <c r="A250" s="598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7" workbookViewId="0">
      <selection activeCell="B18" sqref="B18"/>
    </sheetView>
  </sheetViews>
  <sheetFormatPr defaultRowHeight="13.5" x14ac:dyDescent="0.25"/>
  <cols>
    <col min="1" max="1" width="27.5703125" style="598" customWidth="1"/>
    <col min="2" max="2" width="20.42578125" style="598" customWidth="1"/>
    <col min="3" max="3" width="31.85546875" style="598" customWidth="1"/>
    <col min="4" max="5" width="25.85546875" style="598" customWidth="1"/>
    <col min="6" max="6" width="25.7109375" style="598" customWidth="1"/>
    <col min="7" max="7" width="23.140625" style="598" customWidth="1"/>
    <col min="8" max="8" width="28.42578125" style="598" customWidth="1"/>
    <col min="9" max="9" width="21.5703125" style="598" customWidth="1"/>
    <col min="10" max="10" width="9.140625" style="598" customWidth="1"/>
    <col min="11" max="16384" width="9.140625" style="634"/>
  </cols>
  <sheetData>
    <row r="14" spans="1:7" ht="15" customHeight="1" x14ac:dyDescent="0.3">
      <c r="A14" s="597"/>
      <c r="C14" s="599"/>
      <c r="G14" s="599"/>
    </row>
    <row r="15" spans="1:7" ht="18.75" customHeight="1" x14ac:dyDescent="0.3">
      <c r="A15" s="843" t="s">
        <v>0</v>
      </c>
      <c r="B15" s="843"/>
      <c r="C15" s="843"/>
      <c r="D15" s="843"/>
      <c r="E15" s="843"/>
      <c r="F15" s="843"/>
    </row>
    <row r="16" spans="1:7" ht="16.5" customHeight="1" x14ac:dyDescent="0.3">
      <c r="A16" s="600" t="s">
        <v>1</v>
      </c>
      <c r="B16" s="601" t="s">
        <v>2</v>
      </c>
    </row>
    <row r="17" spans="1:6" ht="16.5" customHeight="1" x14ac:dyDescent="0.3">
      <c r="A17" s="602" t="s">
        <v>3</v>
      </c>
      <c r="B17" s="602" t="str">
        <f>zidovudine!B18</f>
        <v>LAMIVUDINE 150MG + ZIDOVUDINE 300MG + NEVIRAPINE 200MG TABLETS</v>
      </c>
      <c r="D17" s="603"/>
      <c r="E17" s="603"/>
      <c r="F17" s="604"/>
    </row>
    <row r="18" spans="1:6" ht="16.5" customHeight="1" x14ac:dyDescent="0.3">
      <c r="A18" s="605" t="s">
        <v>4</v>
      </c>
      <c r="B18" s="602" t="s">
        <v>144</v>
      </c>
      <c r="C18" s="604"/>
      <c r="D18" s="604"/>
      <c r="E18" s="604"/>
      <c r="F18" s="604"/>
    </row>
    <row r="19" spans="1:6" ht="16.5" customHeight="1" x14ac:dyDescent="0.3">
      <c r="A19" s="605" t="s">
        <v>6</v>
      </c>
      <c r="B19" s="606">
        <v>99.4</v>
      </c>
      <c r="C19" s="604"/>
      <c r="D19" s="604"/>
      <c r="E19" s="604"/>
      <c r="F19" s="604"/>
    </row>
    <row r="20" spans="1:6" ht="16.5" customHeight="1" x14ac:dyDescent="0.3">
      <c r="A20" s="602" t="s">
        <v>8</v>
      </c>
      <c r="B20" s="606">
        <v>29.96</v>
      </c>
      <c r="C20" s="604"/>
      <c r="D20" s="604"/>
      <c r="E20" s="604"/>
      <c r="F20" s="604"/>
    </row>
    <row r="21" spans="1:6" ht="16.5" customHeight="1" x14ac:dyDescent="0.3">
      <c r="A21" s="602" t="s">
        <v>10</v>
      </c>
      <c r="B21" s="607">
        <f>29.96/20*4/20</f>
        <v>0.29959999999999998</v>
      </c>
      <c r="C21" s="604"/>
      <c r="D21" s="604"/>
      <c r="E21" s="604"/>
      <c r="F21" s="604"/>
    </row>
    <row r="22" spans="1:6" ht="15.75" customHeight="1" x14ac:dyDescent="0.25">
      <c r="A22" s="604"/>
      <c r="B22" s="604"/>
      <c r="C22" s="604"/>
      <c r="D22" s="604"/>
      <c r="E22" s="604"/>
      <c r="F22" s="604"/>
    </row>
    <row r="23" spans="1:6" ht="16.5" customHeight="1" x14ac:dyDescent="0.3">
      <c r="A23" s="608" t="s">
        <v>13</v>
      </c>
      <c r="B23" s="609" t="s">
        <v>14</v>
      </c>
      <c r="C23" s="608" t="s">
        <v>15</v>
      </c>
      <c r="D23" s="608" t="s">
        <v>16</v>
      </c>
      <c r="E23" s="608" t="s">
        <v>145</v>
      </c>
      <c r="F23" s="608" t="s">
        <v>17</v>
      </c>
    </row>
    <row r="24" spans="1:6" ht="16.5" customHeight="1" x14ac:dyDescent="0.3">
      <c r="A24" s="610">
        <v>1</v>
      </c>
      <c r="B24" s="611">
        <v>226613820</v>
      </c>
      <c r="C24" s="611" t="s">
        <v>146</v>
      </c>
      <c r="D24" s="612">
        <v>1.1000000000000001</v>
      </c>
      <c r="E24" s="612">
        <v>5.0999999999999996</v>
      </c>
      <c r="F24" s="613">
        <v>4.2</v>
      </c>
    </row>
    <row r="25" spans="1:6" ht="16.5" customHeight="1" x14ac:dyDescent="0.3">
      <c r="A25" s="610">
        <v>2</v>
      </c>
      <c r="B25" s="611">
        <v>226626513</v>
      </c>
      <c r="C25" s="611">
        <v>4351.5</v>
      </c>
      <c r="D25" s="612">
        <v>1.1000000000000001</v>
      </c>
      <c r="E25" s="612">
        <v>5.0999999999999996</v>
      </c>
      <c r="F25" s="612">
        <v>4.2</v>
      </c>
    </row>
    <row r="26" spans="1:6" ht="16.5" customHeight="1" x14ac:dyDescent="0.3">
      <c r="A26" s="610">
        <v>3</v>
      </c>
      <c r="B26" s="611">
        <v>227249907</v>
      </c>
      <c r="C26" s="611">
        <v>4362.3</v>
      </c>
      <c r="D26" s="612">
        <v>1.1000000000000001</v>
      </c>
      <c r="E26" s="612">
        <v>5.0999999999999996</v>
      </c>
      <c r="F26" s="612">
        <v>4.2</v>
      </c>
    </row>
    <row r="27" spans="1:6" ht="16.5" customHeight="1" x14ac:dyDescent="0.3">
      <c r="A27" s="610">
        <v>4</v>
      </c>
      <c r="B27" s="611">
        <v>227251305</v>
      </c>
      <c r="C27" s="611">
        <v>4378.7</v>
      </c>
      <c r="D27" s="612">
        <v>1.1000000000000001</v>
      </c>
      <c r="E27" s="612">
        <v>5.0999999999999996</v>
      </c>
      <c r="F27" s="612">
        <v>4.2</v>
      </c>
    </row>
    <row r="28" spans="1:6" ht="16.5" customHeight="1" x14ac:dyDescent="0.3">
      <c r="A28" s="610">
        <v>5</v>
      </c>
      <c r="B28" s="611">
        <v>227234223</v>
      </c>
      <c r="C28" s="611">
        <v>4377.7</v>
      </c>
      <c r="D28" s="612">
        <v>1.1000000000000001</v>
      </c>
      <c r="E28" s="612">
        <v>5.0999999999999996</v>
      </c>
      <c r="F28" s="612">
        <v>4.2</v>
      </c>
    </row>
    <row r="29" spans="1:6" ht="16.5" customHeight="1" x14ac:dyDescent="0.3">
      <c r="A29" s="610">
        <v>6</v>
      </c>
      <c r="B29" s="614">
        <v>226628620</v>
      </c>
      <c r="C29" s="614">
        <v>4388.7</v>
      </c>
      <c r="D29" s="615">
        <v>1.1000000000000001</v>
      </c>
      <c r="E29" s="615">
        <v>5.0999999999999996</v>
      </c>
      <c r="F29" s="615">
        <v>4.2</v>
      </c>
    </row>
    <row r="30" spans="1:6" ht="16.5" customHeight="1" x14ac:dyDescent="0.3">
      <c r="A30" s="616" t="s">
        <v>18</v>
      </c>
      <c r="B30" s="617">
        <f>AVERAGE(B24:B29)</f>
        <v>226934064.66666666</v>
      </c>
      <c r="C30" s="618">
        <f>AVERAGE(C24:C29)</f>
        <v>4371.7800000000007</v>
      </c>
      <c r="D30" s="619">
        <v>1.1000000000000001</v>
      </c>
      <c r="E30" s="619">
        <v>5.0999999999999996</v>
      </c>
      <c r="F30" s="619">
        <f>AVERAGE(F24:F29)</f>
        <v>4.2</v>
      </c>
    </row>
    <row r="31" spans="1:6" ht="16.5" customHeight="1" x14ac:dyDescent="0.3">
      <c r="A31" s="620" t="s">
        <v>19</v>
      </c>
      <c r="B31" s="621">
        <f>(STDEV(B24:B29)/B30)</f>
        <v>1.5020302718727939E-3</v>
      </c>
      <c r="C31" s="622"/>
      <c r="D31" s="622"/>
      <c r="E31" s="622"/>
      <c r="F31" s="623"/>
    </row>
    <row r="32" spans="1:6" s="598" customFormat="1" ht="16.5" customHeight="1" x14ac:dyDescent="0.3">
      <c r="A32" s="624" t="s">
        <v>20</v>
      </c>
      <c r="B32" s="625">
        <f>COUNT(B24:B29)</f>
        <v>6</v>
      </c>
      <c r="C32" s="626"/>
      <c r="D32" s="627"/>
      <c r="E32" s="627"/>
      <c r="F32" s="628"/>
    </row>
    <row r="33" spans="1:6" s="598" customFormat="1" ht="15.75" customHeight="1" x14ac:dyDescent="0.25">
      <c r="A33" s="604"/>
      <c r="B33" s="604"/>
      <c r="C33" s="604"/>
      <c r="D33" s="604"/>
      <c r="E33" s="604"/>
      <c r="F33" s="604"/>
    </row>
    <row r="34" spans="1:6" s="598" customFormat="1" ht="16.5" customHeight="1" x14ac:dyDescent="0.3">
      <c r="A34" s="605" t="s">
        <v>21</v>
      </c>
      <c r="B34" s="629" t="s">
        <v>22</v>
      </c>
      <c r="C34" s="630"/>
      <c r="D34" s="630"/>
      <c r="E34" s="630"/>
      <c r="F34" s="630"/>
    </row>
    <row r="35" spans="1:6" ht="16.5" customHeight="1" x14ac:dyDescent="0.3">
      <c r="A35" s="605"/>
      <c r="B35" s="629" t="s">
        <v>147</v>
      </c>
      <c r="C35" s="630"/>
      <c r="D35" s="630"/>
      <c r="E35" s="630"/>
      <c r="F35" s="630"/>
    </row>
    <row r="36" spans="1:6" ht="16.5" customHeight="1" x14ac:dyDescent="0.3">
      <c r="A36" s="605"/>
      <c r="B36" s="629" t="s">
        <v>148</v>
      </c>
      <c r="C36" s="630"/>
      <c r="D36" s="630"/>
      <c r="E36" s="630"/>
      <c r="F36" s="630"/>
    </row>
    <row r="37" spans="1:6" ht="15.75" customHeight="1" x14ac:dyDescent="0.25">
      <c r="A37" s="604"/>
      <c r="B37" s="604" t="s">
        <v>149</v>
      </c>
      <c r="C37" s="604"/>
      <c r="D37" s="604"/>
      <c r="E37" s="604"/>
      <c r="F37" s="604"/>
    </row>
    <row r="38" spans="1:6" ht="16.5" customHeight="1" x14ac:dyDescent="0.3">
      <c r="A38" s="600" t="s">
        <v>1</v>
      </c>
      <c r="B38" s="601" t="s">
        <v>25</v>
      </c>
    </row>
    <row r="39" spans="1:6" ht="16.5" customHeight="1" x14ac:dyDescent="0.3">
      <c r="A39" s="605" t="s">
        <v>4</v>
      </c>
      <c r="B39" s="602" t="s">
        <v>144</v>
      </c>
      <c r="C39" s="604"/>
      <c r="D39" s="604"/>
      <c r="E39" s="604"/>
      <c r="F39" s="604"/>
    </row>
    <row r="40" spans="1:6" ht="16.5" customHeight="1" x14ac:dyDescent="0.3">
      <c r="A40" s="605" t="s">
        <v>6</v>
      </c>
      <c r="B40" s="606">
        <v>99.4</v>
      </c>
      <c r="C40" s="604"/>
      <c r="D40" s="604"/>
      <c r="E40" s="604"/>
      <c r="F40" s="604"/>
    </row>
    <row r="41" spans="1:6" ht="16.5" customHeight="1" x14ac:dyDescent="0.3">
      <c r="A41" s="602" t="s">
        <v>8</v>
      </c>
      <c r="B41" s="606">
        <v>28.84</v>
      </c>
      <c r="C41" s="604"/>
      <c r="D41" s="604"/>
      <c r="E41" s="604"/>
      <c r="F41" s="604"/>
    </row>
    <row r="42" spans="1:6" ht="16.5" customHeight="1" x14ac:dyDescent="0.3">
      <c r="A42" s="602" t="s">
        <v>10</v>
      </c>
      <c r="B42" s="607">
        <v>0.28839999999999999</v>
      </c>
      <c r="C42" s="604"/>
      <c r="D42" s="604"/>
      <c r="E42" s="604"/>
      <c r="F42" s="604"/>
    </row>
    <row r="43" spans="1:6" ht="15.75" customHeight="1" x14ac:dyDescent="0.25">
      <c r="A43" s="604"/>
      <c r="B43" s="604"/>
      <c r="C43" s="604"/>
      <c r="D43" s="604"/>
      <c r="E43" s="604"/>
      <c r="F43" s="604"/>
    </row>
    <row r="44" spans="1:6" ht="16.5" customHeight="1" x14ac:dyDescent="0.3">
      <c r="A44" s="608" t="s">
        <v>13</v>
      </c>
      <c r="B44" s="609" t="s">
        <v>14</v>
      </c>
      <c r="C44" s="608" t="s">
        <v>15</v>
      </c>
      <c r="D44" s="608" t="s">
        <v>16</v>
      </c>
      <c r="E44" s="608" t="s">
        <v>145</v>
      </c>
      <c r="F44" s="608" t="s">
        <v>17</v>
      </c>
    </row>
    <row r="45" spans="1:6" ht="16.5" customHeight="1" x14ac:dyDescent="0.3">
      <c r="A45" s="610">
        <v>1</v>
      </c>
      <c r="B45" s="611">
        <v>28451200</v>
      </c>
      <c r="C45" s="611">
        <v>8779.7999999999993</v>
      </c>
      <c r="D45" s="612">
        <v>1</v>
      </c>
      <c r="E45" s="612">
        <v>10.3</v>
      </c>
      <c r="F45" s="613">
        <v>5</v>
      </c>
    </row>
    <row r="46" spans="1:6" ht="16.5" customHeight="1" x14ac:dyDescent="0.3">
      <c r="A46" s="610">
        <v>2</v>
      </c>
      <c r="B46" s="611">
        <v>28505937</v>
      </c>
      <c r="C46" s="611">
        <v>8549.7000000000007</v>
      </c>
      <c r="D46" s="612">
        <v>1.1000000000000001</v>
      </c>
      <c r="E46" s="612">
        <v>10.199999999999999</v>
      </c>
      <c r="F46" s="612">
        <v>5</v>
      </c>
    </row>
    <row r="47" spans="1:6" ht="16.5" customHeight="1" x14ac:dyDescent="0.3">
      <c r="A47" s="610">
        <v>3</v>
      </c>
      <c r="B47" s="611">
        <v>28435784</v>
      </c>
      <c r="C47" s="611">
        <v>8650</v>
      </c>
      <c r="D47" s="612">
        <v>1.1000000000000001</v>
      </c>
      <c r="E47" s="612">
        <v>10.199999999999999</v>
      </c>
      <c r="F47" s="612">
        <v>5</v>
      </c>
    </row>
    <row r="48" spans="1:6" ht="16.5" customHeight="1" x14ac:dyDescent="0.3">
      <c r="A48" s="610">
        <v>4</v>
      </c>
      <c r="B48" s="611">
        <v>28454054</v>
      </c>
      <c r="C48" s="611">
        <v>8655.1</v>
      </c>
      <c r="D48" s="612">
        <v>1.1000000000000001</v>
      </c>
      <c r="E48" s="612">
        <v>10.199999999999999</v>
      </c>
      <c r="F48" s="612">
        <v>5</v>
      </c>
    </row>
    <row r="49" spans="1:8" ht="16.5" customHeight="1" x14ac:dyDescent="0.3">
      <c r="A49" s="610">
        <v>5</v>
      </c>
      <c r="B49" s="611">
        <v>28435992</v>
      </c>
      <c r="C49" s="611">
        <v>8693.2999999999993</v>
      </c>
      <c r="D49" s="612">
        <v>1</v>
      </c>
      <c r="E49" s="612">
        <v>10.199999999999999</v>
      </c>
      <c r="F49" s="612">
        <v>5</v>
      </c>
    </row>
    <row r="50" spans="1:8" ht="16.5" customHeight="1" x14ac:dyDescent="0.3">
      <c r="A50" s="610">
        <v>6</v>
      </c>
      <c r="B50" s="614">
        <v>28475686</v>
      </c>
      <c r="C50" s="614">
        <v>8716.7000000000007</v>
      </c>
      <c r="D50" s="615">
        <v>1</v>
      </c>
      <c r="E50" s="615">
        <v>10.3</v>
      </c>
      <c r="F50" s="615">
        <v>5</v>
      </c>
    </row>
    <row r="51" spans="1:8" ht="16.5" customHeight="1" x14ac:dyDescent="0.3">
      <c r="A51" s="616" t="s">
        <v>18</v>
      </c>
      <c r="B51" s="617">
        <f>AVERAGE(B45:B50)</f>
        <v>28459775.5</v>
      </c>
      <c r="C51" s="618">
        <f>AVERAGE(C45:C50)</f>
        <v>8674.0999999999985</v>
      </c>
      <c r="D51" s="619">
        <f>AVERAGE(D45:D50)</f>
        <v>1.05</v>
      </c>
      <c r="E51" s="619">
        <v>10.23</v>
      </c>
      <c r="F51" s="619">
        <f>AVERAGE(F45:F50)</f>
        <v>5</v>
      </c>
    </row>
    <row r="52" spans="1:8" ht="16.5" customHeight="1" x14ac:dyDescent="0.3">
      <c r="A52" s="620" t="s">
        <v>19</v>
      </c>
      <c r="B52" s="621">
        <f>(STDEV(B45:B50)/B51)</f>
        <v>9.4695541088305553E-4</v>
      </c>
      <c r="C52" s="622"/>
      <c r="D52" s="622"/>
      <c r="E52" s="622"/>
      <c r="F52" s="623"/>
    </row>
    <row r="53" spans="1:8" s="598" customFormat="1" ht="16.5" customHeight="1" x14ac:dyDescent="0.3">
      <c r="A53" s="624" t="s">
        <v>20</v>
      </c>
      <c r="B53" s="625">
        <f>COUNT(B45:B50)</f>
        <v>6</v>
      </c>
      <c r="C53" s="626"/>
      <c r="D53" s="627"/>
      <c r="E53" s="627"/>
      <c r="F53" s="628"/>
    </row>
    <row r="54" spans="1:8" s="598" customFormat="1" ht="15.75" customHeight="1" x14ac:dyDescent="0.25">
      <c r="A54" s="604"/>
      <c r="B54" s="604"/>
      <c r="C54" s="604"/>
      <c r="D54" s="604"/>
      <c r="E54" s="604"/>
      <c r="F54" s="604"/>
    </row>
    <row r="55" spans="1:8" s="598" customFormat="1" ht="16.5" customHeight="1" x14ac:dyDescent="0.3">
      <c r="A55" s="605" t="s">
        <v>21</v>
      </c>
      <c r="B55" s="629" t="s">
        <v>22</v>
      </c>
      <c r="C55" s="630"/>
      <c r="D55" s="630"/>
      <c r="E55" s="630"/>
      <c r="F55" s="630"/>
    </row>
    <row r="56" spans="1:8" ht="16.5" customHeight="1" x14ac:dyDescent="0.3">
      <c r="A56" s="605"/>
      <c r="B56" s="629" t="s">
        <v>23</v>
      </c>
      <c r="C56" s="630"/>
      <c r="D56" s="630"/>
      <c r="E56" s="630"/>
      <c r="F56" s="630"/>
    </row>
    <row r="57" spans="1:8" ht="16.5" customHeight="1" x14ac:dyDescent="0.3">
      <c r="A57" s="605"/>
      <c r="B57" s="629" t="s">
        <v>24</v>
      </c>
      <c r="C57" s="630"/>
      <c r="D57" s="630"/>
      <c r="E57" s="630"/>
      <c r="F57" s="630"/>
    </row>
    <row r="58" spans="1:8" ht="14.25" customHeight="1" thickBot="1" x14ac:dyDescent="0.3">
      <c r="A58" s="631"/>
      <c r="B58" s="841" t="s">
        <v>150</v>
      </c>
      <c r="D58" s="633"/>
      <c r="E58" s="842"/>
      <c r="G58" s="634"/>
      <c r="H58" s="634"/>
    </row>
    <row r="59" spans="1:8" ht="15" customHeight="1" x14ac:dyDescent="0.3">
      <c r="B59" s="844" t="s">
        <v>26</v>
      </c>
      <c r="C59" s="844"/>
      <c r="F59" s="635" t="s">
        <v>27</v>
      </c>
      <c r="G59" s="636"/>
      <c r="H59" s="635" t="s">
        <v>28</v>
      </c>
    </row>
    <row r="60" spans="1:8" ht="15" customHeight="1" x14ac:dyDescent="0.3">
      <c r="A60" s="637" t="s">
        <v>29</v>
      </c>
      <c r="B60" s="638"/>
      <c r="C60" s="638"/>
      <c r="F60" s="638"/>
      <c r="H60" s="638"/>
    </row>
    <row r="61" spans="1:8" ht="15" customHeight="1" x14ac:dyDescent="0.3">
      <c r="A61" s="637" t="s">
        <v>30</v>
      </c>
      <c r="B61" s="639"/>
      <c r="C61" s="639"/>
      <c r="F61" s="639"/>
      <c r="H61" s="64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4" workbookViewId="0">
      <selection activeCell="B58" sqref="B58"/>
    </sheetView>
  </sheetViews>
  <sheetFormatPr defaultRowHeight="13.5" x14ac:dyDescent="0.25"/>
  <cols>
    <col min="1" max="1" width="27.5703125" style="598" customWidth="1"/>
    <col min="2" max="2" width="20.42578125" style="598" customWidth="1"/>
    <col min="3" max="3" width="31.85546875" style="598" customWidth="1"/>
    <col min="4" max="5" width="25.85546875" style="598" customWidth="1"/>
    <col min="6" max="6" width="25.7109375" style="598" customWidth="1"/>
    <col min="7" max="7" width="23.140625" style="598" customWidth="1"/>
    <col min="8" max="8" width="28.42578125" style="598" customWidth="1"/>
    <col min="9" max="9" width="21.5703125" style="598" customWidth="1"/>
    <col min="10" max="10" width="9.140625" style="598" customWidth="1"/>
    <col min="11" max="16384" width="9.140625" style="634"/>
  </cols>
  <sheetData>
    <row r="14" spans="1:7" ht="15" customHeight="1" x14ac:dyDescent="0.3">
      <c r="A14" s="597"/>
      <c r="C14" s="599"/>
      <c r="G14" s="599"/>
    </row>
    <row r="15" spans="1:7" ht="18.75" customHeight="1" x14ac:dyDescent="0.3">
      <c r="A15" s="843" t="s">
        <v>0</v>
      </c>
      <c r="B15" s="843"/>
      <c r="C15" s="843"/>
      <c r="D15" s="843"/>
      <c r="E15" s="843"/>
      <c r="F15" s="843"/>
    </row>
    <row r="16" spans="1:7" ht="16.5" customHeight="1" x14ac:dyDescent="0.3">
      <c r="A16" s="600" t="s">
        <v>1</v>
      </c>
      <c r="B16" s="601" t="s">
        <v>2</v>
      </c>
    </row>
    <row r="17" spans="1:6" ht="16.5" customHeight="1" x14ac:dyDescent="0.3">
      <c r="A17" s="602" t="s">
        <v>3</v>
      </c>
      <c r="B17" s="602" t="str">
        <f>zidovudine!B18</f>
        <v>LAMIVUDINE 150MG + ZIDOVUDINE 300MG + NEVIRAPINE 200MG TABLETS</v>
      </c>
      <c r="D17" s="603"/>
      <c r="E17" s="603"/>
      <c r="F17" s="604"/>
    </row>
    <row r="18" spans="1:6" ht="16.5" customHeight="1" x14ac:dyDescent="0.3">
      <c r="A18" s="605" t="s">
        <v>4</v>
      </c>
      <c r="B18" s="602" t="s">
        <v>151</v>
      </c>
      <c r="C18" s="604"/>
      <c r="D18" s="604"/>
      <c r="E18" s="604"/>
      <c r="F18" s="604"/>
    </row>
    <row r="19" spans="1:6" ht="16.5" customHeight="1" x14ac:dyDescent="0.3">
      <c r="A19" s="605" t="s">
        <v>6</v>
      </c>
      <c r="B19" s="606">
        <f>Nevirapine!B30</f>
        <v>98.8</v>
      </c>
      <c r="C19" s="604"/>
      <c r="D19" s="604"/>
      <c r="E19" s="604"/>
      <c r="F19" s="604"/>
    </row>
    <row r="20" spans="1:6" ht="16.5" customHeight="1" x14ac:dyDescent="0.3">
      <c r="A20" s="602" t="s">
        <v>8</v>
      </c>
      <c r="B20" s="606">
        <f>Nevirapine!D43</f>
        <v>20.27</v>
      </c>
      <c r="C20" s="604"/>
      <c r="D20" s="604"/>
      <c r="E20" s="604"/>
      <c r="F20" s="604"/>
    </row>
    <row r="21" spans="1:6" ht="16.5" customHeight="1" x14ac:dyDescent="0.3">
      <c r="A21" s="602" t="s">
        <v>10</v>
      </c>
      <c r="B21" s="607">
        <f>B20/Nevirapine!B45</f>
        <v>0.20269999999999999</v>
      </c>
      <c r="C21" s="604"/>
      <c r="D21" s="604"/>
      <c r="E21" s="604"/>
      <c r="F21" s="604"/>
    </row>
    <row r="22" spans="1:6" ht="15.75" customHeight="1" x14ac:dyDescent="0.25">
      <c r="A22" s="604"/>
      <c r="B22" s="604"/>
      <c r="C22" s="604"/>
      <c r="D22" s="604"/>
      <c r="E22" s="604"/>
      <c r="F22" s="604"/>
    </row>
    <row r="23" spans="1:6" ht="16.5" customHeight="1" x14ac:dyDescent="0.3">
      <c r="A23" s="608" t="s">
        <v>13</v>
      </c>
      <c r="B23" s="609" t="s">
        <v>14</v>
      </c>
      <c r="C23" s="608" t="s">
        <v>15</v>
      </c>
      <c r="D23" s="608" t="s">
        <v>16</v>
      </c>
      <c r="E23" s="608" t="s">
        <v>17</v>
      </c>
    </row>
    <row r="24" spans="1:6" ht="16.5" customHeight="1" x14ac:dyDescent="0.3">
      <c r="A24" s="610">
        <v>1</v>
      </c>
      <c r="B24" s="611">
        <v>104462782</v>
      </c>
      <c r="C24" s="611">
        <v>4054.1</v>
      </c>
      <c r="D24" s="612">
        <v>1.1000000000000001</v>
      </c>
      <c r="E24" s="613">
        <v>7.1</v>
      </c>
    </row>
    <row r="25" spans="1:6" ht="16.5" customHeight="1" x14ac:dyDescent="0.3">
      <c r="A25" s="610">
        <v>2</v>
      </c>
      <c r="B25" s="611">
        <v>104520921</v>
      </c>
      <c r="C25" s="611">
        <v>1089.8</v>
      </c>
      <c r="D25" s="612">
        <v>1.1000000000000001</v>
      </c>
      <c r="E25" s="612">
        <v>7.1</v>
      </c>
    </row>
    <row r="26" spans="1:6" ht="16.5" customHeight="1" x14ac:dyDescent="0.3">
      <c r="A26" s="610">
        <v>3</v>
      </c>
      <c r="B26" s="611">
        <v>104862814</v>
      </c>
      <c r="C26" s="611">
        <v>4091.1</v>
      </c>
      <c r="D26" s="612">
        <v>1.1000000000000001</v>
      </c>
      <c r="E26" s="612">
        <v>7.1</v>
      </c>
    </row>
    <row r="27" spans="1:6" ht="16.5" customHeight="1" x14ac:dyDescent="0.3">
      <c r="A27" s="610">
        <v>4</v>
      </c>
      <c r="B27" s="611">
        <v>104868880</v>
      </c>
      <c r="C27" s="611">
        <v>4102.7</v>
      </c>
      <c r="D27" s="612">
        <v>1.1000000000000001</v>
      </c>
      <c r="E27" s="612">
        <v>7.2</v>
      </c>
    </row>
    <row r="28" spans="1:6" ht="16.5" customHeight="1" x14ac:dyDescent="0.3">
      <c r="A28" s="610">
        <v>5</v>
      </c>
      <c r="B28" s="611">
        <v>104896992</v>
      </c>
      <c r="C28" s="611">
        <v>4093.3</v>
      </c>
      <c r="D28" s="612">
        <v>1.1000000000000001</v>
      </c>
      <c r="E28" s="612">
        <v>7.2</v>
      </c>
    </row>
    <row r="29" spans="1:6" ht="16.5" customHeight="1" x14ac:dyDescent="0.3">
      <c r="A29" s="610">
        <v>6</v>
      </c>
      <c r="B29" s="614">
        <v>104561877</v>
      </c>
      <c r="C29" s="614">
        <v>4102.3999999999996</v>
      </c>
      <c r="D29" s="615">
        <v>1.1000000000000001</v>
      </c>
      <c r="E29" s="615">
        <v>7.2</v>
      </c>
    </row>
    <row r="30" spans="1:6" ht="16.5" customHeight="1" x14ac:dyDescent="0.3">
      <c r="A30" s="616" t="s">
        <v>18</v>
      </c>
      <c r="B30" s="617">
        <f>AVERAGE(B24:B29)</f>
        <v>104695711</v>
      </c>
      <c r="C30" s="619">
        <f>AVERAGE(C24:C29)</f>
        <v>3588.9</v>
      </c>
      <c r="D30" s="619">
        <f t="shared" ref="D30:E30" si="0">AVERAGE(D24:D29)</f>
        <v>1.0999999999999999</v>
      </c>
      <c r="E30" s="619">
        <f t="shared" si="0"/>
        <v>7.1499999999999995</v>
      </c>
    </row>
    <row r="31" spans="1:6" ht="16.5" customHeight="1" x14ac:dyDescent="0.3">
      <c r="A31" s="620" t="s">
        <v>19</v>
      </c>
      <c r="B31" s="621">
        <f>(STDEV(B24:B29)/B30)</f>
        <v>1.9157533955107219E-3</v>
      </c>
      <c r="C31" s="622"/>
      <c r="D31" s="622"/>
      <c r="E31" s="623"/>
    </row>
    <row r="32" spans="1:6" s="598" customFormat="1" ht="16.5" customHeight="1" x14ac:dyDescent="0.3">
      <c r="A32" s="624" t="s">
        <v>20</v>
      </c>
      <c r="B32" s="625">
        <f>COUNT(B24:B29)</f>
        <v>6</v>
      </c>
      <c r="C32" s="626"/>
      <c r="D32" s="627"/>
      <c r="E32" s="628"/>
    </row>
    <row r="33" spans="1:6" s="598" customFormat="1" ht="15.75" customHeight="1" x14ac:dyDescent="0.25">
      <c r="A33" s="604"/>
      <c r="B33" s="604"/>
      <c r="C33" s="604"/>
      <c r="D33" s="604"/>
      <c r="E33" s="604"/>
      <c r="F33" s="604"/>
    </row>
    <row r="34" spans="1:6" s="598" customFormat="1" ht="16.5" customHeight="1" x14ac:dyDescent="0.3">
      <c r="A34" s="605" t="s">
        <v>21</v>
      </c>
      <c r="B34" s="629" t="s">
        <v>22</v>
      </c>
      <c r="C34" s="630"/>
      <c r="D34" s="630"/>
      <c r="E34" s="630"/>
      <c r="F34" s="630"/>
    </row>
    <row r="35" spans="1:6" ht="16.5" customHeight="1" x14ac:dyDescent="0.3">
      <c r="A35" s="605"/>
      <c r="B35" s="629" t="s">
        <v>147</v>
      </c>
      <c r="C35" s="630"/>
      <c r="D35" s="630"/>
      <c r="E35" s="630"/>
      <c r="F35" s="630"/>
    </row>
    <row r="36" spans="1:6" ht="16.5" customHeight="1" x14ac:dyDescent="0.3">
      <c r="A36" s="605"/>
      <c r="B36" s="629" t="s">
        <v>148</v>
      </c>
      <c r="C36" s="630"/>
      <c r="D36" s="630"/>
      <c r="E36" s="630"/>
      <c r="F36" s="630"/>
    </row>
    <row r="37" spans="1:6" ht="15.75" customHeight="1" x14ac:dyDescent="0.25">
      <c r="A37" s="604"/>
      <c r="B37" s="604" t="s">
        <v>149</v>
      </c>
      <c r="C37" s="604"/>
      <c r="D37" s="604"/>
      <c r="E37" s="604"/>
      <c r="F37" s="604"/>
    </row>
    <row r="38" spans="1:6" ht="16.5" customHeight="1" x14ac:dyDescent="0.3">
      <c r="A38" s="600" t="s">
        <v>1</v>
      </c>
      <c r="B38" s="601" t="s">
        <v>25</v>
      </c>
    </row>
    <row r="39" spans="1:6" ht="16.5" customHeight="1" x14ac:dyDescent="0.3">
      <c r="A39" s="605" t="s">
        <v>4</v>
      </c>
      <c r="B39" s="602" t="s">
        <v>144</v>
      </c>
      <c r="C39" s="604"/>
      <c r="D39" s="604"/>
      <c r="E39" s="604"/>
      <c r="F39" s="604"/>
    </row>
    <row r="40" spans="1:6" ht="16.5" customHeight="1" x14ac:dyDescent="0.3">
      <c r="A40" s="605" t="s">
        <v>6</v>
      </c>
      <c r="B40" s="606">
        <v>99.4</v>
      </c>
      <c r="C40" s="604"/>
      <c r="D40" s="604"/>
      <c r="E40" s="604"/>
      <c r="F40" s="604"/>
    </row>
    <row r="41" spans="1:6" ht="16.5" customHeight="1" x14ac:dyDescent="0.3">
      <c r="A41" s="602" t="s">
        <v>8</v>
      </c>
      <c r="B41" s="606">
        <v>28.84</v>
      </c>
      <c r="C41" s="604"/>
      <c r="D41" s="604"/>
      <c r="E41" s="604"/>
      <c r="F41" s="604"/>
    </row>
    <row r="42" spans="1:6" ht="16.5" customHeight="1" x14ac:dyDescent="0.3">
      <c r="A42" s="602" t="s">
        <v>10</v>
      </c>
      <c r="B42" s="607">
        <v>0.28839999999999999</v>
      </c>
      <c r="C42" s="604"/>
      <c r="D42" s="604"/>
      <c r="E42" s="604"/>
      <c r="F42" s="604"/>
    </row>
    <row r="43" spans="1:6" ht="15.75" customHeight="1" x14ac:dyDescent="0.25">
      <c r="A43" s="604"/>
      <c r="B43" s="604"/>
      <c r="C43" s="604"/>
      <c r="D43" s="604"/>
      <c r="E43" s="604"/>
      <c r="F43" s="604"/>
    </row>
    <row r="44" spans="1:6" ht="16.5" customHeight="1" x14ac:dyDescent="0.3">
      <c r="A44" s="608" t="s">
        <v>13</v>
      </c>
      <c r="B44" s="609" t="s">
        <v>14</v>
      </c>
      <c r="C44" s="608" t="s">
        <v>15</v>
      </c>
      <c r="D44" s="608" t="s">
        <v>16</v>
      </c>
      <c r="E44" s="608" t="s">
        <v>17</v>
      </c>
    </row>
    <row r="45" spans="1:6" ht="16.5" customHeight="1" x14ac:dyDescent="0.3">
      <c r="A45" s="610">
        <v>1</v>
      </c>
      <c r="B45" s="611">
        <v>12835806</v>
      </c>
      <c r="C45" s="611">
        <v>8707.7000000000007</v>
      </c>
      <c r="D45" s="612">
        <v>1</v>
      </c>
      <c r="E45" s="612">
        <v>12.8</v>
      </c>
    </row>
    <row r="46" spans="1:6" ht="16.5" customHeight="1" x14ac:dyDescent="0.3">
      <c r="A46" s="610">
        <v>2</v>
      </c>
      <c r="B46" s="611">
        <v>12858915</v>
      </c>
      <c r="C46" s="611">
        <v>8814.2000000000007</v>
      </c>
      <c r="D46" s="612">
        <v>1.1000000000000001</v>
      </c>
      <c r="E46" s="612">
        <v>12.8</v>
      </c>
    </row>
    <row r="47" spans="1:6" ht="16.5" customHeight="1" x14ac:dyDescent="0.3">
      <c r="A47" s="610">
        <v>3</v>
      </c>
      <c r="B47" s="611">
        <v>12820134</v>
      </c>
      <c r="C47" s="611">
        <v>8812.2000000000007</v>
      </c>
      <c r="D47" s="612">
        <v>1.1000000000000001</v>
      </c>
      <c r="E47" s="612">
        <v>12.8</v>
      </c>
    </row>
    <row r="48" spans="1:6" ht="16.5" customHeight="1" x14ac:dyDescent="0.3">
      <c r="A48" s="610">
        <v>4</v>
      </c>
      <c r="B48" s="611">
        <v>12835979</v>
      </c>
      <c r="C48" s="611">
        <v>8869.6</v>
      </c>
      <c r="D48" s="612">
        <v>1.1000000000000001</v>
      </c>
      <c r="E48" s="612">
        <v>12.8</v>
      </c>
    </row>
    <row r="49" spans="1:8" ht="16.5" customHeight="1" x14ac:dyDescent="0.3">
      <c r="A49" s="610">
        <v>5</v>
      </c>
      <c r="B49" s="611">
        <v>12830062</v>
      </c>
      <c r="C49" s="611">
        <v>8730</v>
      </c>
      <c r="D49" s="612">
        <v>1</v>
      </c>
      <c r="E49" s="612">
        <v>12.8</v>
      </c>
    </row>
    <row r="50" spans="1:8" ht="16.5" customHeight="1" x14ac:dyDescent="0.3">
      <c r="A50" s="610">
        <v>6</v>
      </c>
      <c r="B50" s="614">
        <v>12850174</v>
      </c>
      <c r="C50" s="614">
        <v>8808</v>
      </c>
      <c r="D50" s="615">
        <v>1</v>
      </c>
      <c r="E50" s="615">
        <v>12.8</v>
      </c>
    </row>
    <row r="51" spans="1:8" ht="16.5" customHeight="1" x14ac:dyDescent="0.3">
      <c r="A51" s="616" t="s">
        <v>18</v>
      </c>
      <c r="B51" s="617">
        <f>AVERAGE(B45:B50)</f>
        <v>12838511.666666666</v>
      </c>
      <c r="C51" s="618">
        <f>AVERAGE(C45:C50)</f>
        <v>8790.2833333333347</v>
      </c>
      <c r="D51" s="619">
        <f>AVERAGE(D45:D50)</f>
        <v>1.05</v>
      </c>
      <c r="E51" s="619">
        <f>AVERAGE(E45:E50)</f>
        <v>12.799999999999999</v>
      </c>
    </row>
    <row r="52" spans="1:8" ht="16.5" customHeight="1" x14ac:dyDescent="0.3">
      <c r="A52" s="620" t="s">
        <v>19</v>
      </c>
      <c r="B52" s="621">
        <f>(STDEV(B45:B50)/B51)</f>
        <v>1.087782192445411E-3</v>
      </c>
      <c r="C52" s="622"/>
      <c r="D52" s="622"/>
      <c r="E52" s="623"/>
    </row>
    <row r="53" spans="1:8" s="598" customFormat="1" ht="16.5" customHeight="1" x14ac:dyDescent="0.3">
      <c r="A53" s="624" t="s">
        <v>20</v>
      </c>
      <c r="B53" s="625">
        <f>COUNT(B45:B50)</f>
        <v>6</v>
      </c>
      <c r="C53" s="626"/>
      <c r="D53" s="627"/>
      <c r="E53" s="628"/>
    </row>
    <row r="54" spans="1:8" s="598" customFormat="1" ht="15.75" customHeight="1" x14ac:dyDescent="0.25">
      <c r="A54" s="604"/>
      <c r="B54" s="604"/>
      <c r="C54" s="604"/>
      <c r="D54" s="604"/>
      <c r="E54" s="604"/>
      <c r="F54" s="604"/>
    </row>
    <row r="55" spans="1:8" s="598" customFormat="1" ht="16.5" customHeight="1" x14ac:dyDescent="0.3">
      <c r="A55" s="605" t="s">
        <v>21</v>
      </c>
      <c r="B55" s="629" t="s">
        <v>22</v>
      </c>
      <c r="C55" s="630"/>
      <c r="D55" s="630"/>
      <c r="E55" s="630"/>
      <c r="F55" s="630"/>
    </row>
    <row r="56" spans="1:8" ht="16.5" customHeight="1" x14ac:dyDescent="0.3">
      <c r="A56" s="605"/>
      <c r="B56" s="629" t="s">
        <v>23</v>
      </c>
      <c r="C56" s="630"/>
      <c r="D56" s="630"/>
      <c r="E56" s="630"/>
      <c r="F56" s="630"/>
    </row>
    <row r="57" spans="1:8" ht="16.5" customHeight="1" x14ac:dyDescent="0.3">
      <c r="A57" s="605"/>
      <c r="B57" s="629" t="s">
        <v>24</v>
      </c>
      <c r="C57" s="630"/>
      <c r="D57" s="630"/>
      <c r="E57" s="630"/>
      <c r="F57" s="630"/>
    </row>
    <row r="58" spans="1:8" ht="19.5" customHeight="1" thickBot="1" x14ac:dyDescent="0.3">
      <c r="A58" s="631"/>
      <c r="B58" s="629" t="s">
        <v>152</v>
      </c>
      <c r="D58" s="633"/>
      <c r="E58" s="633"/>
      <c r="G58" s="634"/>
      <c r="H58" s="634"/>
    </row>
    <row r="59" spans="1:8" ht="15" customHeight="1" x14ac:dyDescent="0.3">
      <c r="B59" s="844" t="s">
        <v>26</v>
      </c>
      <c r="C59" s="844"/>
      <c r="F59" s="635" t="s">
        <v>27</v>
      </c>
      <c r="G59" s="636"/>
      <c r="H59" s="635" t="s">
        <v>28</v>
      </c>
    </row>
    <row r="60" spans="1:8" ht="15" customHeight="1" x14ac:dyDescent="0.3">
      <c r="A60" s="637" t="s">
        <v>29</v>
      </c>
      <c r="B60" s="638"/>
      <c r="C60" s="638"/>
      <c r="F60" s="638"/>
      <c r="H60" s="638"/>
    </row>
    <row r="61" spans="1:8" ht="15" customHeight="1" x14ac:dyDescent="0.3">
      <c r="A61" s="637" t="s">
        <v>30</v>
      </c>
      <c r="B61" s="639"/>
      <c r="C61" s="639"/>
      <c r="F61" s="639"/>
      <c r="H61" s="64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848" t="s">
        <v>31</v>
      </c>
      <c r="B11" s="849"/>
      <c r="C11" s="849"/>
      <c r="D11" s="849"/>
      <c r="E11" s="849"/>
      <c r="F11" s="850"/>
      <c r="G11" s="45"/>
    </row>
    <row r="12" spans="1:7" ht="16.5" customHeight="1" x14ac:dyDescent="0.3">
      <c r="A12" s="847" t="s">
        <v>32</v>
      </c>
      <c r="B12" s="847"/>
      <c r="C12" s="847"/>
      <c r="D12" s="847"/>
      <c r="E12" s="847"/>
      <c r="F12" s="847"/>
      <c r="G12" s="44"/>
    </row>
    <row r="14" spans="1:7" ht="16.5" customHeight="1" x14ac:dyDescent="0.3">
      <c r="A14" s="852" t="s">
        <v>33</v>
      </c>
      <c r="B14" s="852"/>
      <c r="C14" s="14" t="s">
        <v>5</v>
      </c>
    </row>
    <row r="15" spans="1:7" ht="16.5" customHeight="1" x14ac:dyDescent="0.3">
      <c r="A15" s="852" t="s">
        <v>34</v>
      </c>
      <c r="B15" s="852"/>
      <c r="C15" s="14" t="s">
        <v>7</v>
      </c>
    </row>
    <row r="16" spans="1:7" ht="16.5" customHeight="1" x14ac:dyDescent="0.3">
      <c r="A16" s="852" t="s">
        <v>35</v>
      </c>
      <c r="B16" s="852"/>
      <c r="C16" s="14" t="s">
        <v>9</v>
      </c>
    </row>
    <row r="17" spans="1:5" ht="16.5" customHeight="1" x14ac:dyDescent="0.3">
      <c r="A17" s="852" t="s">
        <v>36</v>
      </c>
      <c r="B17" s="852"/>
      <c r="C17" s="14" t="s">
        <v>11</v>
      </c>
    </row>
    <row r="18" spans="1:5" ht="16.5" customHeight="1" x14ac:dyDescent="0.3">
      <c r="A18" s="852" t="s">
        <v>37</v>
      </c>
      <c r="B18" s="852"/>
      <c r="C18" s="51" t="s">
        <v>12</v>
      </c>
    </row>
    <row r="19" spans="1:5" ht="16.5" customHeight="1" x14ac:dyDescent="0.3">
      <c r="A19" s="852" t="s">
        <v>38</v>
      </c>
      <c r="B19" s="852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847" t="s">
        <v>1</v>
      </c>
      <c r="B21" s="847"/>
      <c r="C21" s="13" t="s">
        <v>39</v>
      </c>
      <c r="D21" s="20"/>
    </row>
    <row r="22" spans="1:5" ht="15.75" customHeight="1" x14ac:dyDescent="0.3">
      <c r="A22" s="851"/>
      <c r="B22" s="851"/>
      <c r="C22" s="11"/>
      <c r="D22" s="851"/>
      <c r="E22" s="851"/>
    </row>
    <row r="23" spans="1:5" ht="33.75" customHeight="1" x14ac:dyDescent="0.3">
      <c r="C23" s="40" t="s">
        <v>40</v>
      </c>
      <c r="D23" s="39" t="s">
        <v>41</v>
      </c>
      <c r="E23" s="6"/>
    </row>
    <row r="24" spans="1:5" ht="15.75" customHeight="1" x14ac:dyDescent="0.3">
      <c r="C24" s="49">
        <v>1131.68</v>
      </c>
      <c r="D24" s="41">
        <f t="shared" ref="D24:D43" si="0">(C24-$C$46)/$C$46</f>
        <v>-5.3564181856788817E-4</v>
      </c>
      <c r="E24" s="7"/>
    </row>
    <row r="25" spans="1:5" ht="15.75" customHeight="1" x14ac:dyDescent="0.3">
      <c r="C25" s="49">
        <v>1124.1400000000001</v>
      </c>
      <c r="D25" s="42">
        <f t="shared" si="0"/>
        <v>-7.1947338416556523E-3</v>
      </c>
      <c r="E25" s="7"/>
    </row>
    <row r="26" spans="1:5" ht="15.75" customHeight="1" x14ac:dyDescent="0.3">
      <c r="C26" s="49">
        <v>1144.5</v>
      </c>
      <c r="D26" s="42">
        <f t="shared" si="0"/>
        <v>1.0786580958087965E-2</v>
      </c>
      <c r="E26" s="7"/>
    </row>
    <row r="27" spans="1:5" ht="15.75" customHeight="1" x14ac:dyDescent="0.3">
      <c r="C27" s="49">
        <v>1168.51</v>
      </c>
      <c r="D27" s="42">
        <f t="shared" si="0"/>
        <v>3.1991461524976283E-2</v>
      </c>
      <c r="E27" s="7"/>
    </row>
    <row r="28" spans="1:5" ht="15.75" customHeight="1" x14ac:dyDescent="0.3">
      <c r="C28" s="49">
        <v>1134.77</v>
      </c>
      <c r="D28" s="42">
        <f t="shared" si="0"/>
        <v>2.1933494747133778E-3</v>
      </c>
      <c r="E28" s="7"/>
    </row>
    <row r="29" spans="1:5" ht="15.75" customHeight="1" x14ac:dyDescent="0.3">
      <c r="C29" s="49">
        <v>1123.77</v>
      </c>
      <c r="D29" s="42">
        <f t="shared" si="0"/>
        <v>-7.5215062618868558E-3</v>
      </c>
      <c r="E29" s="7"/>
    </row>
    <row r="30" spans="1:5" ht="15.75" customHeight="1" x14ac:dyDescent="0.3">
      <c r="C30" s="49">
        <v>1144.26</v>
      </c>
      <c r="D30" s="42">
        <f t="shared" si="0"/>
        <v>1.0574620469289406E-2</v>
      </c>
      <c r="E30" s="7"/>
    </row>
    <row r="31" spans="1:5" ht="15.75" customHeight="1" x14ac:dyDescent="0.3">
      <c r="C31" s="49">
        <v>1144.27</v>
      </c>
      <c r="D31" s="42">
        <f t="shared" si="0"/>
        <v>1.058345215632267E-2</v>
      </c>
      <c r="E31" s="7"/>
    </row>
    <row r="32" spans="1:5" ht="15.75" customHeight="1" x14ac:dyDescent="0.3">
      <c r="C32" s="49">
        <v>1116.04</v>
      </c>
      <c r="D32" s="42">
        <f t="shared" si="0"/>
        <v>-1.4348400338606855E-2</v>
      </c>
      <c r="E32" s="7"/>
    </row>
    <row r="33" spans="1:7" ht="15.75" customHeight="1" x14ac:dyDescent="0.3">
      <c r="C33" s="49">
        <v>1142.92</v>
      </c>
      <c r="D33" s="42">
        <f t="shared" si="0"/>
        <v>9.3911744068309044E-3</v>
      </c>
      <c r="E33" s="7"/>
    </row>
    <row r="34" spans="1:7" ht="15.75" customHeight="1" x14ac:dyDescent="0.3">
      <c r="C34" s="49">
        <v>1107.0899999999999</v>
      </c>
      <c r="D34" s="42">
        <f t="shared" si="0"/>
        <v>-2.2252760233386175E-2</v>
      </c>
      <c r="E34" s="7"/>
    </row>
    <row r="35" spans="1:7" ht="15.75" customHeight="1" x14ac:dyDescent="0.3">
      <c r="C35" s="49">
        <v>1126.22</v>
      </c>
      <c r="D35" s="42">
        <f t="shared" si="0"/>
        <v>-5.3577429387349452E-3</v>
      </c>
      <c r="E35" s="7"/>
    </row>
    <row r="36" spans="1:7" ht="15.75" customHeight="1" x14ac:dyDescent="0.3">
      <c r="C36" s="49">
        <v>1142.08</v>
      </c>
      <c r="D36" s="42">
        <f t="shared" si="0"/>
        <v>8.649312696035848E-3</v>
      </c>
      <c r="E36" s="7"/>
    </row>
    <row r="37" spans="1:7" ht="15.75" customHeight="1" x14ac:dyDescent="0.3">
      <c r="C37" s="49">
        <v>1103.67</v>
      </c>
      <c r="D37" s="42">
        <f t="shared" si="0"/>
        <v>-2.5273197198765383E-2</v>
      </c>
      <c r="E37" s="7"/>
    </row>
    <row r="38" spans="1:7" ht="15.75" customHeight="1" x14ac:dyDescent="0.3">
      <c r="C38" s="49">
        <v>1143.51</v>
      </c>
      <c r="D38" s="42">
        <f t="shared" si="0"/>
        <v>9.9122439417939356E-3</v>
      </c>
      <c r="E38" s="7"/>
    </row>
    <row r="39" spans="1:7" ht="15.75" customHeight="1" x14ac:dyDescent="0.3">
      <c r="C39" s="49">
        <v>1138.23</v>
      </c>
      <c r="D39" s="42">
        <f t="shared" si="0"/>
        <v>5.2491131882258469E-3</v>
      </c>
      <c r="E39" s="7"/>
    </row>
    <row r="40" spans="1:7" ht="15.75" customHeight="1" x14ac:dyDescent="0.3">
      <c r="C40" s="49">
        <v>1124.8800000000001</v>
      </c>
      <c r="D40" s="42">
        <f t="shared" si="0"/>
        <v>-6.5411890011934475E-3</v>
      </c>
      <c r="E40" s="7"/>
    </row>
    <row r="41" spans="1:7" ht="15.75" customHeight="1" x14ac:dyDescent="0.3">
      <c r="C41" s="49">
        <v>1135.45</v>
      </c>
      <c r="D41" s="42">
        <f t="shared" si="0"/>
        <v>2.793904192975994E-3</v>
      </c>
      <c r="E41" s="7"/>
    </row>
    <row r="42" spans="1:7" ht="15.75" customHeight="1" x14ac:dyDescent="0.3">
      <c r="C42" s="49">
        <v>1121.78</v>
      </c>
      <c r="D42" s="42">
        <f t="shared" si="0"/>
        <v>-9.2790119815081788E-3</v>
      </c>
      <c r="E42" s="7"/>
    </row>
    <row r="43" spans="1:7" ht="16.5" customHeight="1" x14ac:dyDescent="0.3">
      <c r="C43" s="50">
        <v>1127.96</v>
      </c>
      <c r="D43" s="43">
        <f t="shared" si="0"/>
        <v>-3.8210293949454458E-3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42</v>
      </c>
      <c r="C45" s="37">
        <f>SUM(C24:C44)</f>
        <v>22645.73</v>
      </c>
      <c r="D45" s="32"/>
      <c r="E45" s="8"/>
    </row>
    <row r="46" spans="1:7" ht="17.25" customHeight="1" x14ac:dyDescent="0.3">
      <c r="B46" s="36" t="s">
        <v>43</v>
      </c>
      <c r="C46" s="38">
        <f>AVERAGE(C24:C44)</f>
        <v>1132.2864999999999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43</v>
      </c>
      <c r="C48" s="39" t="s">
        <v>44</v>
      </c>
      <c r="D48" s="34"/>
      <c r="G48" s="12"/>
    </row>
    <row r="49" spans="1:6" ht="17.25" customHeight="1" x14ac:dyDescent="0.3">
      <c r="B49" s="845">
        <f>C46</f>
        <v>1132.2864999999999</v>
      </c>
      <c r="C49" s="47">
        <f>-IF(C46&lt;=80,10%,IF(C46&lt;250,7.5%,5%))</f>
        <v>-0.05</v>
      </c>
      <c r="D49" s="35">
        <f>IF(C46&lt;=80,C46*0.9,IF(C46&lt;250,C46*0.925,C46*0.95))</f>
        <v>1075.6721749999999</v>
      </c>
    </row>
    <row r="50" spans="1:6" ht="17.25" customHeight="1" x14ac:dyDescent="0.3">
      <c r="B50" s="846"/>
      <c r="C50" s="48">
        <f>IF(C46&lt;=80, 10%, IF(C46&lt;250, 7.5%, 5%))</f>
        <v>0.05</v>
      </c>
      <c r="D50" s="35">
        <f>IF(C46&lt;=80, C46*1.1, IF(C46&lt;250, C46*1.075, C46*1.05))</f>
        <v>1188.9008249999999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26</v>
      </c>
      <c r="C52" s="21"/>
      <c r="D52" s="22" t="s">
        <v>27</v>
      </c>
      <c r="E52" s="23"/>
      <c r="F52" s="22" t="s">
        <v>28</v>
      </c>
    </row>
    <row r="53" spans="1:6" ht="34.5" customHeight="1" x14ac:dyDescent="0.3">
      <c r="A53" s="24" t="s">
        <v>29</v>
      </c>
      <c r="B53" s="25"/>
      <c r="C53" s="26"/>
      <c r="D53" s="25"/>
      <c r="E53" s="15"/>
      <c r="F53" s="27"/>
    </row>
    <row r="54" spans="1:6" ht="34.5" customHeight="1" x14ac:dyDescent="0.3">
      <c r="A54" s="24" t="s">
        <v>30</v>
      </c>
      <c r="B54" s="28"/>
      <c r="C54" s="29"/>
      <c r="D54" s="28"/>
      <c r="E54" s="15"/>
      <c r="F54" s="3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7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7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7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7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7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7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7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7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6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6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6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6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6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6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6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6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5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5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" zoomScale="55" zoomScaleNormal="40" zoomScaleSheetLayoutView="55" zoomScalePageLayoutView="50" workbookViewId="0">
      <selection activeCell="G178" sqref="G17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53" t="s">
        <v>45</v>
      </c>
      <c r="B1" s="853"/>
      <c r="C1" s="853"/>
      <c r="D1" s="853"/>
      <c r="E1" s="853"/>
      <c r="F1" s="853"/>
      <c r="G1" s="853"/>
      <c r="H1" s="853"/>
      <c r="I1" s="853"/>
    </row>
    <row r="2" spans="1:9" ht="18.75" customHeight="1" x14ac:dyDescent="0.25">
      <c r="A2" s="853"/>
      <c r="B2" s="853"/>
      <c r="C2" s="853"/>
      <c r="D2" s="853"/>
      <c r="E2" s="853"/>
      <c r="F2" s="853"/>
      <c r="G2" s="853"/>
      <c r="H2" s="853"/>
      <c r="I2" s="853"/>
    </row>
    <row r="3" spans="1:9" ht="18.75" customHeight="1" x14ac:dyDescent="0.25">
      <c r="A3" s="853"/>
      <c r="B3" s="853"/>
      <c r="C3" s="853"/>
      <c r="D3" s="853"/>
      <c r="E3" s="853"/>
      <c r="F3" s="853"/>
      <c r="G3" s="853"/>
      <c r="H3" s="853"/>
      <c r="I3" s="853"/>
    </row>
    <row r="4" spans="1:9" ht="18.75" customHeight="1" x14ac:dyDescent="0.25">
      <c r="A4" s="853"/>
      <c r="B4" s="853"/>
      <c r="C4" s="853"/>
      <c r="D4" s="853"/>
      <c r="E4" s="853"/>
      <c r="F4" s="853"/>
      <c r="G4" s="853"/>
      <c r="H4" s="853"/>
      <c r="I4" s="853"/>
    </row>
    <row r="5" spans="1:9" ht="18.75" customHeight="1" x14ac:dyDescent="0.25">
      <c r="A5" s="853"/>
      <c r="B5" s="853"/>
      <c r="C5" s="853"/>
      <c r="D5" s="853"/>
      <c r="E5" s="853"/>
      <c r="F5" s="853"/>
      <c r="G5" s="853"/>
      <c r="H5" s="853"/>
      <c r="I5" s="853"/>
    </row>
    <row r="6" spans="1:9" ht="18.75" customHeight="1" x14ac:dyDescent="0.25">
      <c r="A6" s="853"/>
      <c r="B6" s="853"/>
      <c r="C6" s="853"/>
      <c r="D6" s="853"/>
      <c r="E6" s="853"/>
      <c r="F6" s="853"/>
      <c r="G6" s="853"/>
      <c r="H6" s="853"/>
      <c r="I6" s="853"/>
    </row>
    <row r="7" spans="1:9" ht="18.75" customHeight="1" x14ac:dyDescent="0.25">
      <c r="A7" s="853"/>
      <c r="B7" s="853"/>
      <c r="C7" s="853"/>
      <c r="D7" s="853"/>
      <c r="E7" s="853"/>
      <c r="F7" s="853"/>
      <c r="G7" s="853"/>
      <c r="H7" s="853"/>
      <c r="I7" s="853"/>
    </row>
    <row r="8" spans="1:9" x14ac:dyDescent="0.25">
      <c r="A8" s="854" t="s">
        <v>46</v>
      </c>
      <c r="B8" s="854"/>
      <c r="C8" s="854"/>
      <c r="D8" s="854"/>
      <c r="E8" s="854"/>
      <c r="F8" s="854"/>
      <c r="G8" s="854"/>
      <c r="H8" s="854"/>
      <c r="I8" s="854"/>
    </row>
    <row r="9" spans="1:9" x14ac:dyDescent="0.25">
      <c r="A9" s="854"/>
      <c r="B9" s="854"/>
      <c r="C9" s="854"/>
      <c r="D9" s="854"/>
      <c r="E9" s="854"/>
      <c r="F9" s="854"/>
      <c r="G9" s="854"/>
      <c r="H9" s="854"/>
      <c r="I9" s="854"/>
    </row>
    <row r="10" spans="1:9" x14ac:dyDescent="0.25">
      <c r="A10" s="854"/>
      <c r="B10" s="854"/>
      <c r="C10" s="854"/>
      <c r="D10" s="854"/>
      <c r="E10" s="854"/>
      <c r="F10" s="854"/>
      <c r="G10" s="854"/>
      <c r="H10" s="854"/>
      <c r="I10" s="854"/>
    </row>
    <row r="11" spans="1:9" x14ac:dyDescent="0.25">
      <c r="A11" s="854"/>
      <c r="B11" s="854"/>
      <c r="C11" s="854"/>
      <c r="D11" s="854"/>
      <c r="E11" s="854"/>
      <c r="F11" s="854"/>
      <c r="G11" s="854"/>
      <c r="H11" s="854"/>
      <c r="I11" s="854"/>
    </row>
    <row r="12" spans="1:9" x14ac:dyDescent="0.25">
      <c r="A12" s="854"/>
      <c r="B12" s="854"/>
      <c r="C12" s="854"/>
      <c r="D12" s="854"/>
      <c r="E12" s="854"/>
      <c r="F12" s="854"/>
      <c r="G12" s="854"/>
      <c r="H12" s="854"/>
      <c r="I12" s="854"/>
    </row>
    <row r="13" spans="1:9" x14ac:dyDescent="0.25">
      <c r="A13" s="854"/>
      <c r="B13" s="854"/>
      <c r="C13" s="854"/>
      <c r="D13" s="854"/>
      <c r="E13" s="854"/>
      <c r="F13" s="854"/>
      <c r="G13" s="854"/>
      <c r="H13" s="854"/>
      <c r="I13" s="854"/>
    </row>
    <row r="14" spans="1:9" x14ac:dyDescent="0.25">
      <c r="A14" s="854"/>
      <c r="B14" s="854"/>
      <c r="C14" s="854"/>
      <c r="D14" s="854"/>
      <c r="E14" s="854"/>
      <c r="F14" s="854"/>
      <c r="G14" s="854"/>
      <c r="H14" s="854"/>
      <c r="I14" s="854"/>
    </row>
    <row r="15" spans="1:9" ht="19.5" customHeight="1" x14ac:dyDescent="0.3">
      <c r="A15" s="52"/>
    </row>
    <row r="16" spans="1:9" ht="19.5" customHeight="1" x14ac:dyDescent="0.3">
      <c r="A16" s="887" t="s">
        <v>31</v>
      </c>
      <c r="B16" s="888"/>
      <c r="C16" s="888"/>
      <c r="D16" s="888"/>
      <c r="E16" s="888"/>
      <c r="F16" s="888"/>
      <c r="G16" s="888"/>
      <c r="H16" s="889"/>
    </row>
    <row r="17" spans="1:14" ht="20.25" customHeight="1" x14ac:dyDescent="0.25">
      <c r="A17" s="890" t="s">
        <v>47</v>
      </c>
      <c r="B17" s="890"/>
      <c r="C17" s="890"/>
      <c r="D17" s="890"/>
      <c r="E17" s="890"/>
      <c r="F17" s="890"/>
      <c r="G17" s="890"/>
      <c r="H17" s="890"/>
    </row>
    <row r="18" spans="1:14" ht="26.25" customHeight="1" x14ac:dyDescent="0.4">
      <c r="A18" s="54" t="s">
        <v>33</v>
      </c>
      <c r="B18" s="886" t="s">
        <v>5</v>
      </c>
      <c r="C18" s="886"/>
      <c r="D18" s="221"/>
      <c r="E18" s="55"/>
      <c r="F18" s="56"/>
      <c r="G18" s="56"/>
      <c r="H18" s="56"/>
    </row>
    <row r="19" spans="1:14" ht="26.25" customHeight="1" x14ac:dyDescent="0.4">
      <c r="A19" s="54" t="s">
        <v>34</v>
      </c>
      <c r="B19" s="57" t="s">
        <v>7</v>
      </c>
      <c r="C19" s="234">
        <v>29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35</v>
      </c>
      <c r="B20" s="891" t="s">
        <v>9</v>
      </c>
      <c r="C20" s="891"/>
      <c r="D20" s="56"/>
      <c r="E20" s="56"/>
      <c r="F20" s="56"/>
      <c r="G20" s="56"/>
      <c r="H20" s="56"/>
    </row>
    <row r="21" spans="1:14" ht="26.25" customHeight="1" x14ac:dyDescent="0.4">
      <c r="A21" s="54" t="s">
        <v>36</v>
      </c>
      <c r="B21" s="891" t="s">
        <v>11</v>
      </c>
      <c r="C21" s="891"/>
      <c r="D21" s="891"/>
      <c r="E21" s="891"/>
      <c r="F21" s="891"/>
      <c r="G21" s="891"/>
      <c r="H21" s="891"/>
      <c r="I21" s="58"/>
    </row>
    <row r="22" spans="1:14" ht="26.25" customHeight="1" x14ac:dyDescent="0.4">
      <c r="A22" s="54" t="s">
        <v>37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886" t="s">
        <v>126</v>
      </c>
      <c r="C26" s="886"/>
    </row>
    <row r="27" spans="1:14" ht="26.25" customHeight="1" x14ac:dyDescent="0.4">
      <c r="A27" s="63" t="s">
        <v>48</v>
      </c>
      <c r="B27" s="884" t="s">
        <v>128</v>
      </c>
      <c r="C27" s="884"/>
    </row>
    <row r="28" spans="1:14" ht="27" customHeight="1" x14ac:dyDescent="0.4">
      <c r="A28" s="63" t="s">
        <v>6</v>
      </c>
      <c r="B28" s="64">
        <v>84.06</v>
      </c>
    </row>
    <row r="29" spans="1:14" s="3" customFormat="1" ht="27" customHeight="1" x14ac:dyDescent="0.4">
      <c r="A29" s="63" t="s">
        <v>49</v>
      </c>
      <c r="B29" s="65"/>
      <c r="C29" s="861" t="s">
        <v>50</v>
      </c>
      <c r="D29" s="862"/>
      <c r="E29" s="862"/>
      <c r="F29" s="862"/>
      <c r="G29" s="863"/>
      <c r="I29" s="66"/>
      <c r="J29" s="66"/>
      <c r="K29" s="66"/>
      <c r="L29" s="66"/>
    </row>
    <row r="30" spans="1:14" s="3" customFormat="1" ht="19.5" customHeight="1" x14ac:dyDescent="0.3">
      <c r="A30" s="63" t="s">
        <v>51</v>
      </c>
      <c r="B30" s="67">
        <f>B28-B29</f>
        <v>84.06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3" customFormat="1" ht="27" customHeight="1" x14ac:dyDescent="0.4">
      <c r="A31" s="63" t="s">
        <v>52</v>
      </c>
      <c r="B31" s="70">
        <v>1</v>
      </c>
      <c r="C31" s="864" t="s">
        <v>53</v>
      </c>
      <c r="D31" s="865"/>
      <c r="E31" s="865"/>
      <c r="F31" s="865"/>
      <c r="G31" s="865"/>
      <c r="H31" s="866"/>
      <c r="I31" s="66"/>
      <c r="J31" s="66"/>
      <c r="K31" s="66"/>
      <c r="L31" s="66"/>
    </row>
    <row r="32" spans="1:14" s="3" customFormat="1" ht="27" customHeight="1" x14ac:dyDescent="0.4">
      <c r="A32" s="63" t="s">
        <v>54</v>
      </c>
      <c r="B32" s="70">
        <v>1</v>
      </c>
      <c r="C32" s="864" t="s">
        <v>55</v>
      </c>
      <c r="D32" s="865"/>
      <c r="E32" s="865"/>
      <c r="F32" s="865"/>
      <c r="G32" s="865"/>
      <c r="H32" s="866"/>
      <c r="I32" s="66"/>
      <c r="J32" s="66"/>
      <c r="K32" s="66"/>
      <c r="L32" s="71"/>
      <c r="M32" s="71"/>
      <c r="N32" s="72"/>
    </row>
    <row r="33" spans="1:14" s="3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3" customFormat="1" ht="18.75" x14ac:dyDescent="0.3">
      <c r="A34" s="63" t="s">
        <v>56</v>
      </c>
      <c r="B34" s="75">
        <f>B31/B32</f>
        <v>1</v>
      </c>
      <c r="C34" s="53" t="s">
        <v>57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3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3" customFormat="1" ht="27" customHeight="1" x14ac:dyDescent="0.4">
      <c r="A36" s="76" t="s">
        <v>58</v>
      </c>
      <c r="B36" s="77">
        <v>20</v>
      </c>
      <c r="C36" s="53"/>
      <c r="D36" s="867" t="s">
        <v>59</v>
      </c>
      <c r="E36" s="885"/>
      <c r="F36" s="867" t="s">
        <v>60</v>
      </c>
      <c r="G36" s="868"/>
      <c r="J36" s="66"/>
      <c r="K36" s="66"/>
      <c r="L36" s="71"/>
      <c r="M36" s="71"/>
      <c r="N36" s="72"/>
    </row>
    <row r="37" spans="1:14" s="3" customFormat="1" ht="27" customHeight="1" thickBot="1" x14ac:dyDescent="0.45">
      <c r="A37" s="78" t="s">
        <v>61</v>
      </c>
      <c r="B37" s="79">
        <v>4</v>
      </c>
      <c r="C37" s="80" t="s">
        <v>62</v>
      </c>
      <c r="D37" s="81" t="s">
        <v>63</v>
      </c>
      <c r="E37" s="82" t="s">
        <v>64</v>
      </c>
      <c r="F37" s="81" t="s">
        <v>63</v>
      </c>
      <c r="G37" s="83" t="s">
        <v>64</v>
      </c>
      <c r="I37" s="84" t="s">
        <v>65</v>
      </c>
      <c r="J37" s="66"/>
      <c r="K37" s="66"/>
      <c r="L37" s="71"/>
      <c r="M37" s="71"/>
      <c r="N37" s="72"/>
    </row>
    <row r="38" spans="1:14" s="3" customFormat="1" ht="26.25" customHeight="1" x14ac:dyDescent="0.4">
      <c r="A38" s="78" t="s">
        <v>66</v>
      </c>
      <c r="B38" s="79">
        <v>20</v>
      </c>
      <c r="C38" s="85">
        <v>1</v>
      </c>
      <c r="D38" s="86">
        <v>115942040</v>
      </c>
      <c r="E38" s="87">
        <f>IF(ISBLANK(D38),"-",$D$48/$D$45*D38)</f>
        <v>137652413.46951589</v>
      </c>
      <c r="F38" s="582">
        <v>100670575</v>
      </c>
      <c r="G38" s="88">
        <f>IF(ISBLANK(F38),"-",$D$48/$F$45*F38)</f>
        <v>138078838.76730192</v>
      </c>
      <c r="I38" s="89"/>
      <c r="J38" s="66"/>
      <c r="K38" s="66"/>
      <c r="L38" s="71"/>
      <c r="M38" s="71"/>
      <c r="N38" s="72"/>
    </row>
    <row r="39" spans="1:14" s="3" customFormat="1" ht="26.25" customHeight="1" x14ac:dyDescent="0.4">
      <c r="A39" s="78" t="s">
        <v>67</v>
      </c>
      <c r="B39" s="79">
        <v>1</v>
      </c>
      <c r="C39" s="90">
        <v>2</v>
      </c>
      <c r="D39" s="91">
        <v>115884130</v>
      </c>
      <c r="E39" s="92">
        <f>IF(ISBLANK(D39),"-",$D$48/$D$45*D39)</f>
        <v>137583659.70889533</v>
      </c>
      <c r="F39" s="583">
        <v>100465863</v>
      </c>
      <c r="G39" s="93">
        <f>IF(ISBLANK(F39),"-",$D$48/$F$45*F39)</f>
        <v>137798057.66277629</v>
      </c>
      <c r="I39" s="869">
        <f>ABS((F43/D43*D42)-F42)/D42</f>
        <v>1.4195115482365398E-3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68</v>
      </c>
      <c r="B40" s="79">
        <v>1</v>
      </c>
      <c r="C40" s="90">
        <v>3</v>
      </c>
      <c r="D40" s="91">
        <v>115923285</v>
      </c>
      <c r="E40" s="92">
        <f>IF(ISBLANK(D40),"-",$D$48/$D$45*D40)</f>
        <v>137630146.55913013</v>
      </c>
      <c r="F40" s="583">
        <v>100369865</v>
      </c>
      <c r="G40" s="93">
        <f>IF(ISBLANK(F40),"-",$D$48/$F$45*F40)</f>
        <v>137666387.68508932</v>
      </c>
      <c r="I40" s="869"/>
      <c r="L40" s="71"/>
      <c r="M40" s="71"/>
      <c r="N40" s="94"/>
    </row>
    <row r="41" spans="1:14" ht="27" customHeight="1" thickBot="1" x14ac:dyDescent="0.45">
      <c r="A41" s="78" t="s">
        <v>69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584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thickBot="1" x14ac:dyDescent="0.45">
      <c r="A42" s="78" t="s">
        <v>70</v>
      </c>
      <c r="B42" s="79">
        <v>1</v>
      </c>
      <c r="C42" s="100" t="s">
        <v>71</v>
      </c>
      <c r="D42" s="101">
        <f>AVERAGE(D38:D41)</f>
        <v>115916485</v>
      </c>
      <c r="E42" s="102">
        <f>AVERAGE(E38:E41)</f>
        <v>137622073.24584714</v>
      </c>
      <c r="F42" s="101">
        <f>AVERAGE(F38:F41)</f>
        <v>100502101</v>
      </c>
      <c r="G42" s="103">
        <f>AVERAGE(G38:G41)</f>
        <v>137847761.37172249</v>
      </c>
      <c r="H42" s="104"/>
    </row>
    <row r="43" spans="1:14" ht="26.25" customHeight="1" x14ac:dyDescent="0.4">
      <c r="A43" s="78" t="s">
        <v>72</v>
      </c>
      <c r="B43" s="79">
        <v>1</v>
      </c>
      <c r="C43" s="105" t="s">
        <v>73</v>
      </c>
      <c r="D43" s="106">
        <v>15.03</v>
      </c>
      <c r="E43" s="94"/>
      <c r="F43" s="106">
        <v>13.01</v>
      </c>
      <c r="H43" s="104"/>
    </row>
    <row r="44" spans="1:14" ht="26.25" customHeight="1" x14ac:dyDescent="0.4">
      <c r="A44" s="78" t="s">
        <v>74</v>
      </c>
      <c r="B44" s="79">
        <v>1</v>
      </c>
      <c r="C44" s="107" t="s">
        <v>75</v>
      </c>
      <c r="D44" s="108">
        <f>D43*$B$34</f>
        <v>15.03</v>
      </c>
      <c r="E44" s="109"/>
      <c r="F44" s="108">
        <f>F43*$B$34</f>
        <v>13.01</v>
      </c>
      <c r="H44" s="104"/>
    </row>
    <row r="45" spans="1:14" ht="19.5" customHeight="1" x14ac:dyDescent="0.3">
      <c r="A45" s="78" t="s">
        <v>76</v>
      </c>
      <c r="B45" s="110">
        <f>(B44/B43)*(B42/B41)*(B40/B39)*(B38/B37)*B36</f>
        <v>100</v>
      </c>
      <c r="C45" s="107" t="s">
        <v>77</v>
      </c>
      <c r="D45" s="111">
        <f>D44*$B$30/100</f>
        <v>12.634218000000001</v>
      </c>
      <c r="E45" s="112"/>
      <c r="F45" s="111">
        <f>F44*$B$30/100</f>
        <v>10.936206</v>
      </c>
      <c r="H45" s="104"/>
    </row>
    <row r="46" spans="1:14" ht="19.5" customHeight="1" x14ac:dyDescent="0.3">
      <c r="A46" s="855" t="s">
        <v>78</v>
      </c>
      <c r="B46" s="856"/>
      <c r="C46" s="107" t="s">
        <v>79</v>
      </c>
      <c r="D46" s="113">
        <f>D45/$B$45</f>
        <v>0.12634218</v>
      </c>
      <c r="E46" s="114"/>
      <c r="F46" s="115">
        <f>F45/$B$45</f>
        <v>0.10936206</v>
      </c>
      <c r="H46" s="104"/>
    </row>
    <row r="47" spans="1:14" ht="27" customHeight="1" x14ac:dyDescent="0.4">
      <c r="A47" s="857"/>
      <c r="B47" s="858"/>
      <c r="C47" s="116" t="s">
        <v>80</v>
      </c>
      <c r="D47" s="117">
        <v>0.15</v>
      </c>
      <c r="E47" s="118"/>
      <c r="F47" s="114"/>
      <c r="H47" s="104"/>
    </row>
    <row r="48" spans="1:14" ht="18.75" x14ac:dyDescent="0.3">
      <c r="C48" s="119" t="s">
        <v>81</v>
      </c>
      <c r="D48" s="111">
        <f>D47*$B$45</f>
        <v>15</v>
      </c>
      <c r="F48" s="120"/>
      <c r="H48" s="104"/>
    </row>
    <row r="49" spans="1:12" ht="19.5" customHeight="1" x14ac:dyDescent="0.3">
      <c r="C49" s="121" t="s">
        <v>82</v>
      </c>
      <c r="D49" s="122">
        <f>D48/B34</f>
        <v>15</v>
      </c>
      <c r="F49" s="120"/>
      <c r="H49" s="104"/>
    </row>
    <row r="50" spans="1:12" ht="18.75" x14ac:dyDescent="0.3">
      <c r="C50" s="76" t="s">
        <v>83</v>
      </c>
      <c r="D50" s="123">
        <f>AVERAGE(E38:E41,G38:G41)</f>
        <v>137734917.30878481</v>
      </c>
      <c r="F50" s="124"/>
      <c r="H50" s="104"/>
    </row>
    <row r="51" spans="1:12" ht="18.75" x14ac:dyDescent="0.3">
      <c r="C51" s="78" t="s">
        <v>84</v>
      </c>
      <c r="D51" s="125">
        <f>STDEV(E38:E41,G38:G41)/D50</f>
        <v>1.3293635245421453E-3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85</v>
      </c>
    </row>
    <row r="55" spans="1:12" ht="18.75" x14ac:dyDescent="0.3">
      <c r="A55" s="53" t="s">
        <v>86</v>
      </c>
      <c r="B55" s="130" t="str">
        <f>B21</f>
        <v xml:space="preserve">Lamivudine 150mg + Zidovudine 300mg + Nevirapine 200mg </v>
      </c>
    </row>
    <row r="56" spans="1:12" ht="26.25" customHeight="1" x14ac:dyDescent="0.4">
      <c r="A56" s="131" t="s">
        <v>87</v>
      </c>
      <c r="B56" s="132">
        <v>150</v>
      </c>
      <c r="C56" s="53" t="str">
        <f>B20</f>
        <v>Lamivudine     Nevirapine and Zidovudine</v>
      </c>
      <c r="H56" s="133"/>
    </row>
    <row r="57" spans="1:12" ht="18.75" x14ac:dyDescent="0.3">
      <c r="A57" s="130" t="s">
        <v>88</v>
      </c>
      <c r="B57" s="222">
        <f>Uniformity!C46</f>
        <v>1132.2864999999999</v>
      </c>
      <c r="H57" s="133"/>
    </row>
    <row r="58" spans="1:12" ht="19.5" customHeight="1" x14ac:dyDescent="0.3">
      <c r="H58" s="133"/>
    </row>
    <row r="59" spans="1:12" s="3" customFormat="1" ht="27" customHeight="1" x14ac:dyDescent="0.4">
      <c r="A59" s="76" t="s">
        <v>89</v>
      </c>
      <c r="B59" s="77">
        <v>100</v>
      </c>
      <c r="C59" s="53"/>
      <c r="D59" s="134" t="s">
        <v>90</v>
      </c>
      <c r="E59" s="135" t="s">
        <v>62</v>
      </c>
      <c r="F59" s="135" t="s">
        <v>63</v>
      </c>
      <c r="G59" s="135" t="s">
        <v>91</v>
      </c>
      <c r="H59" s="80" t="s">
        <v>92</v>
      </c>
      <c r="L59" s="66"/>
    </row>
    <row r="60" spans="1:12" s="3" customFormat="1" ht="26.25" customHeight="1" x14ac:dyDescent="0.4">
      <c r="A60" s="78" t="s">
        <v>93</v>
      </c>
      <c r="B60" s="79">
        <v>5</v>
      </c>
      <c r="C60" s="872" t="s">
        <v>94</v>
      </c>
      <c r="D60" s="875">
        <v>1130.02</v>
      </c>
      <c r="E60" s="136">
        <v>1</v>
      </c>
      <c r="F60" s="137">
        <v>117638495</v>
      </c>
      <c r="G60" s="223">
        <f>IF(ISBLANK(F60),"-",(F60/$D$50*$D$47*$B$68)*($B$57/$D$60))</f>
        <v>128.37098260775559</v>
      </c>
      <c r="H60" s="138">
        <f t="shared" ref="H60:H71" si="0">IF(ISBLANK(F60),"-",G60/$B$56)</f>
        <v>0.85580655071837064</v>
      </c>
      <c r="L60" s="66"/>
    </row>
    <row r="61" spans="1:12" s="3" customFormat="1" ht="26.25" customHeight="1" x14ac:dyDescent="0.4">
      <c r="A61" s="78" t="s">
        <v>95</v>
      </c>
      <c r="B61" s="79">
        <v>50</v>
      </c>
      <c r="C61" s="873"/>
      <c r="D61" s="876"/>
      <c r="E61" s="139">
        <v>2</v>
      </c>
      <c r="F61" s="91">
        <v>122795035</v>
      </c>
      <c r="G61" s="224">
        <f>IF(ISBLANK(F61),"-",(F61/$D$50*$D$47*$B$68)*($B$57/$D$60))</f>
        <v>133.99796811667593</v>
      </c>
      <c r="H61" s="140">
        <f t="shared" si="0"/>
        <v>0.89331978744450624</v>
      </c>
      <c r="L61" s="66"/>
    </row>
    <row r="62" spans="1:12" s="3" customFormat="1" ht="26.25" customHeight="1" x14ac:dyDescent="0.4">
      <c r="A62" s="78" t="s">
        <v>96</v>
      </c>
      <c r="B62" s="79">
        <v>1</v>
      </c>
      <c r="C62" s="873"/>
      <c r="D62" s="876"/>
      <c r="E62" s="139">
        <v>3</v>
      </c>
      <c r="F62" s="141">
        <v>123264572</v>
      </c>
      <c r="G62" s="224">
        <f>IF(ISBLANK(F62),"-",(F62/$D$50*$D$47*$B$68)*($B$57/$D$60))</f>
        <v>134.51034228518853</v>
      </c>
      <c r="H62" s="140">
        <f t="shared" si="0"/>
        <v>0.89673561523459022</v>
      </c>
      <c r="L62" s="66"/>
    </row>
    <row r="63" spans="1:12" ht="27" customHeight="1" x14ac:dyDescent="0.4">
      <c r="A63" s="78" t="s">
        <v>97</v>
      </c>
      <c r="B63" s="79">
        <v>1</v>
      </c>
      <c r="C63" s="883"/>
      <c r="D63" s="877"/>
      <c r="E63" s="142">
        <v>4</v>
      </c>
      <c r="F63" s="143"/>
      <c r="G63" s="224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98</v>
      </c>
      <c r="B64" s="79">
        <v>1</v>
      </c>
      <c r="C64" s="872" t="s">
        <v>99</v>
      </c>
      <c r="D64" s="875">
        <v>1122.8</v>
      </c>
      <c r="E64" s="136">
        <v>1</v>
      </c>
      <c r="F64" s="137">
        <v>119746081</v>
      </c>
      <c r="G64" s="225">
        <f>IF(ISBLANK(F64),"-",(F64/$D$50*$D$47*$B$68)*($B$57/$D$64))</f>
        <v>131.51110919856578</v>
      </c>
      <c r="H64" s="144">
        <f t="shared" si="0"/>
        <v>0.87674072799043856</v>
      </c>
    </row>
    <row r="65" spans="1:8" ht="26.25" customHeight="1" x14ac:dyDescent="0.4">
      <c r="A65" s="78" t="s">
        <v>100</v>
      </c>
      <c r="B65" s="79">
        <v>1</v>
      </c>
      <c r="C65" s="873"/>
      <c r="D65" s="876"/>
      <c r="E65" s="139">
        <v>2</v>
      </c>
      <c r="F65" s="91"/>
      <c r="G65" s="226" t="str">
        <f>IF(ISBLANK(F65),"-",(F65/$D$50*$D$47*$B$68)*($B$57/$D$64))</f>
        <v>-</v>
      </c>
      <c r="H65" s="145" t="str">
        <f t="shared" si="0"/>
        <v>-</v>
      </c>
    </row>
    <row r="66" spans="1:8" ht="26.25" customHeight="1" x14ac:dyDescent="0.4">
      <c r="A66" s="78" t="s">
        <v>101</v>
      </c>
      <c r="B66" s="79">
        <v>1</v>
      </c>
      <c r="C66" s="873"/>
      <c r="D66" s="876"/>
      <c r="E66" s="139">
        <v>3</v>
      </c>
      <c r="F66" s="91"/>
      <c r="G66" s="226" t="str">
        <f>IF(ISBLANK(F66),"-",(F66/$D$50*$D$47*$B$68)*($B$57/$D$64))</f>
        <v>-</v>
      </c>
      <c r="H66" s="145" t="str">
        <f t="shared" si="0"/>
        <v>-</v>
      </c>
    </row>
    <row r="67" spans="1:8" ht="27" customHeight="1" x14ac:dyDescent="0.4">
      <c r="A67" s="78" t="s">
        <v>102</v>
      </c>
      <c r="B67" s="79">
        <v>1</v>
      </c>
      <c r="C67" s="883"/>
      <c r="D67" s="877"/>
      <c r="E67" s="142">
        <v>4</v>
      </c>
      <c r="F67" s="143"/>
      <c r="G67" s="227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8" t="s">
        <v>103</v>
      </c>
      <c r="B68" s="147">
        <f>(B67/B66)*(B65/B64)*(B63/B62)*(B61/B60)*B59</f>
        <v>1000</v>
      </c>
      <c r="C68" s="872" t="s">
        <v>104</v>
      </c>
      <c r="D68" s="875">
        <v>1137.53</v>
      </c>
      <c r="E68" s="136">
        <v>1</v>
      </c>
      <c r="F68" s="137">
        <v>121156985</v>
      </c>
      <c r="G68" s="225">
        <f>IF(ISBLANK(F68),"-",(F68/$D$50*$D$47*$B$68)*($B$57/$D$68))</f>
        <v>131.33761756987525</v>
      </c>
      <c r="H68" s="140">
        <f t="shared" si="0"/>
        <v>0.87558411713250162</v>
      </c>
    </row>
    <row r="69" spans="1:8" ht="27" customHeight="1" x14ac:dyDescent="0.4">
      <c r="A69" s="126" t="s">
        <v>105</v>
      </c>
      <c r="B69" s="148">
        <f>(D47*B68)/B56*B57</f>
        <v>1132.2864999999999</v>
      </c>
      <c r="C69" s="873"/>
      <c r="D69" s="876"/>
      <c r="E69" s="139">
        <v>2</v>
      </c>
      <c r="F69" s="91">
        <v>125371374</v>
      </c>
      <c r="G69" s="226">
        <f>IF(ISBLANK(F69),"-",(F69/$D$50*$D$47*$B$68)*($B$57/$D$68))</f>
        <v>135.90613510745416</v>
      </c>
      <c r="H69" s="140">
        <f t="shared" si="0"/>
        <v>0.90604090071636112</v>
      </c>
    </row>
    <row r="70" spans="1:8" ht="26.25" customHeight="1" x14ac:dyDescent="0.4">
      <c r="A70" s="878" t="s">
        <v>78</v>
      </c>
      <c r="B70" s="879"/>
      <c r="C70" s="873"/>
      <c r="D70" s="876"/>
      <c r="E70" s="139">
        <v>3</v>
      </c>
      <c r="F70" s="91">
        <v>123996540</v>
      </c>
      <c r="G70" s="226">
        <f>IF(ISBLANK(F70),"-",(F70/$D$50*$D$47*$B$68)*($B$57/$D$68))</f>
        <v>134.41577594975428</v>
      </c>
      <c r="H70" s="140">
        <f t="shared" si="0"/>
        <v>0.8961051729983619</v>
      </c>
    </row>
    <row r="71" spans="1:8" ht="27" customHeight="1" x14ac:dyDescent="0.4">
      <c r="A71" s="880"/>
      <c r="B71" s="881"/>
      <c r="C71" s="874"/>
      <c r="D71" s="877"/>
      <c r="E71" s="142">
        <v>4</v>
      </c>
      <c r="F71" s="143"/>
      <c r="G71" s="227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2" t="s">
        <v>71</v>
      </c>
      <c r="G72" s="232">
        <f>AVERAGE(G60:G71)</f>
        <v>132.86427583360992</v>
      </c>
      <c r="H72" s="153">
        <f>AVERAGE(H60:H71)</f>
        <v>0.88576183889073279</v>
      </c>
    </row>
    <row r="73" spans="1:8" ht="26.25" customHeight="1" x14ac:dyDescent="0.4">
      <c r="C73" s="150"/>
      <c r="D73" s="150"/>
      <c r="E73" s="150"/>
      <c r="F73" s="154" t="s">
        <v>84</v>
      </c>
      <c r="G73" s="228">
        <f>STDEV(G60:G71)/G72</f>
        <v>1.9434807817107758E-2</v>
      </c>
      <c r="H73" s="228">
        <f>STDEV(H60:H71)/H72</f>
        <v>1.9434807817107776E-2</v>
      </c>
    </row>
    <row r="74" spans="1:8" ht="27" customHeight="1" x14ac:dyDescent="0.4">
      <c r="A74" s="150"/>
      <c r="B74" s="150"/>
      <c r="C74" s="151"/>
      <c r="D74" s="151"/>
      <c r="E74" s="155"/>
      <c r="F74" s="156" t="s">
        <v>20</v>
      </c>
      <c r="G74" s="157">
        <f>COUNT(G60:G71)</f>
        <v>7</v>
      </c>
      <c r="H74" s="157">
        <f>COUNT(H60:H71)</f>
        <v>7</v>
      </c>
    </row>
    <row r="76" spans="1:8" ht="26.25" customHeight="1" x14ac:dyDescent="0.4">
      <c r="A76" s="62" t="s">
        <v>106</v>
      </c>
      <c r="B76" s="158" t="s">
        <v>107</v>
      </c>
      <c r="C76" s="859" t="str">
        <f>B20</f>
        <v>Lamivudine     Nevirapine and Zidovudine</v>
      </c>
      <c r="D76" s="859"/>
      <c r="E76" s="159" t="s">
        <v>108</v>
      </c>
      <c r="F76" s="159"/>
      <c r="G76" s="160">
        <f>H72</f>
        <v>0.88576183889073279</v>
      </c>
      <c r="H76" s="161"/>
    </row>
    <row r="77" spans="1:8" ht="18.75" x14ac:dyDescent="0.3">
      <c r="A77" s="61" t="s">
        <v>109</v>
      </c>
      <c r="B77" s="61" t="s">
        <v>110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882" t="str">
        <f>B26</f>
        <v>lamivudine</v>
      </c>
      <c r="C79" s="882"/>
    </row>
    <row r="80" spans="1:8" ht="26.25" customHeight="1" x14ac:dyDescent="0.4">
      <c r="A80" s="63" t="s">
        <v>48</v>
      </c>
      <c r="B80" s="882" t="str">
        <f>B27</f>
        <v>WRS L3-9</v>
      </c>
      <c r="C80" s="882"/>
    </row>
    <row r="81" spans="1:12" ht="27" customHeight="1" x14ac:dyDescent="0.4">
      <c r="A81" s="63" t="s">
        <v>6</v>
      </c>
      <c r="B81" s="162">
        <f>B28</f>
        <v>84.06</v>
      </c>
    </row>
    <row r="82" spans="1:12" s="3" customFormat="1" ht="27" customHeight="1" x14ac:dyDescent="0.4">
      <c r="A82" s="63" t="s">
        <v>49</v>
      </c>
      <c r="B82" s="65">
        <v>0</v>
      </c>
      <c r="C82" s="861" t="s">
        <v>50</v>
      </c>
      <c r="D82" s="862"/>
      <c r="E82" s="862"/>
      <c r="F82" s="862"/>
      <c r="G82" s="863"/>
      <c r="I82" s="66"/>
      <c r="J82" s="66"/>
      <c r="K82" s="66"/>
      <c r="L82" s="66"/>
    </row>
    <row r="83" spans="1:12" s="3" customFormat="1" ht="19.5" customHeight="1" x14ac:dyDescent="0.3">
      <c r="A83" s="63" t="s">
        <v>51</v>
      </c>
      <c r="B83" s="67">
        <f>B81-B82</f>
        <v>84.06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3" customFormat="1" ht="27" customHeight="1" x14ac:dyDescent="0.4">
      <c r="A84" s="63" t="s">
        <v>52</v>
      </c>
      <c r="B84" s="70">
        <v>1</v>
      </c>
      <c r="C84" s="864" t="s">
        <v>111</v>
      </c>
      <c r="D84" s="865"/>
      <c r="E84" s="865"/>
      <c r="F84" s="865"/>
      <c r="G84" s="865"/>
      <c r="H84" s="866"/>
      <c r="I84" s="66"/>
      <c r="J84" s="66"/>
      <c r="K84" s="66"/>
      <c r="L84" s="66"/>
    </row>
    <row r="85" spans="1:12" s="3" customFormat="1" ht="27" customHeight="1" x14ac:dyDescent="0.4">
      <c r="A85" s="63" t="s">
        <v>54</v>
      </c>
      <c r="B85" s="70">
        <v>1</v>
      </c>
      <c r="C85" s="864" t="s">
        <v>112</v>
      </c>
      <c r="D85" s="865"/>
      <c r="E85" s="865"/>
      <c r="F85" s="865"/>
      <c r="G85" s="865"/>
      <c r="H85" s="866"/>
      <c r="I85" s="66"/>
      <c r="J85" s="66"/>
      <c r="K85" s="66"/>
      <c r="L85" s="66"/>
    </row>
    <row r="86" spans="1:12" s="3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3" customFormat="1" ht="18.75" x14ac:dyDescent="0.3">
      <c r="A87" s="63" t="s">
        <v>56</v>
      </c>
      <c r="B87" s="75">
        <f>B84/B85</f>
        <v>1</v>
      </c>
      <c r="C87" s="53" t="s">
        <v>57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58</v>
      </c>
      <c r="B89" s="77">
        <v>20</v>
      </c>
      <c r="D89" s="163" t="s">
        <v>59</v>
      </c>
      <c r="E89" s="164"/>
      <c r="F89" s="867" t="s">
        <v>60</v>
      </c>
      <c r="G89" s="868"/>
    </row>
    <row r="90" spans="1:12" ht="27" customHeight="1" x14ac:dyDescent="0.4">
      <c r="A90" s="78" t="s">
        <v>61</v>
      </c>
      <c r="B90" s="79">
        <v>4</v>
      </c>
      <c r="C90" s="165" t="s">
        <v>62</v>
      </c>
      <c r="D90" s="81" t="s">
        <v>63</v>
      </c>
      <c r="E90" s="82" t="s">
        <v>64</v>
      </c>
      <c r="F90" s="81" t="s">
        <v>63</v>
      </c>
      <c r="G90" s="166" t="s">
        <v>64</v>
      </c>
      <c r="I90" s="84" t="s">
        <v>65</v>
      </c>
    </row>
    <row r="91" spans="1:12" ht="26.25" customHeight="1" x14ac:dyDescent="0.4">
      <c r="A91" s="78" t="s">
        <v>66</v>
      </c>
      <c r="B91" s="79">
        <v>20</v>
      </c>
      <c r="C91" s="167">
        <v>1</v>
      </c>
      <c r="D91" s="86">
        <v>14098015</v>
      </c>
      <c r="E91" s="87">
        <f>IF(ISBLANK(D91),"-",$D$101/$D$98*D91)</f>
        <v>18233715.633078121</v>
      </c>
      <c r="F91" s="86">
        <v>11966795</v>
      </c>
      <c r="G91" s="88">
        <f>IF(ISBLANK(F91),"-",$D$101/$F$98*F91)</f>
        <v>17961160.662370078</v>
      </c>
      <c r="I91" s="89"/>
    </row>
    <row r="92" spans="1:12" ht="26.25" customHeight="1" x14ac:dyDescent="0.4">
      <c r="A92" s="78" t="s">
        <v>67</v>
      </c>
      <c r="B92" s="79">
        <v>1</v>
      </c>
      <c r="C92" s="151">
        <v>2</v>
      </c>
      <c r="D92" s="91">
        <v>14478460</v>
      </c>
      <c r="E92" s="92">
        <f>IF(ISBLANK(D92),"-",$D$101/$D$98*D92)</f>
        <v>18725765.467329707</v>
      </c>
      <c r="F92" s="91">
        <v>11958318</v>
      </c>
      <c r="G92" s="93">
        <f>IF(ISBLANK(F92),"-",$D$101/$F$98*F92)</f>
        <v>17948437.39277827</v>
      </c>
      <c r="I92" s="869">
        <f>ABS((F96/D96*D95)-F95)/D95</f>
        <v>1.9489247730350382E-2</v>
      </c>
    </row>
    <row r="93" spans="1:12" ht="26.25" customHeight="1" x14ac:dyDescent="0.4">
      <c r="A93" s="78" t="s">
        <v>68</v>
      </c>
      <c r="B93" s="79">
        <v>1</v>
      </c>
      <c r="C93" s="151">
        <v>3</v>
      </c>
      <c r="D93" s="91">
        <v>14030936</v>
      </c>
      <c r="E93" s="92">
        <f>IF(ISBLANK(D93),"-",$D$101/$D$98*D93)</f>
        <v>18146958.780361529</v>
      </c>
      <c r="F93" s="91">
        <v>11959693</v>
      </c>
      <c r="G93" s="93">
        <f>IF(ISBLANK(F93),"-",$D$101/$F$98*F93)</f>
        <v>17950501.15303411</v>
      </c>
      <c r="I93" s="869"/>
    </row>
    <row r="94" spans="1:12" ht="27" customHeight="1" x14ac:dyDescent="0.4">
      <c r="A94" s="78" t="s">
        <v>69</v>
      </c>
      <c r="B94" s="79">
        <v>1</v>
      </c>
      <c r="C94" s="168">
        <v>4</v>
      </c>
      <c r="D94" s="96"/>
      <c r="E94" s="97" t="str">
        <f>IF(ISBLANK(D94),"-",$D$101/$D$98*D94)</f>
        <v>-</v>
      </c>
      <c r="F94" s="169"/>
      <c r="G94" s="98" t="str">
        <f>IF(ISBLANK(F94),"-",$D$101/$F$98*F94)</f>
        <v>-</v>
      </c>
      <c r="I94" s="99"/>
    </row>
    <row r="95" spans="1:12" ht="27" customHeight="1" x14ac:dyDescent="0.4">
      <c r="A95" s="78" t="s">
        <v>70</v>
      </c>
      <c r="B95" s="79">
        <v>1</v>
      </c>
      <c r="C95" s="170" t="s">
        <v>71</v>
      </c>
      <c r="D95" s="171">
        <f>AVERAGE(D91:D94)</f>
        <v>14202470.333333334</v>
      </c>
      <c r="E95" s="102">
        <f>AVERAGE(E91:E94)</f>
        <v>18368813.293589786</v>
      </c>
      <c r="F95" s="172">
        <f>AVERAGE(F91:F94)</f>
        <v>11961602</v>
      </c>
      <c r="G95" s="173">
        <f>AVERAGE(G91:G94)</f>
        <v>17953366.402727485</v>
      </c>
    </row>
    <row r="96" spans="1:12" ht="26.25" customHeight="1" x14ac:dyDescent="0.4">
      <c r="A96" s="78" t="s">
        <v>72</v>
      </c>
      <c r="B96" s="64">
        <v>1</v>
      </c>
      <c r="C96" s="174" t="s">
        <v>113</v>
      </c>
      <c r="D96" s="175">
        <v>15.33</v>
      </c>
      <c r="E96" s="94"/>
      <c r="F96" s="106">
        <v>13.21</v>
      </c>
    </row>
    <row r="97" spans="1:10" ht="26.25" customHeight="1" x14ac:dyDescent="0.4">
      <c r="A97" s="78" t="s">
        <v>74</v>
      </c>
      <c r="B97" s="64">
        <v>1</v>
      </c>
      <c r="C97" s="176" t="s">
        <v>114</v>
      </c>
      <c r="D97" s="177">
        <f>D96*$B$87</f>
        <v>15.33</v>
      </c>
      <c r="E97" s="109"/>
      <c r="F97" s="108">
        <f>F96*$B$87</f>
        <v>13.21</v>
      </c>
    </row>
    <row r="98" spans="1:10" ht="19.5" customHeight="1" x14ac:dyDescent="0.3">
      <c r="A98" s="78" t="s">
        <v>76</v>
      </c>
      <c r="B98" s="178">
        <f>(B97/B96)*(B95/B94)*(B93/B92)*(B91/B90)*B89</f>
        <v>100</v>
      </c>
      <c r="C98" s="176" t="s">
        <v>115</v>
      </c>
      <c r="D98" s="179">
        <f>D97*$B$83/100</f>
        <v>12.886398000000002</v>
      </c>
      <c r="E98" s="112"/>
      <c r="F98" s="111">
        <f>F97*$B$83/100</f>
        <v>11.104326</v>
      </c>
    </row>
    <row r="99" spans="1:10" ht="19.5" customHeight="1" x14ac:dyDescent="0.3">
      <c r="A99" s="855" t="s">
        <v>78</v>
      </c>
      <c r="B99" s="870"/>
      <c r="C99" s="176" t="s">
        <v>116</v>
      </c>
      <c r="D99" s="180">
        <f>D98/$B$98</f>
        <v>0.12886398000000002</v>
      </c>
      <c r="E99" s="112"/>
      <c r="F99" s="115">
        <f>F98/$B$98</f>
        <v>0.11104326</v>
      </c>
      <c r="G99" s="181"/>
      <c r="H99" s="104"/>
    </row>
    <row r="100" spans="1:10" ht="19.5" customHeight="1" x14ac:dyDescent="0.3">
      <c r="A100" s="857"/>
      <c r="B100" s="871"/>
      <c r="C100" s="176" t="s">
        <v>80</v>
      </c>
      <c r="D100" s="182">
        <f>$B$56/$B$116</f>
        <v>0.16666666666666666</v>
      </c>
      <c r="F100" s="120"/>
      <c r="G100" s="183"/>
      <c r="H100" s="104"/>
    </row>
    <row r="101" spans="1:10" ht="18.75" x14ac:dyDescent="0.3">
      <c r="C101" s="176" t="s">
        <v>81</v>
      </c>
      <c r="D101" s="177">
        <f>D100*$B$98</f>
        <v>16.666666666666664</v>
      </c>
      <c r="F101" s="120"/>
      <c r="G101" s="181"/>
      <c r="H101" s="104"/>
    </row>
    <row r="102" spans="1:10" ht="19.5" customHeight="1" x14ac:dyDescent="0.3">
      <c r="C102" s="184" t="s">
        <v>82</v>
      </c>
      <c r="D102" s="185">
        <f>D101/B34</f>
        <v>16.666666666666664</v>
      </c>
      <c r="F102" s="124"/>
      <c r="G102" s="181"/>
      <c r="H102" s="104"/>
      <c r="J102" s="186"/>
    </row>
    <row r="103" spans="1:10" ht="18.75" x14ac:dyDescent="0.3">
      <c r="C103" s="187" t="s">
        <v>117</v>
      </c>
      <c r="D103" s="188">
        <f>AVERAGE(E91:E94,G91:G94)</f>
        <v>18161089.848158635</v>
      </c>
      <c r="F103" s="124"/>
      <c r="G103" s="189"/>
      <c r="H103" s="104"/>
      <c r="J103" s="190"/>
    </row>
    <row r="104" spans="1:10" ht="18.75" x14ac:dyDescent="0.3">
      <c r="C104" s="154" t="s">
        <v>84</v>
      </c>
      <c r="D104" s="191">
        <f>STDEV(E91:E94,G91:G94)/D103</f>
        <v>1.6589767843482522E-2</v>
      </c>
      <c r="F104" s="124"/>
      <c r="G104" s="181"/>
      <c r="H104" s="104"/>
      <c r="J104" s="190"/>
    </row>
    <row r="105" spans="1:10" ht="19.5" customHeight="1" x14ac:dyDescent="0.3">
      <c r="C105" s="156" t="s">
        <v>20</v>
      </c>
      <c r="D105" s="192">
        <f>COUNT(E91:E94,G91:G94)</f>
        <v>6</v>
      </c>
      <c r="F105" s="124"/>
      <c r="G105" s="181"/>
      <c r="H105" s="104"/>
      <c r="J105" s="190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118</v>
      </c>
      <c r="B107" s="77">
        <v>900</v>
      </c>
      <c r="C107" s="193" t="s">
        <v>119</v>
      </c>
      <c r="D107" s="194" t="s">
        <v>63</v>
      </c>
      <c r="E107" s="195" t="s">
        <v>120</v>
      </c>
      <c r="F107" s="196" t="s">
        <v>121</v>
      </c>
    </row>
    <row r="108" spans="1:10" ht="26.25" customHeight="1" x14ac:dyDescent="0.4">
      <c r="A108" s="78" t="s">
        <v>122</v>
      </c>
      <c r="B108" s="79">
        <v>1</v>
      </c>
      <c r="C108" s="197">
        <v>1</v>
      </c>
      <c r="D108" s="198">
        <v>15716678</v>
      </c>
      <c r="E108" s="229">
        <f t="shared" ref="E108:E113" si="1">IF(ISBLANK(D108),"-",D108/$D$103*$D$100*$B$116)</f>
        <v>129.81058514167466</v>
      </c>
      <c r="F108" s="199">
        <f t="shared" ref="F108:F113" si="2">IF(ISBLANK(D108), "-", E108/$B$56)</f>
        <v>0.86540390094449782</v>
      </c>
    </row>
    <row r="109" spans="1:10" ht="26.25" customHeight="1" x14ac:dyDescent="0.4">
      <c r="A109" s="78" t="s">
        <v>95</v>
      </c>
      <c r="B109" s="79">
        <v>1</v>
      </c>
      <c r="C109" s="197">
        <v>2</v>
      </c>
      <c r="D109" s="198">
        <v>15772565</v>
      </c>
      <c r="E109" s="230">
        <f t="shared" si="1"/>
        <v>130.27217913576251</v>
      </c>
      <c r="F109" s="200">
        <f t="shared" si="2"/>
        <v>0.86848119423841674</v>
      </c>
    </row>
    <row r="110" spans="1:10" ht="26.25" customHeight="1" x14ac:dyDescent="0.4">
      <c r="A110" s="78" t="s">
        <v>96</v>
      </c>
      <c r="B110" s="79">
        <v>1</v>
      </c>
      <c r="C110" s="197">
        <v>3</v>
      </c>
      <c r="D110" s="198">
        <v>11723633</v>
      </c>
      <c r="E110" s="230">
        <f t="shared" si="1"/>
        <v>96.830364515723161</v>
      </c>
      <c r="F110" s="200">
        <f t="shared" si="2"/>
        <v>0.64553576343815444</v>
      </c>
    </row>
    <row r="111" spans="1:10" ht="26.25" customHeight="1" x14ac:dyDescent="0.4">
      <c r="A111" s="78" t="s">
        <v>97</v>
      </c>
      <c r="B111" s="79">
        <v>1</v>
      </c>
      <c r="C111" s="197">
        <v>4</v>
      </c>
      <c r="D111" s="198">
        <v>16101157</v>
      </c>
      <c r="E111" s="230">
        <f t="shared" si="1"/>
        <v>132.98615722915306</v>
      </c>
      <c r="F111" s="200">
        <f t="shared" si="2"/>
        <v>0.88657438152768708</v>
      </c>
    </row>
    <row r="112" spans="1:10" ht="26.25" customHeight="1" x14ac:dyDescent="0.4">
      <c r="A112" s="78" t="s">
        <v>98</v>
      </c>
      <c r="B112" s="79">
        <v>1</v>
      </c>
      <c r="C112" s="197">
        <v>5</v>
      </c>
      <c r="D112" s="198">
        <v>15881727</v>
      </c>
      <c r="E112" s="230">
        <f t="shared" si="1"/>
        <v>131.17379352878092</v>
      </c>
      <c r="F112" s="200">
        <f t="shared" si="2"/>
        <v>0.87449195685853942</v>
      </c>
    </row>
    <row r="113" spans="1:10" ht="26.25" customHeight="1" x14ac:dyDescent="0.4">
      <c r="A113" s="78" t="s">
        <v>100</v>
      </c>
      <c r="B113" s="79">
        <v>1</v>
      </c>
      <c r="C113" s="201">
        <v>6</v>
      </c>
      <c r="D113" s="202">
        <v>16408336</v>
      </c>
      <c r="E113" s="231">
        <f t="shared" si="1"/>
        <v>135.52327644310111</v>
      </c>
      <c r="F113" s="203">
        <f t="shared" si="2"/>
        <v>0.90348850962067406</v>
      </c>
    </row>
    <row r="114" spans="1:10" ht="26.25" customHeight="1" x14ac:dyDescent="0.4">
      <c r="A114" s="78" t="s">
        <v>101</v>
      </c>
      <c r="B114" s="79">
        <v>1</v>
      </c>
      <c r="C114" s="197"/>
      <c r="D114" s="151"/>
      <c r="E114" s="52"/>
      <c r="F114" s="204"/>
    </row>
    <row r="115" spans="1:10" ht="26.25" customHeight="1" x14ac:dyDescent="0.4">
      <c r="A115" s="78" t="s">
        <v>102</v>
      </c>
      <c r="B115" s="79">
        <v>1</v>
      </c>
      <c r="C115" s="197"/>
      <c r="D115" s="205" t="s">
        <v>71</v>
      </c>
      <c r="E115" s="233">
        <f>AVERAGE(E108:E113)</f>
        <v>126.09939266569923</v>
      </c>
      <c r="F115" s="206">
        <f>AVERAGE(F108:F113)</f>
        <v>0.84066261777132834</v>
      </c>
    </row>
    <row r="116" spans="1:10" ht="27" customHeight="1" x14ac:dyDescent="0.4">
      <c r="A116" s="78" t="s">
        <v>103</v>
      </c>
      <c r="B116" s="110">
        <f>(B115/B114)*(B113/B112)*(B111/B110)*(B109/B108)*B107</f>
        <v>900</v>
      </c>
      <c r="C116" s="207"/>
      <c r="D116" s="170" t="s">
        <v>84</v>
      </c>
      <c r="E116" s="208">
        <f>STDEV(E108:E113)/E115</f>
        <v>0.11491194250393209</v>
      </c>
      <c r="F116" s="208">
        <f>STDEV(F108:F113)/F115</f>
        <v>0.11491194250393084</v>
      </c>
      <c r="I116" s="52"/>
    </row>
    <row r="117" spans="1:10" ht="27" customHeight="1" x14ac:dyDescent="0.4">
      <c r="A117" s="855" t="s">
        <v>78</v>
      </c>
      <c r="B117" s="856"/>
      <c r="C117" s="209"/>
      <c r="D117" s="210" t="s">
        <v>20</v>
      </c>
      <c r="E117" s="211">
        <f>COUNT(E108:E113)</f>
        <v>6</v>
      </c>
      <c r="F117" s="211">
        <f>COUNT(F108:F113)</f>
        <v>6</v>
      </c>
      <c r="I117" s="52"/>
      <c r="J117" s="190"/>
    </row>
    <row r="118" spans="1:10" ht="19.5" customHeight="1" x14ac:dyDescent="0.3">
      <c r="A118" s="857"/>
      <c r="B118" s="858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20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106</v>
      </c>
      <c r="B120" s="158" t="s">
        <v>123</v>
      </c>
      <c r="C120" s="859" t="str">
        <f>B20</f>
        <v>Lamivudine     Nevirapine and Zidovudine</v>
      </c>
      <c r="D120" s="859"/>
      <c r="E120" s="159" t="s">
        <v>124</v>
      </c>
      <c r="F120" s="159"/>
      <c r="G120" s="160">
        <f>F115</f>
        <v>0.84066261777132834</v>
      </c>
      <c r="H120" s="52"/>
      <c r="I120" s="52"/>
    </row>
    <row r="121" spans="1:10" ht="19.5" customHeight="1" x14ac:dyDescent="0.3">
      <c r="A121" s="212"/>
      <c r="B121" s="212"/>
      <c r="C121" s="213"/>
      <c r="D121" s="213"/>
      <c r="E121" s="213"/>
      <c r="F121" s="213"/>
      <c r="G121" s="213"/>
      <c r="H121" s="213"/>
    </row>
    <row r="122" spans="1:10" ht="18.75" x14ac:dyDescent="0.3">
      <c r="B122" s="860" t="s">
        <v>26</v>
      </c>
      <c r="C122" s="860"/>
      <c r="E122" s="165" t="s">
        <v>27</v>
      </c>
      <c r="F122" s="214"/>
      <c r="G122" s="860" t="s">
        <v>28</v>
      </c>
      <c r="H122" s="860"/>
    </row>
    <row r="123" spans="1:10" ht="69.95" customHeight="1" x14ac:dyDescent="0.3">
      <c r="A123" s="215" t="s">
        <v>29</v>
      </c>
      <c r="B123" s="216"/>
      <c r="C123" s="216"/>
      <c r="E123" s="216"/>
      <c r="F123" s="52"/>
      <c r="G123" s="217"/>
      <c r="H123" s="217"/>
    </row>
    <row r="124" spans="1:10" ht="69.95" customHeight="1" x14ac:dyDescent="0.3">
      <c r="A124" s="215" t="s">
        <v>30</v>
      </c>
      <c r="B124" s="218"/>
      <c r="C124" s="218"/>
      <c r="E124" s="218"/>
      <c r="F124" s="52"/>
      <c r="G124" s="219"/>
      <c r="H124" s="219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56" priority="1" operator="greaterThan">
      <formula>0.02</formula>
    </cfRule>
  </conditionalFormatting>
  <conditionalFormatting sqref="D51">
    <cfRule type="cellIs" dxfId="55" priority="2" operator="greaterThan">
      <formula>0.02</formula>
    </cfRule>
  </conditionalFormatting>
  <conditionalFormatting sqref="G73">
    <cfRule type="cellIs" dxfId="54" priority="3" operator="greaterThan">
      <formula>0.02</formula>
    </cfRule>
  </conditionalFormatting>
  <conditionalFormatting sqref="H73">
    <cfRule type="cellIs" dxfId="53" priority="4" operator="greaterThan">
      <formula>0.02</formula>
    </cfRule>
  </conditionalFormatting>
  <conditionalFormatting sqref="D104">
    <cfRule type="cellIs" dxfId="52" priority="5" operator="greaterThan">
      <formula>0.02</formula>
    </cfRule>
  </conditionalFormatting>
  <conditionalFormatting sqref="I39">
    <cfRule type="cellIs" dxfId="51" priority="6" operator="lessThanOrEqual">
      <formula>0.02</formula>
    </cfRule>
  </conditionalFormatting>
  <conditionalFormatting sqref="I39">
    <cfRule type="cellIs" dxfId="50" priority="7" operator="greaterThan">
      <formula>0.02</formula>
    </cfRule>
  </conditionalFormatting>
  <conditionalFormatting sqref="I92">
    <cfRule type="cellIs" dxfId="49" priority="8" operator="lessThanOrEqual">
      <formula>0.02</formula>
    </cfRule>
  </conditionalFormatting>
  <conditionalFormatting sqref="I92">
    <cfRule type="cellIs" dxfId="4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60" zoomScaleNormal="40" zoomScalePageLayoutView="50" workbookViewId="0">
      <selection activeCell="F65" sqref="F6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53" t="s">
        <v>45</v>
      </c>
      <c r="B1" s="853"/>
      <c r="C1" s="853"/>
      <c r="D1" s="853"/>
      <c r="E1" s="853"/>
      <c r="F1" s="853"/>
      <c r="G1" s="853"/>
      <c r="H1" s="853"/>
      <c r="I1" s="853"/>
    </row>
    <row r="2" spans="1:9" ht="18.75" customHeight="1" x14ac:dyDescent="0.25">
      <c r="A2" s="853"/>
      <c r="B2" s="853"/>
      <c r="C2" s="853"/>
      <c r="D2" s="853"/>
      <c r="E2" s="853"/>
      <c r="F2" s="853"/>
      <c r="G2" s="853"/>
      <c r="H2" s="853"/>
      <c r="I2" s="853"/>
    </row>
    <row r="3" spans="1:9" ht="18.75" customHeight="1" x14ac:dyDescent="0.25">
      <c r="A3" s="853"/>
      <c r="B3" s="853"/>
      <c r="C3" s="853"/>
      <c r="D3" s="853"/>
      <c r="E3" s="853"/>
      <c r="F3" s="853"/>
      <c r="G3" s="853"/>
      <c r="H3" s="853"/>
      <c r="I3" s="853"/>
    </row>
    <row r="4" spans="1:9" ht="18.75" customHeight="1" x14ac:dyDescent="0.25">
      <c r="A4" s="853"/>
      <c r="B4" s="853"/>
      <c r="C4" s="853"/>
      <c r="D4" s="853"/>
      <c r="E4" s="853"/>
      <c r="F4" s="853"/>
      <c r="G4" s="853"/>
      <c r="H4" s="853"/>
      <c r="I4" s="853"/>
    </row>
    <row r="5" spans="1:9" ht="18.75" customHeight="1" x14ac:dyDescent="0.25">
      <c r="A5" s="853"/>
      <c r="B5" s="853"/>
      <c r="C5" s="853"/>
      <c r="D5" s="853"/>
      <c r="E5" s="853"/>
      <c r="F5" s="853"/>
      <c r="G5" s="853"/>
      <c r="H5" s="853"/>
      <c r="I5" s="853"/>
    </row>
    <row r="6" spans="1:9" ht="18.75" customHeight="1" x14ac:dyDescent="0.25">
      <c r="A6" s="853"/>
      <c r="B6" s="853"/>
      <c r="C6" s="853"/>
      <c r="D6" s="853"/>
      <c r="E6" s="853"/>
      <c r="F6" s="853"/>
      <c r="G6" s="853"/>
      <c r="H6" s="853"/>
      <c r="I6" s="853"/>
    </row>
    <row r="7" spans="1:9" ht="18.75" customHeight="1" x14ac:dyDescent="0.25">
      <c r="A7" s="853"/>
      <c r="B7" s="853"/>
      <c r="C7" s="853"/>
      <c r="D7" s="853"/>
      <c r="E7" s="853"/>
      <c r="F7" s="853"/>
      <c r="G7" s="853"/>
      <c r="H7" s="853"/>
      <c r="I7" s="853"/>
    </row>
    <row r="8" spans="1:9" x14ac:dyDescent="0.25">
      <c r="A8" s="854" t="s">
        <v>46</v>
      </c>
      <c r="B8" s="854"/>
      <c r="C8" s="854"/>
      <c r="D8" s="854"/>
      <c r="E8" s="854"/>
      <c r="F8" s="854"/>
      <c r="G8" s="854"/>
      <c r="H8" s="854"/>
      <c r="I8" s="854"/>
    </row>
    <row r="9" spans="1:9" x14ac:dyDescent="0.25">
      <c r="A9" s="854"/>
      <c r="B9" s="854"/>
      <c r="C9" s="854"/>
      <c r="D9" s="854"/>
      <c r="E9" s="854"/>
      <c r="F9" s="854"/>
      <c r="G9" s="854"/>
      <c r="H9" s="854"/>
      <c r="I9" s="854"/>
    </row>
    <row r="10" spans="1:9" x14ac:dyDescent="0.25">
      <c r="A10" s="854"/>
      <c r="B10" s="854"/>
      <c r="C10" s="854"/>
      <c r="D10" s="854"/>
      <c r="E10" s="854"/>
      <c r="F10" s="854"/>
      <c r="G10" s="854"/>
      <c r="H10" s="854"/>
      <c r="I10" s="854"/>
    </row>
    <row r="11" spans="1:9" x14ac:dyDescent="0.25">
      <c r="A11" s="854"/>
      <c r="B11" s="854"/>
      <c r="C11" s="854"/>
      <c r="D11" s="854"/>
      <c r="E11" s="854"/>
      <c r="F11" s="854"/>
      <c r="G11" s="854"/>
      <c r="H11" s="854"/>
      <c r="I11" s="854"/>
    </row>
    <row r="12" spans="1:9" x14ac:dyDescent="0.25">
      <c r="A12" s="854"/>
      <c r="B12" s="854"/>
      <c r="C12" s="854"/>
      <c r="D12" s="854"/>
      <c r="E12" s="854"/>
      <c r="F12" s="854"/>
      <c r="G12" s="854"/>
      <c r="H12" s="854"/>
      <c r="I12" s="854"/>
    </row>
    <row r="13" spans="1:9" x14ac:dyDescent="0.25">
      <c r="A13" s="854"/>
      <c r="B13" s="854"/>
      <c r="C13" s="854"/>
      <c r="D13" s="854"/>
      <c r="E13" s="854"/>
      <c r="F13" s="854"/>
      <c r="G13" s="854"/>
      <c r="H13" s="854"/>
      <c r="I13" s="854"/>
    </row>
    <row r="14" spans="1:9" x14ac:dyDescent="0.25">
      <c r="A14" s="854"/>
      <c r="B14" s="854"/>
      <c r="C14" s="854"/>
      <c r="D14" s="854"/>
      <c r="E14" s="854"/>
      <c r="F14" s="854"/>
      <c r="G14" s="854"/>
      <c r="H14" s="854"/>
      <c r="I14" s="854"/>
    </row>
    <row r="15" spans="1:9" ht="19.5" customHeight="1" x14ac:dyDescent="0.3">
      <c r="A15" s="235"/>
    </row>
    <row r="16" spans="1:9" ht="19.5" customHeight="1" x14ac:dyDescent="0.3">
      <c r="A16" s="887" t="s">
        <v>31</v>
      </c>
      <c r="B16" s="888"/>
      <c r="C16" s="888"/>
      <c r="D16" s="888"/>
      <c r="E16" s="888"/>
      <c r="F16" s="888"/>
      <c r="G16" s="888"/>
      <c r="H16" s="889"/>
    </row>
    <row r="17" spans="1:14" ht="20.25" customHeight="1" x14ac:dyDescent="0.25">
      <c r="A17" s="890" t="s">
        <v>47</v>
      </c>
      <c r="B17" s="890"/>
      <c r="C17" s="890"/>
      <c r="D17" s="890"/>
      <c r="E17" s="890"/>
      <c r="F17" s="890"/>
      <c r="G17" s="890"/>
      <c r="H17" s="890"/>
    </row>
    <row r="18" spans="1:14" ht="26.25" customHeight="1" x14ac:dyDescent="0.4">
      <c r="A18" s="237" t="s">
        <v>33</v>
      </c>
      <c r="B18" s="886" t="s">
        <v>5</v>
      </c>
      <c r="C18" s="886"/>
      <c r="D18" s="404"/>
      <c r="E18" s="238"/>
      <c r="F18" s="239"/>
      <c r="G18" s="239"/>
      <c r="H18" s="239"/>
    </row>
    <row r="19" spans="1:14" ht="26.25" customHeight="1" x14ac:dyDescent="0.4">
      <c r="A19" s="237" t="s">
        <v>34</v>
      </c>
      <c r="B19" s="240" t="s">
        <v>7</v>
      </c>
      <c r="C19" s="417">
        <v>29</v>
      </c>
      <c r="D19" s="239"/>
      <c r="E19" s="239"/>
      <c r="F19" s="239"/>
      <c r="G19" s="239"/>
      <c r="H19" s="239"/>
    </row>
    <row r="20" spans="1:14" ht="26.25" customHeight="1" x14ac:dyDescent="0.4">
      <c r="A20" s="237" t="s">
        <v>35</v>
      </c>
      <c r="B20" s="891" t="s">
        <v>9</v>
      </c>
      <c r="C20" s="891"/>
      <c r="D20" s="239"/>
      <c r="E20" s="239"/>
      <c r="F20" s="239"/>
      <c r="G20" s="239"/>
      <c r="H20" s="239"/>
    </row>
    <row r="21" spans="1:14" ht="26.25" customHeight="1" x14ac:dyDescent="0.4">
      <c r="A21" s="237" t="s">
        <v>36</v>
      </c>
      <c r="B21" s="891" t="s">
        <v>11</v>
      </c>
      <c r="C21" s="891"/>
      <c r="D21" s="891"/>
      <c r="E21" s="891"/>
      <c r="F21" s="891"/>
      <c r="G21" s="891"/>
      <c r="H21" s="891"/>
      <c r="I21" s="241"/>
    </row>
    <row r="22" spans="1:14" ht="26.25" customHeight="1" x14ac:dyDescent="0.4">
      <c r="A22" s="237" t="s">
        <v>37</v>
      </c>
      <c r="B22" s="242" t="s">
        <v>12</v>
      </c>
      <c r="C22" s="239"/>
      <c r="D22" s="239"/>
      <c r="E22" s="239"/>
      <c r="F22" s="239"/>
      <c r="G22" s="239"/>
      <c r="H22" s="239"/>
    </row>
    <row r="23" spans="1:14" ht="26.25" customHeight="1" x14ac:dyDescent="0.4">
      <c r="A23" s="237" t="s">
        <v>38</v>
      </c>
      <c r="B23" s="242"/>
      <c r="C23" s="239"/>
      <c r="D23" s="239"/>
      <c r="E23" s="239"/>
      <c r="F23" s="239"/>
      <c r="G23" s="239"/>
      <c r="H23" s="239"/>
    </row>
    <row r="24" spans="1:14" ht="18.75" x14ac:dyDescent="0.3">
      <c r="A24" s="237"/>
      <c r="B24" s="243"/>
    </row>
    <row r="25" spans="1:14" ht="18.75" x14ac:dyDescent="0.3">
      <c r="A25" s="244" t="s">
        <v>1</v>
      </c>
      <c r="B25" s="243"/>
    </row>
    <row r="26" spans="1:14" ht="26.25" customHeight="1" x14ac:dyDescent="0.4">
      <c r="A26" s="245" t="s">
        <v>4</v>
      </c>
      <c r="B26" s="886" t="s">
        <v>125</v>
      </c>
      <c r="C26" s="886"/>
    </row>
    <row r="27" spans="1:14" ht="26.25" customHeight="1" x14ac:dyDescent="0.4">
      <c r="A27" s="246" t="s">
        <v>48</v>
      </c>
      <c r="B27" s="884" t="s">
        <v>129</v>
      </c>
      <c r="C27" s="884"/>
    </row>
    <row r="28" spans="1:14" ht="27" customHeight="1" x14ac:dyDescent="0.4">
      <c r="A28" s="246" t="s">
        <v>6</v>
      </c>
      <c r="B28" s="247">
        <v>98.8</v>
      </c>
    </row>
    <row r="29" spans="1:14" s="3" customFormat="1" ht="27" customHeight="1" x14ac:dyDescent="0.4">
      <c r="A29" s="246" t="s">
        <v>49</v>
      </c>
      <c r="B29" s="248"/>
      <c r="C29" s="861" t="s">
        <v>50</v>
      </c>
      <c r="D29" s="862"/>
      <c r="E29" s="862"/>
      <c r="F29" s="862"/>
      <c r="G29" s="863"/>
      <c r="I29" s="249"/>
      <c r="J29" s="249"/>
      <c r="K29" s="249"/>
      <c r="L29" s="249"/>
    </row>
    <row r="30" spans="1:14" s="3" customFormat="1" ht="19.5" customHeight="1" x14ac:dyDescent="0.3">
      <c r="A30" s="246" t="s">
        <v>51</v>
      </c>
      <c r="B30" s="250">
        <f>B28-B29</f>
        <v>98.8</v>
      </c>
      <c r="C30" s="251"/>
      <c r="D30" s="251"/>
      <c r="E30" s="251"/>
      <c r="F30" s="251"/>
      <c r="G30" s="252"/>
      <c r="I30" s="249"/>
      <c r="J30" s="249"/>
      <c r="K30" s="249"/>
      <c r="L30" s="249"/>
    </row>
    <row r="31" spans="1:14" s="3" customFormat="1" ht="27" customHeight="1" x14ac:dyDescent="0.4">
      <c r="A31" s="246" t="s">
        <v>52</v>
      </c>
      <c r="B31" s="253">
        <v>1</v>
      </c>
      <c r="C31" s="864" t="s">
        <v>53</v>
      </c>
      <c r="D31" s="865"/>
      <c r="E31" s="865"/>
      <c r="F31" s="865"/>
      <c r="G31" s="865"/>
      <c r="H31" s="866"/>
      <c r="I31" s="249"/>
      <c r="J31" s="249"/>
      <c r="K31" s="249"/>
      <c r="L31" s="249"/>
    </row>
    <row r="32" spans="1:14" s="3" customFormat="1" ht="27" customHeight="1" x14ac:dyDescent="0.4">
      <c r="A32" s="246" t="s">
        <v>54</v>
      </c>
      <c r="B32" s="253">
        <v>1</v>
      </c>
      <c r="C32" s="864" t="s">
        <v>55</v>
      </c>
      <c r="D32" s="865"/>
      <c r="E32" s="865"/>
      <c r="F32" s="865"/>
      <c r="G32" s="865"/>
      <c r="H32" s="866"/>
      <c r="I32" s="249"/>
      <c r="J32" s="249"/>
      <c r="K32" s="249"/>
      <c r="L32" s="254"/>
      <c r="M32" s="254"/>
      <c r="N32" s="255"/>
    </row>
    <row r="33" spans="1:14" s="3" customFormat="1" ht="17.25" customHeight="1" x14ac:dyDescent="0.3">
      <c r="A33" s="246"/>
      <c r="B33" s="256"/>
      <c r="C33" s="257"/>
      <c r="D33" s="257"/>
      <c r="E33" s="257"/>
      <c r="F33" s="257"/>
      <c r="G33" s="257"/>
      <c r="H33" s="257"/>
      <c r="I33" s="249"/>
      <c r="J33" s="249"/>
      <c r="K33" s="249"/>
      <c r="L33" s="254"/>
      <c r="M33" s="254"/>
      <c r="N33" s="255"/>
    </row>
    <row r="34" spans="1:14" s="3" customFormat="1" ht="18.75" x14ac:dyDescent="0.3">
      <c r="A34" s="246" t="s">
        <v>56</v>
      </c>
      <c r="B34" s="258">
        <f>B31/B32</f>
        <v>1</v>
      </c>
      <c r="C34" s="236" t="s">
        <v>57</v>
      </c>
      <c r="D34" s="236"/>
      <c r="E34" s="236"/>
      <c r="F34" s="236"/>
      <c r="G34" s="236"/>
      <c r="I34" s="249"/>
      <c r="J34" s="249"/>
      <c r="K34" s="249"/>
      <c r="L34" s="254"/>
      <c r="M34" s="254"/>
      <c r="N34" s="255"/>
    </row>
    <row r="35" spans="1:14" s="3" customFormat="1" ht="19.5" customHeight="1" x14ac:dyDescent="0.3">
      <c r="A35" s="246"/>
      <c r="B35" s="250"/>
      <c r="G35" s="236"/>
      <c r="I35" s="249"/>
      <c r="J35" s="249"/>
      <c r="K35" s="249"/>
      <c r="L35" s="254"/>
      <c r="M35" s="254"/>
      <c r="N35" s="255"/>
    </row>
    <row r="36" spans="1:14" s="3" customFormat="1" ht="27" customHeight="1" x14ac:dyDescent="0.4">
      <c r="A36" s="259" t="s">
        <v>58</v>
      </c>
      <c r="B36" s="260">
        <v>20</v>
      </c>
      <c r="C36" s="236"/>
      <c r="D36" s="867" t="s">
        <v>59</v>
      </c>
      <c r="E36" s="885"/>
      <c r="F36" s="867" t="s">
        <v>60</v>
      </c>
      <c r="G36" s="868"/>
      <c r="J36" s="249"/>
      <c r="K36" s="249"/>
      <c r="L36" s="254"/>
      <c r="M36" s="254"/>
      <c r="N36" s="255"/>
    </row>
    <row r="37" spans="1:14" s="3" customFormat="1" ht="27" customHeight="1" thickBot="1" x14ac:dyDescent="0.45">
      <c r="A37" s="261" t="s">
        <v>61</v>
      </c>
      <c r="B37" s="262">
        <v>4</v>
      </c>
      <c r="C37" s="263" t="s">
        <v>62</v>
      </c>
      <c r="D37" s="264" t="s">
        <v>63</v>
      </c>
      <c r="E37" s="265" t="s">
        <v>64</v>
      </c>
      <c r="F37" s="264" t="s">
        <v>63</v>
      </c>
      <c r="G37" s="266" t="s">
        <v>64</v>
      </c>
      <c r="I37" s="267" t="s">
        <v>65</v>
      </c>
      <c r="J37" s="249"/>
      <c r="K37" s="249"/>
      <c r="L37" s="254"/>
      <c r="M37" s="254"/>
      <c r="N37" s="255"/>
    </row>
    <row r="38" spans="1:14" s="3" customFormat="1" ht="26.25" customHeight="1" x14ac:dyDescent="0.4">
      <c r="A38" s="261" t="s">
        <v>66</v>
      </c>
      <c r="B38" s="262">
        <v>20</v>
      </c>
      <c r="C38" s="268">
        <v>1</v>
      </c>
      <c r="D38" s="585">
        <v>104982067</v>
      </c>
      <c r="E38" s="270">
        <f>IF(ISBLANK(D38),"-",$D$48/$D$45*D38)</f>
        <v>104841788.68673715</v>
      </c>
      <c r="F38" s="588">
        <v>96508795</v>
      </c>
      <c r="G38" s="271">
        <f>IF(ISBLANK(F38),"-",$D$48/$F$45*F38)</f>
        <v>105944649.23990268</v>
      </c>
      <c r="I38" s="272"/>
      <c r="J38" s="249"/>
      <c r="K38" s="249"/>
      <c r="L38" s="254"/>
      <c r="M38" s="254"/>
      <c r="N38" s="255"/>
    </row>
    <row r="39" spans="1:14" s="3" customFormat="1" ht="26.25" customHeight="1" x14ac:dyDescent="0.4">
      <c r="A39" s="261" t="s">
        <v>67</v>
      </c>
      <c r="B39" s="262">
        <v>1</v>
      </c>
      <c r="C39" s="273">
        <v>2</v>
      </c>
      <c r="D39" s="586">
        <v>104965288</v>
      </c>
      <c r="E39" s="275">
        <f>IF(ISBLANK(D39),"-",$D$48/$D$45*D39)</f>
        <v>104825032.10704079</v>
      </c>
      <c r="F39" s="589">
        <v>96508795</v>
      </c>
      <c r="G39" s="276">
        <f>IF(ISBLANK(F39),"-",$D$48/$F$45*F39)</f>
        <v>105944649.23990268</v>
      </c>
      <c r="I39" s="869">
        <f>ABS((F43/D43*D42)-F42)/D42</f>
        <v>9.0093780779455877E-3</v>
      </c>
      <c r="J39" s="249"/>
      <c r="K39" s="249"/>
      <c r="L39" s="254"/>
      <c r="M39" s="254"/>
      <c r="N39" s="255"/>
    </row>
    <row r="40" spans="1:14" ht="26.25" customHeight="1" x14ac:dyDescent="0.4">
      <c r="A40" s="261" t="s">
        <v>68</v>
      </c>
      <c r="B40" s="262">
        <v>1</v>
      </c>
      <c r="C40" s="273">
        <v>3</v>
      </c>
      <c r="D40" s="586">
        <v>104977378</v>
      </c>
      <c r="E40" s="275">
        <f>IF(ISBLANK(D40),"-",$D$48/$D$45*D40)</f>
        <v>104837105.95223591</v>
      </c>
      <c r="F40" s="589">
        <v>96312635</v>
      </c>
      <c r="G40" s="276">
        <f>IF(ISBLANK(F40),"-",$D$48/$F$45*F40)</f>
        <v>105729310.29183169</v>
      </c>
      <c r="I40" s="869"/>
      <c r="L40" s="254"/>
      <c r="M40" s="254"/>
      <c r="N40" s="277"/>
    </row>
    <row r="41" spans="1:14" ht="27" customHeight="1" thickBot="1" x14ac:dyDescent="0.45">
      <c r="A41" s="261" t="s">
        <v>69</v>
      </c>
      <c r="B41" s="262">
        <v>1</v>
      </c>
      <c r="C41" s="278">
        <v>4</v>
      </c>
      <c r="D41" s="587"/>
      <c r="E41" s="280" t="str">
        <f>IF(ISBLANK(D41),"-",$D$48/$D$45*D41)</f>
        <v>-</v>
      </c>
      <c r="F41" s="590"/>
      <c r="G41" s="281" t="str">
        <f>IF(ISBLANK(F41),"-",$D$48/$F$45*F41)</f>
        <v>-</v>
      </c>
      <c r="I41" s="282"/>
      <c r="L41" s="254"/>
      <c r="M41" s="254"/>
      <c r="N41" s="277"/>
    </row>
    <row r="42" spans="1:14" ht="27" customHeight="1" thickBot="1" x14ac:dyDescent="0.45">
      <c r="A42" s="261" t="s">
        <v>70</v>
      </c>
      <c r="B42" s="262">
        <v>1</v>
      </c>
      <c r="C42" s="283" t="s">
        <v>71</v>
      </c>
      <c r="D42" s="284">
        <f>AVERAGE(D38:D41)</f>
        <v>104974911</v>
      </c>
      <c r="E42" s="285">
        <f>AVERAGE(E38:E41)</f>
        <v>104834642.24867129</v>
      </c>
      <c r="F42" s="284">
        <f>AVERAGE(F38:F41)</f>
        <v>96443408.333333328</v>
      </c>
      <c r="G42" s="286">
        <f>AVERAGE(G38:G41)</f>
        <v>105872869.59054567</v>
      </c>
      <c r="H42" s="287"/>
    </row>
    <row r="43" spans="1:14" ht="26.25" customHeight="1" x14ac:dyDescent="0.4">
      <c r="A43" s="261" t="s">
        <v>72</v>
      </c>
      <c r="B43" s="262">
        <v>1</v>
      </c>
      <c r="C43" s="288" t="s">
        <v>73</v>
      </c>
      <c r="D43" s="289">
        <v>20.27</v>
      </c>
      <c r="E43" s="277"/>
      <c r="F43" s="289">
        <v>18.440000000000001</v>
      </c>
      <c r="H43" s="287"/>
    </row>
    <row r="44" spans="1:14" ht="26.25" customHeight="1" x14ac:dyDescent="0.4">
      <c r="A44" s="261" t="s">
        <v>74</v>
      </c>
      <c r="B44" s="262">
        <v>1</v>
      </c>
      <c r="C44" s="290" t="s">
        <v>75</v>
      </c>
      <c r="D44" s="291">
        <f>D43*$B$34</f>
        <v>20.27</v>
      </c>
      <c r="E44" s="292"/>
      <c r="F44" s="291">
        <f>F43*$B$34</f>
        <v>18.440000000000001</v>
      </c>
      <c r="H44" s="287"/>
    </row>
    <row r="45" spans="1:14" ht="19.5" customHeight="1" x14ac:dyDescent="0.3">
      <c r="A45" s="261" t="s">
        <v>76</v>
      </c>
      <c r="B45" s="293">
        <f>(B44/B43)*(B42/B41)*(B40/B39)*(B38/B37)*B36</f>
        <v>100</v>
      </c>
      <c r="C45" s="290" t="s">
        <v>77</v>
      </c>
      <c r="D45" s="294">
        <f>D44*$B$30/100</f>
        <v>20.026759999999999</v>
      </c>
      <c r="E45" s="295"/>
      <c r="F45" s="294">
        <f>F44*$B$30/100</f>
        <v>18.218720000000001</v>
      </c>
      <c r="H45" s="287"/>
    </row>
    <row r="46" spans="1:14" ht="19.5" customHeight="1" x14ac:dyDescent="0.3">
      <c r="A46" s="855" t="s">
        <v>78</v>
      </c>
      <c r="B46" s="856"/>
      <c r="C46" s="290" t="s">
        <v>79</v>
      </c>
      <c r="D46" s="296">
        <f>D45/$B$45</f>
        <v>0.20026759999999999</v>
      </c>
      <c r="E46" s="297"/>
      <c r="F46" s="298">
        <f>F45/$B$45</f>
        <v>0.18218720000000002</v>
      </c>
      <c r="H46" s="287"/>
    </row>
    <row r="47" spans="1:14" ht="27" customHeight="1" x14ac:dyDescent="0.4">
      <c r="A47" s="857"/>
      <c r="B47" s="858"/>
      <c r="C47" s="299" t="s">
        <v>80</v>
      </c>
      <c r="D47" s="300">
        <v>0.2</v>
      </c>
      <c r="E47" s="301"/>
      <c r="F47" s="297"/>
      <c r="H47" s="287"/>
    </row>
    <row r="48" spans="1:14" ht="18.75" x14ac:dyDescent="0.3">
      <c r="C48" s="302" t="s">
        <v>81</v>
      </c>
      <c r="D48" s="294">
        <f>D47*$B$45</f>
        <v>20</v>
      </c>
      <c r="F48" s="303"/>
      <c r="H48" s="287"/>
    </row>
    <row r="49" spans="1:12" ht="19.5" customHeight="1" x14ac:dyDescent="0.3">
      <c r="C49" s="304" t="s">
        <v>82</v>
      </c>
      <c r="D49" s="305">
        <f>D48/B34</f>
        <v>20</v>
      </c>
      <c r="F49" s="303"/>
      <c r="H49" s="287"/>
    </row>
    <row r="50" spans="1:12" ht="18.75" x14ac:dyDescent="0.3">
      <c r="C50" s="259" t="s">
        <v>83</v>
      </c>
      <c r="D50" s="306">
        <f>AVERAGE(E38:E41,G38:G41)</f>
        <v>105353755.91960849</v>
      </c>
      <c r="F50" s="307"/>
      <c r="H50" s="287"/>
    </row>
    <row r="51" spans="1:12" ht="18.75" x14ac:dyDescent="0.3">
      <c r="C51" s="261" t="s">
        <v>84</v>
      </c>
      <c r="D51" s="308">
        <f>STDEV(E38:E41,G38:G41)/D50</f>
        <v>5.4492324369199169E-3</v>
      </c>
      <c r="F51" s="307"/>
      <c r="H51" s="287"/>
    </row>
    <row r="52" spans="1:12" ht="19.5" customHeight="1" x14ac:dyDescent="0.3">
      <c r="C52" s="309" t="s">
        <v>20</v>
      </c>
      <c r="D52" s="310">
        <f>COUNT(E38:E41,G38:G41)</f>
        <v>6</v>
      </c>
      <c r="F52" s="307"/>
    </row>
    <row r="54" spans="1:12" ht="18.75" x14ac:dyDescent="0.3">
      <c r="A54" s="311" t="s">
        <v>1</v>
      </c>
      <c r="B54" s="312" t="s">
        <v>85</v>
      </c>
    </row>
    <row r="55" spans="1:12" ht="18.75" x14ac:dyDescent="0.3">
      <c r="A55" s="236" t="s">
        <v>86</v>
      </c>
      <c r="B55" s="313" t="str">
        <f>B21</f>
        <v xml:space="preserve">Lamivudine 150mg + Zidovudine 300mg + Nevirapine 200mg </v>
      </c>
    </row>
    <row r="56" spans="1:12" ht="26.25" customHeight="1" x14ac:dyDescent="0.4">
      <c r="A56" s="314" t="s">
        <v>87</v>
      </c>
      <c r="B56" s="315">
        <v>200</v>
      </c>
      <c r="C56" s="236" t="str">
        <f>B20</f>
        <v>Lamivudine     Nevirapine and Zidovudine</v>
      </c>
      <c r="H56" s="316"/>
    </row>
    <row r="57" spans="1:12" ht="18.75" x14ac:dyDescent="0.3">
      <c r="A57" s="313" t="s">
        <v>88</v>
      </c>
      <c r="B57" s="405">
        <f>Uniformity!C46</f>
        <v>1132.2864999999999</v>
      </c>
      <c r="H57" s="316"/>
    </row>
    <row r="58" spans="1:12" ht="19.5" customHeight="1" x14ac:dyDescent="0.3">
      <c r="H58" s="316"/>
    </row>
    <row r="59" spans="1:12" s="3" customFormat="1" ht="27" customHeight="1" x14ac:dyDescent="0.4">
      <c r="A59" s="259" t="s">
        <v>89</v>
      </c>
      <c r="B59" s="260">
        <v>100</v>
      </c>
      <c r="C59" s="236"/>
      <c r="D59" s="317" t="s">
        <v>90</v>
      </c>
      <c r="E59" s="318" t="s">
        <v>62</v>
      </c>
      <c r="F59" s="318" t="s">
        <v>63</v>
      </c>
      <c r="G59" s="318" t="s">
        <v>91</v>
      </c>
      <c r="H59" s="263" t="s">
        <v>92</v>
      </c>
      <c r="L59" s="249"/>
    </row>
    <row r="60" spans="1:12" s="3" customFormat="1" ht="26.25" customHeight="1" x14ac:dyDescent="0.4">
      <c r="A60" s="261" t="s">
        <v>93</v>
      </c>
      <c r="B60" s="262">
        <v>5</v>
      </c>
      <c r="C60" s="872" t="s">
        <v>94</v>
      </c>
      <c r="D60" s="875">
        <v>1130.02</v>
      </c>
      <c r="E60" s="319">
        <v>1</v>
      </c>
      <c r="F60" s="320">
        <v>103055231</v>
      </c>
      <c r="G60" s="406">
        <f>IF(ISBLANK(F60),"-",(F60/$D$50*$D$47*$B$68)*($B$57/$D$60))</f>
        <v>196.02894969966118</v>
      </c>
      <c r="H60" s="321">
        <f t="shared" ref="H60:H71" si="0">IF(ISBLANK(F60),"-",G60/$B$56)</f>
        <v>0.98014474849830591</v>
      </c>
      <c r="L60" s="249"/>
    </row>
    <row r="61" spans="1:12" s="3" customFormat="1" ht="26.25" customHeight="1" x14ac:dyDescent="0.4">
      <c r="A61" s="261" t="s">
        <v>95</v>
      </c>
      <c r="B61" s="262">
        <v>50</v>
      </c>
      <c r="C61" s="873"/>
      <c r="D61" s="876"/>
      <c r="E61" s="322">
        <v>2</v>
      </c>
      <c r="F61" s="274">
        <v>107711446</v>
      </c>
      <c r="G61" s="407">
        <f>IF(ISBLANK(F61),"-",(F61/$D$50*$D$47*$B$68)*($B$57/$D$60))</f>
        <v>204.88587939812365</v>
      </c>
      <c r="H61" s="323">
        <f t="shared" si="0"/>
        <v>1.0244293969906182</v>
      </c>
      <c r="L61" s="249"/>
    </row>
    <row r="62" spans="1:12" s="3" customFormat="1" ht="26.25" customHeight="1" x14ac:dyDescent="0.4">
      <c r="A62" s="261" t="s">
        <v>96</v>
      </c>
      <c r="B62" s="262">
        <v>1</v>
      </c>
      <c r="C62" s="873"/>
      <c r="D62" s="876"/>
      <c r="E62" s="322">
        <v>3</v>
      </c>
      <c r="F62" s="324">
        <v>107946400</v>
      </c>
      <c r="G62" s="407">
        <f>IF(ISBLANK(F62),"-",(F62/$D$50*$D$47*$B$68)*($B$57/$D$60))</f>
        <v>205.33280271682185</v>
      </c>
      <c r="H62" s="323">
        <f t="shared" si="0"/>
        <v>1.0266640135841092</v>
      </c>
      <c r="L62" s="249"/>
    </row>
    <row r="63" spans="1:12" ht="27" customHeight="1" x14ac:dyDescent="0.4">
      <c r="A63" s="261" t="s">
        <v>97</v>
      </c>
      <c r="B63" s="262">
        <v>1</v>
      </c>
      <c r="C63" s="883"/>
      <c r="D63" s="877"/>
      <c r="E63" s="325">
        <v>4</v>
      </c>
      <c r="F63" s="326"/>
      <c r="G63" s="407" t="str">
        <f>IF(ISBLANK(F63),"-",(F63/$D$50*$D$47*$B$68)*($B$57/$D$60))</f>
        <v>-</v>
      </c>
      <c r="H63" s="323" t="str">
        <f t="shared" si="0"/>
        <v>-</v>
      </c>
    </row>
    <row r="64" spans="1:12" ht="26.25" customHeight="1" x14ac:dyDescent="0.4">
      <c r="A64" s="261" t="s">
        <v>98</v>
      </c>
      <c r="B64" s="262">
        <v>1</v>
      </c>
      <c r="C64" s="872" t="s">
        <v>99</v>
      </c>
      <c r="D64" s="875">
        <v>1122.8</v>
      </c>
      <c r="E64" s="319">
        <v>1</v>
      </c>
      <c r="F64" s="320">
        <v>104989489</v>
      </c>
      <c r="G64" s="408">
        <f>IF(ISBLANK(F64),"-",(F64/$D$50*$D$47*$B$68)*($B$57/$D$64))</f>
        <v>200.99243883606141</v>
      </c>
      <c r="H64" s="327">
        <f t="shared" si="0"/>
        <v>1.0049621941803071</v>
      </c>
    </row>
    <row r="65" spans="1:8" ht="26.25" customHeight="1" x14ac:dyDescent="0.4">
      <c r="A65" s="261" t="s">
        <v>100</v>
      </c>
      <c r="B65" s="262">
        <v>1</v>
      </c>
      <c r="C65" s="873"/>
      <c r="D65" s="876"/>
      <c r="E65" s="322">
        <v>2</v>
      </c>
      <c r="F65" s="274"/>
      <c r="G65" s="409" t="str">
        <f>IF(ISBLANK(F65),"-",(F65/$D$50*$D$47*$B$68)*($B$57/$D$64))</f>
        <v>-</v>
      </c>
      <c r="H65" s="328" t="str">
        <f t="shared" si="0"/>
        <v>-</v>
      </c>
    </row>
    <row r="66" spans="1:8" ht="26.25" customHeight="1" x14ac:dyDescent="0.4">
      <c r="A66" s="261" t="s">
        <v>101</v>
      </c>
      <c r="B66" s="262">
        <v>1</v>
      </c>
      <c r="C66" s="873"/>
      <c r="D66" s="876"/>
      <c r="E66" s="322">
        <v>3</v>
      </c>
      <c r="F66" s="274"/>
      <c r="G66" s="409" t="str">
        <f>IF(ISBLANK(F66),"-",(F66/$D$50*$D$47*$B$68)*($B$57/$D$64))</f>
        <v>-</v>
      </c>
      <c r="H66" s="328" t="str">
        <f t="shared" si="0"/>
        <v>-</v>
      </c>
    </row>
    <row r="67" spans="1:8" ht="27" customHeight="1" x14ac:dyDescent="0.4">
      <c r="A67" s="261" t="s">
        <v>102</v>
      </c>
      <c r="B67" s="262">
        <v>1</v>
      </c>
      <c r="C67" s="883"/>
      <c r="D67" s="877"/>
      <c r="E67" s="325">
        <v>4</v>
      </c>
      <c r="F67" s="326"/>
      <c r="G67" s="410" t="str">
        <f>IF(ISBLANK(F67),"-",(F67/$D$50*$D$47*$B$68)*($B$57/$D$64))</f>
        <v>-</v>
      </c>
      <c r="H67" s="329" t="str">
        <f t="shared" si="0"/>
        <v>-</v>
      </c>
    </row>
    <row r="68" spans="1:8" ht="26.25" customHeight="1" x14ac:dyDescent="0.4">
      <c r="A68" s="261" t="s">
        <v>103</v>
      </c>
      <c r="B68" s="330">
        <f>(B67/B66)*(B65/B64)*(B63/B62)*(B61/B60)*B59</f>
        <v>1000</v>
      </c>
      <c r="C68" s="872" t="s">
        <v>104</v>
      </c>
      <c r="D68" s="875">
        <v>1137.53</v>
      </c>
      <c r="E68" s="319">
        <v>1</v>
      </c>
      <c r="F68" s="320">
        <v>106030301</v>
      </c>
      <c r="G68" s="408">
        <f>IF(ISBLANK(F68),"-",(F68/$D$50*$D$47*$B$68)*($B$57/$D$68))</f>
        <v>200.35650031903484</v>
      </c>
      <c r="H68" s="323">
        <f t="shared" si="0"/>
        <v>1.0017825015951742</v>
      </c>
    </row>
    <row r="69" spans="1:8" ht="27" customHeight="1" x14ac:dyDescent="0.4">
      <c r="A69" s="309" t="s">
        <v>105</v>
      </c>
      <c r="B69" s="331">
        <f>(D47*B68)/B56*B57</f>
        <v>1132.2864999999999</v>
      </c>
      <c r="C69" s="873"/>
      <c r="D69" s="876"/>
      <c r="E69" s="322">
        <v>2</v>
      </c>
      <c r="F69" s="274">
        <v>109792128</v>
      </c>
      <c r="G69" s="409">
        <f>IF(ISBLANK(F69),"-",(F69/$D$50*$D$47*$B$68)*($B$57/$D$68))</f>
        <v>207.4649069293834</v>
      </c>
      <c r="H69" s="323">
        <f t="shared" si="0"/>
        <v>1.0373245346469171</v>
      </c>
    </row>
    <row r="70" spans="1:8" ht="26.25" customHeight="1" x14ac:dyDescent="0.4">
      <c r="A70" s="878" t="s">
        <v>78</v>
      </c>
      <c r="B70" s="879"/>
      <c r="C70" s="873"/>
      <c r="D70" s="876"/>
      <c r="E70" s="322">
        <v>3</v>
      </c>
      <c r="F70" s="274">
        <v>108335112</v>
      </c>
      <c r="G70" s="409">
        <f>IF(ISBLANK(F70),"-",(F70/$D$50*$D$47*$B$68)*($B$57/$D$68))</f>
        <v>204.71170691093926</v>
      </c>
      <c r="H70" s="323">
        <f t="shared" si="0"/>
        <v>1.0235585345546963</v>
      </c>
    </row>
    <row r="71" spans="1:8" ht="27" customHeight="1" x14ac:dyDescent="0.4">
      <c r="A71" s="880"/>
      <c r="B71" s="881"/>
      <c r="C71" s="874"/>
      <c r="D71" s="877"/>
      <c r="E71" s="325">
        <v>4</v>
      </c>
      <c r="F71" s="326"/>
      <c r="G71" s="410" t="str">
        <f>IF(ISBLANK(F71),"-",(F71/$D$50*$D$47*$B$68)*($B$57/$D$68))</f>
        <v>-</v>
      </c>
      <c r="H71" s="332" t="str">
        <f t="shared" si="0"/>
        <v>-</v>
      </c>
    </row>
    <row r="72" spans="1:8" ht="26.25" customHeight="1" x14ac:dyDescent="0.4">
      <c r="A72" s="333"/>
      <c r="B72" s="333"/>
      <c r="C72" s="333"/>
      <c r="D72" s="333"/>
      <c r="E72" s="333"/>
      <c r="F72" s="335" t="s">
        <v>71</v>
      </c>
      <c r="G72" s="415">
        <f>AVERAGE(G60:G71)</f>
        <v>202.82474068714649</v>
      </c>
      <c r="H72" s="336">
        <f>AVERAGE(H60:H71)</f>
        <v>1.0141237034357327</v>
      </c>
    </row>
    <row r="73" spans="1:8" ht="26.25" customHeight="1" x14ac:dyDescent="0.4">
      <c r="C73" s="333"/>
      <c r="D73" s="333"/>
      <c r="E73" s="333"/>
      <c r="F73" s="337" t="s">
        <v>84</v>
      </c>
      <c r="G73" s="411">
        <f>STDEV(G60:G71)/G72</f>
        <v>1.9228715050069577E-2</v>
      </c>
      <c r="H73" s="411">
        <f>STDEV(H60:H71)/H72</f>
        <v>1.922871505006957E-2</v>
      </c>
    </row>
    <row r="74" spans="1:8" ht="27" customHeight="1" x14ac:dyDescent="0.4">
      <c r="A74" s="333"/>
      <c r="B74" s="333"/>
      <c r="C74" s="334"/>
      <c r="D74" s="334"/>
      <c r="E74" s="338"/>
      <c r="F74" s="339" t="s">
        <v>20</v>
      </c>
      <c r="G74" s="340">
        <f>COUNT(G60:G71)</f>
        <v>7</v>
      </c>
      <c r="H74" s="340">
        <f>COUNT(H60:H71)</f>
        <v>7</v>
      </c>
    </row>
    <row r="76" spans="1:8" ht="26.25" customHeight="1" x14ac:dyDescent="0.4">
      <c r="A76" s="245" t="s">
        <v>106</v>
      </c>
      <c r="B76" s="341" t="s">
        <v>107</v>
      </c>
      <c r="C76" s="859" t="str">
        <f>B20</f>
        <v>Lamivudine     Nevirapine and Zidovudine</v>
      </c>
      <c r="D76" s="859"/>
      <c r="E76" s="342" t="s">
        <v>108</v>
      </c>
      <c r="F76" s="342"/>
      <c r="G76" s="343">
        <f>H72</f>
        <v>1.0141237034357327</v>
      </c>
      <c r="H76" s="344"/>
    </row>
    <row r="77" spans="1:8" ht="18.75" x14ac:dyDescent="0.3">
      <c r="A77" s="244" t="s">
        <v>109</v>
      </c>
      <c r="B77" s="244" t="s">
        <v>110</v>
      </c>
    </row>
    <row r="78" spans="1:8" ht="18.75" x14ac:dyDescent="0.3">
      <c r="A78" s="244"/>
      <c r="B78" s="244"/>
    </row>
    <row r="79" spans="1:8" ht="26.25" customHeight="1" x14ac:dyDescent="0.4">
      <c r="A79" s="245" t="s">
        <v>4</v>
      </c>
      <c r="B79" s="882" t="str">
        <f>B26</f>
        <v>nevirapine</v>
      </c>
      <c r="C79" s="882"/>
    </row>
    <row r="80" spans="1:8" ht="26.25" customHeight="1" x14ac:dyDescent="0.4">
      <c r="A80" s="246" t="s">
        <v>48</v>
      </c>
      <c r="B80" s="882" t="str">
        <f>B27</f>
        <v>WRS NI-4</v>
      </c>
      <c r="C80" s="882"/>
    </row>
    <row r="81" spans="1:12" ht="27" customHeight="1" x14ac:dyDescent="0.4">
      <c r="A81" s="246" t="s">
        <v>6</v>
      </c>
      <c r="B81" s="345">
        <f>B28</f>
        <v>98.8</v>
      </c>
    </row>
    <row r="82" spans="1:12" s="3" customFormat="1" ht="27" customHeight="1" x14ac:dyDescent="0.4">
      <c r="A82" s="246" t="s">
        <v>49</v>
      </c>
      <c r="B82" s="248">
        <v>0</v>
      </c>
      <c r="C82" s="861" t="s">
        <v>50</v>
      </c>
      <c r="D82" s="862"/>
      <c r="E82" s="862"/>
      <c r="F82" s="862"/>
      <c r="G82" s="863"/>
      <c r="I82" s="249"/>
      <c r="J82" s="249"/>
      <c r="K82" s="249"/>
      <c r="L82" s="249"/>
    </row>
    <row r="83" spans="1:12" s="3" customFormat="1" ht="19.5" customHeight="1" x14ac:dyDescent="0.3">
      <c r="A83" s="246" t="s">
        <v>51</v>
      </c>
      <c r="B83" s="250">
        <f>B81-B82</f>
        <v>98.8</v>
      </c>
      <c r="C83" s="251"/>
      <c r="D83" s="251"/>
      <c r="E83" s="251"/>
      <c r="F83" s="251"/>
      <c r="G83" s="252"/>
      <c r="I83" s="249"/>
      <c r="J83" s="249"/>
      <c r="K83" s="249"/>
      <c r="L83" s="249"/>
    </row>
    <row r="84" spans="1:12" s="3" customFormat="1" ht="27" customHeight="1" x14ac:dyDescent="0.4">
      <c r="A84" s="246" t="s">
        <v>52</v>
      </c>
      <c r="B84" s="253">
        <v>1</v>
      </c>
      <c r="C84" s="864" t="s">
        <v>111</v>
      </c>
      <c r="D84" s="865"/>
      <c r="E84" s="865"/>
      <c r="F84" s="865"/>
      <c r="G84" s="865"/>
      <c r="H84" s="866"/>
      <c r="I84" s="249"/>
      <c r="J84" s="249"/>
      <c r="K84" s="249"/>
      <c r="L84" s="249"/>
    </row>
    <row r="85" spans="1:12" s="3" customFormat="1" ht="27" customHeight="1" x14ac:dyDescent="0.4">
      <c r="A85" s="246" t="s">
        <v>54</v>
      </c>
      <c r="B85" s="253">
        <v>1</v>
      </c>
      <c r="C85" s="864" t="s">
        <v>112</v>
      </c>
      <c r="D85" s="865"/>
      <c r="E85" s="865"/>
      <c r="F85" s="865"/>
      <c r="G85" s="865"/>
      <c r="H85" s="866"/>
      <c r="I85" s="249"/>
      <c r="J85" s="249"/>
      <c r="K85" s="249"/>
      <c r="L85" s="249"/>
    </row>
    <row r="86" spans="1:12" s="3" customFormat="1" ht="18.75" x14ac:dyDescent="0.3">
      <c r="A86" s="246"/>
      <c r="B86" s="256"/>
      <c r="C86" s="257"/>
      <c r="D86" s="257"/>
      <c r="E86" s="257"/>
      <c r="F86" s="257"/>
      <c r="G86" s="257"/>
      <c r="H86" s="257"/>
      <c r="I86" s="249"/>
      <c r="J86" s="249"/>
      <c r="K86" s="249"/>
      <c r="L86" s="249"/>
    </row>
    <row r="87" spans="1:12" s="3" customFormat="1" ht="18.75" x14ac:dyDescent="0.3">
      <c r="A87" s="246" t="s">
        <v>56</v>
      </c>
      <c r="B87" s="258">
        <f>B84/B85</f>
        <v>1</v>
      </c>
      <c r="C87" s="236" t="s">
        <v>57</v>
      </c>
      <c r="D87" s="236"/>
      <c r="E87" s="236"/>
      <c r="F87" s="236"/>
      <c r="G87" s="236"/>
      <c r="I87" s="249"/>
      <c r="J87" s="249"/>
      <c r="K87" s="249"/>
      <c r="L87" s="249"/>
    </row>
    <row r="88" spans="1:12" ht="19.5" customHeight="1" x14ac:dyDescent="0.3">
      <c r="A88" s="244"/>
      <c r="B88" s="244"/>
    </row>
    <row r="89" spans="1:12" ht="27" customHeight="1" x14ac:dyDescent="0.4">
      <c r="A89" s="259" t="s">
        <v>58</v>
      </c>
      <c r="B89" s="260">
        <v>20</v>
      </c>
      <c r="D89" s="346" t="s">
        <v>59</v>
      </c>
      <c r="E89" s="347"/>
      <c r="F89" s="867" t="s">
        <v>60</v>
      </c>
      <c r="G89" s="868"/>
    </row>
    <row r="90" spans="1:12" ht="27" customHeight="1" x14ac:dyDescent="0.4">
      <c r="A90" s="261" t="s">
        <v>61</v>
      </c>
      <c r="B90" s="262">
        <v>4</v>
      </c>
      <c r="C90" s="348" t="s">
        <v>62</v>
      </c>
      <c r="D90" s="264" t="s">
        <v>63</v>
      </c>
      <c r="E90" s="265" t="s">
        <v>64</v>
      </c>
      <c r="F90" s="264" t="s">
        <v>63</v>
      </c>
      <c r="G90" s="349" t="s">
        <v>64</v>
      </c>
      <c r="I90" s="267" t="s">
        <v>65</v>
      </c>
    </row>
    <row r="91" spans="1:12" ht="26.25" customHeight="1" x14ac:dyDescent="0.4">
      <c r="A91" s="261" t="s">
        <v>66</v>
      </c>
      <c r="B91" s="262">
        <v>20</v>
      </c>
      <c r="C91" s="350">
        <v>1</v>
      </c>
      <c r="D91" s="269">
        <v>12828547</v>
      </c>
      <c r="E91" s="270">
        <f>IF(ISBLANK(D91),"-",$D$101/$D$98*D91)</f>
        <v>14061467.740676727</v>
      </c>
      <c r="F91" s="269">
        <v>11600761</v>
      </c>
      <c r="G91" s="271">
        <f>IF(ISBLANK(F91),"-",$D$101/$F$98*F91)</f>
        <v>13975672.119471628</v>
      </c>
      <c r="I91" s="272"/>
    </row>
    <row r="92" spans="1:12" ht="26.25" customHeight="1" x14ac:dyDescent="0.4">
      <c r="A92" s="261" t="s">
        <v>67</v>
      </c>
      <c r="B92" s="262">
        <v>1</v>
      </c>
      <c r="C92" s="334">
        <v>2</v>
      </c>
      <c r="D92" s="274">
        <v>12973061</v>
      </c>
      <c r="E92" s="275">
        <f>IF(ISBLANK(D92),"-",$D$101/$D$98*D92)</f>
        <v>14219870.632997749</v>
      </c>
      <c r="F92" s="274">
        <v>11626043</v>
      </c>
      <c r="G92" s="276">
        <f>IF(ISBLANK(F92),"-",$D$101/$F$98*F92)</f>
        <v>14006129.857763493</v>
      </c>
      <c r="I92" s="869">
        <f>ABS((F96/D96*D95)-F95)/D95</f>
        <v>8.2528761326839152E-3</v>
      </c>
    </row>
    <row r="93" spans="1:12" ht="26.25" customHeight="1" x14ac:dyDescent="0.4">
      <c r="A93" s="261" t="s">
        <v>68</v>
      </c>
      <c r="B93" s="262">
        <v>1</v>
      </c>
      <c r="C93" s="334">
        <v>3</v>
      </c>
      <c r="D93" s="274">
        <v>12823161</v>
      </c>
      <c r="E93" s="275">
        <f>IF(ISBLANK(D93),"-",$D$101/$D$98*D93)</f>
        <v>14055564.10519476</v>
      </c>
      <c r="F93" s="274">
        <v>11596947</v>
      </c>
      <c r="G93" s="276">
        <f>IF(ISBLANK(F93),"-",$D$101/$F$98*F93)</f>
        <v>13971077.316297624</v>
      </c>
      <c r="I93" s="869"/>
    </row>
    <row r="94" spans="1:12" ht="27" customHeight="1" x14ac:dyDescent="0.4">
      <c r="A94" s="261" t="s">
        <v>69</v>
      </c>
      <c r="B94" s="262">
        <v>1</v>
      </c>
      <c r="C94" s="351">
        <v>4</v>
      </c>
      <c r="D94" s="279"/>
      <c r="E94" s="280" t="str">
        <f>IF(ISBLANK(D94),"-",$D$101/$D$98*D94)</f>
        <v>-</v>
      </c>
      <c r="F94" s="352"/>
      <c r="G94" s="281" t="str">
        <f>IF(ISBLANK(F94),"-",$D$101/$F$98*F94)</f>
        <v>-</v>
      </c>
      <c r="I94" s="282"/>
    </row>
    <row r="95" spans="1:12" ht="27" customHeight="1" x14ac:dyDescent="0.4">
      <c r="A95" s="261" t="s">
        <v>70</v>
      </c>
      <c r="B95" s="262">
        <v>1</v>
      </c>
      <c r="C95" s="353" t="s">
        <v>71</v>
      </c>
      <c r="D95" s="354">
        <f>AVERAGE(D91:D94)</f>
        <v>12874923</v>
      </c>
      <c r="E95" s="285">
        <f>AVERAGE(E91:E94)</f>
        <v>14112300.826289745</v>
      </c>
      <c r="F95" s="355">
        <f>AVERAGE(F91:F94)</f>
        <v>11607917</v>
      </c>
      <c r="G95" s="356">
        <f>AVERAGE(G91:G94)</f>
        <v>13984293.097844249</v>
      </c>
    </row>
    <row r="96" spans="1:12" ht="26.25" customHeight="1" x14ac:dyDescent="0.4">
      <c r="A96" s="261" t="s">
        <v>72</v>
      </c>
      <c r="B96" s="247">
        <v>1</v>
      </c>
      <c r="C96" s="357" t="s">
        <v>113</v>
      </c>
      <c r="D96" s="358">
        <v>20.52</v>
      </c>
      <c r="E96" s="277"/>
      <c r="F96" s="289">
        <v>18.670000000000002</v>
      </c>
    </row>
    <row r="97" spans="1:10" ht="26.25" customHeight="1" x14ac:dyDescent="0.4">
      <c r="A97" s="261" t="s">
        <v>74</v>
      </c>
      <c r="B97" s="247">
        <v>1</v>
      </c>
      <c r="C97" s="359" t="s">
        <v>114</v>
      </c>
      <c r="D97" s="360">
        <f>D96*$B$87</f>
        <v>20.52</v>
      </c>
      <c r="E97" s="292"/>
      <c r="F97" s="291">
        <f>F96*$B$87</f>
        <v>18.670000000000002</v>
      </c>
    </row>
    <row r="98" spans="1:10" ht="19.5" customHeight="1" x14ac:dyDescent="0.3">
      <c r="A98" s="261" t="s">
        <v>76</v>
      </c>
      <c r="B98" s="361">
        <f>(B97/B96)*(B95/B94)*(B93/B92)*(B91/B90)*B89</f>
        <v>100</v>
      </c>
      <c r="C98" s="359" t="s">
        <v>115</v>
      </c>
      <c r="D98" s="362">
        <f>D97*$B$83/100</f>
        <v>20.273759999999999</v>
      </c>
      <c r="E98" s="295"/>
      <c r="F98" s="294">
        <f>F97*$B$83/100</f>
        <v>18.445959999999999</v>
      </c>
    </row>
    <row r="99" spans="1:10" ht="19.5" customHeight="1" x14ac:dyDescent="0.3">
      <c r="A99" s="855" t="s">
        <v>78</v>
      </c>
      <c r="B99" s="870"/>
      <c r="C99" s="359" t="s">
        <v>116</v>
      </c>
      <c r="D99" s="363">
        <f>D98/$B$98</f>
        <v>0.20273759999999999</v>
      </c>
      <c r="E99" s="295"/>
      <c r="F99" s="298">
        <f>F98/$B$98</f>
        <v>0.1844596</v>
      </c>
      <c r="G99" s="364"/>
      <c r="H99" s="287"/>
    </row>
    <row r="100" spans="1:10" ht="19.5" customHeight="1" x14ac:dyDescent="0.3">
      <c r="A100" s="857"/>
      <c r="B100" s="871"/>
      <c r="C100" s="359" t="s">
        <v>80</v>
      </c>
      <c r="D100" s="365">
        <f>$B$56/$B$116</f>
        <v>0.22222222222222221</v>
      </c>
      <c r="F100" s="303"/>
      <c r="G100" s="366"/>
      <c r="H100" s="287"/>
    </row>
    <row r="101" spans="1:10" ht="18.75" x14ac:dyDescent="0.3">
      <c r="C101" s="359" t="s">
        <v>81</v>
      </c>
      <c r="D101" s="360">
        <f>D100*$B$98</f>
        <v>22.222222222222221</v>
      </c>
      <c r="F101" s="303"/>
      <c r="G101" s="364"/>
      <c r="H101" s="287"/>
    </row>
    <row r="102" spans="1:10" ht="19.5" customHeight="1" x14ac:dyDescent="0.3">
      <c r="C102" s="367" t="s">
        <v>82</v>
      </c>
      <c r="D102" s="368">
        <f>D101/B34</f>
        <v>22.222222222222221</v>
      </c>
      <c r="F102" s="307"/>
      <c r="G102" s="364"/>
      <c r="H102" s="287"/>
      <c r="J102" s="369"/>
    </row>
    <row r="103" spans="1:10" ht="18.75" x14ac:dyDescent="0.3">
      <c r="C103" s="370" t="s">
        <v>117</v>
      </c>
      <c r="D103" s="371">
        <f>AVERAGE(E91:E94,G91:G94)</f>
        <v>14048296.962066999</v>
      </c>
      <c r="F103" s="307"/>
      <c r="G103" s="372"/>
      <c r="H103" s="287"/>
      <c r="J103" s="373"/>
    </row>
    <row r="104" spans="1:10" ht="18.75" x14ac:dyDescent="0.3">
      <c r="C104" s="337" t="s">
        <v>84</v>
      </c>
      <c r="D104" s="374">
        <f>STDEV(E91:E94,G91:G94)/D103</f>
        <v>6.5765632829364283E-3</v>
      </c>
      <c r="F104" s="307"/>
      <c r="G104" s="364"/>
      <c r="H104" s="287"/>
      <c r="J104" s="373"/>
    </row>
    <row r="105" spans="1:10" ht="19.5" customHeight="1" x14ac:dyDescent="0.3">
      <c r="C105" s="339" t="s">
        <v>20</v>
      </c>
      <c r="D105" s="375">
        <f>COUNT(E91:E94,G91:G94)</f>
        <v>6</v>
      </c>
      <c r="F105" s="307"/>
      <c r="G105" s="364"/>
      <c r="H105" s="287"/>
      <c r="J105" s="373"/>
    </row>
    <row r="106" spans="1:10" ht="19.5" customHeight="1" x14ac:dyDescent="0.3">
      <c r="A106" s="311"/>
      <c r="B106" s="311"/>
      <c r="C106" s="311"/>
      <c r="D106" s="311"/>
      <c r="E106" s="311"/>
    </row>
    <row r="107" spans="1:10" ht="26.25" customHeight="1" x14ac:dyDescent="0.4">
      <c r="A107" s="259" t="s">
        <v>118</v>
      </c>
      <c r="B107" s="260">
        <v>900</v>
      </c>
      <c r="C107" s="376" t="s">
        <v>119</v>
      </c>
      <c r="D107" s="377" t="s">
        <v>63</v>
      </c>
      <c r="E107" s="378" t="s">
        <v>120</v>
      </c>
      <c r="F107" s="379" t="s">
        <v>121</v>
      </c>
    </row>
    <row r="108" spans="1:10" ht="26.25" customHeight="1" x14ac:dyDescent="0.4">
      <c r="A108" s="261" t="s">
        <v>122</v>
      </c>
      <c r="B108" s="262">
        <v>1</v>
      </c>
      <c r="C108" s="380">
        <v>1</v>
      </c>
      <c r="D108" s="381">
        <v>13836788</v>
      </c>
      <c r="E108" s="412">
        <f t="shared" ref="E108:E113" si="1">IF(ISBLANK(D108),"-",D108/$D$103*$D$100*$B$116)</f>
        <v>196.98883127772552</v>
      </c>
      <c r="F108" s="382">
        <f t="shared" ref="F108:F113" si="2">IF(ISBLANK(D108), "-", E108/$B$56)</f>
        <v>0.98494415638862765</v>
      </c>
    </row>
    <row r="109" spans="1:10" ht="26.25" customHeight="1" x14ac:dyDescent="0.4">
      <c r="A109" s="261" t="s">
        <v>95</v>
      </c>
      <c r="B109" s="262">
        <v>1</v>
      </c>
      <c r="C109" s="380">
        <v>2</v>
      </c>
      <c r="D109" s="381">
        <v>13885492</v>
      </c>
      <c r="E109" s="413">
        <f t="shared" si="1"/>
        <v>197.68221069775782</v>
      </c>
      <c r="F109" s="383">
        <f t="shared" si="2"/>
        <v>0.9884110534887891</v>
      </c>
    </row>
    <row r="110" spans="1:10" ht="26.25" customHeight="1" x14ac:dyDescent="0.4">
      <c r="A110" s="261" t="s">
        <v>96</v>
      </c>
      <c r="B110" s="262">
        <v>1</v>
      </c>
      <c r="C110" s="380">
        <v>3</v>
      </c>
      <c r="D110" s="381">
        <v>10025810</v>
      </c>
      <c r="E110" s="413">
        <f t="shared" si="1"/>
        <v>142.7334576863166</v>
      </c>
      <c r="F110" s="383">
        <f t="shared" si="2"/>
        <v>0.713667288431583</v>
      </c>
    </row>
    <row r="111" spans="1:10" ht="26.25" customHeight="1" x14ac:dyDescent="0.4">
      <c r="A111" s="261" t="s">
        <v>97</v>
      </c>
      <c r="B111" s="262">
        <v>1</v>
      </c>
      <c r="C111" s="380">
        <v>4</v>
      </c>
      <c r="D111" s="381">
        <v>13859540</v>
      </c>
      <c r="E111" s="413">
        <f t="shared" si="1"/>
        <v>197.31274242597976</v>
      </c>
      <c r="F111" s="383">
        <f t="shared" si="2"/>
        <v>0.9865637121298988</v>
      </c>
    </row>
    <row r="112" spans="1:10" ht="26.25" customHeight="1" x14ac:dyDescent="0.4">
      <c r="A112" s="261" t="s">
        <v>98</v>
      </c>
      <c r="B112" s="262">
        <v>1</v>
      </c>
      <c r="C112" s="380">
        <v>5</v>
      </c>
      <c r="D112" s="381">
        <v>13862885</v>
      </c>
      <c r="E112" s="413">
        <f t="shared" si="1"/>
        <v>197.36036385666324</v>
      </c>
      <c r="F112" s="383">
        <f t="shared" si="2"/>
        <v>0.98680181928331623</v>
      </c>
    </row>
    <row r="113" spans="1:10" ht="26.25" customHeight="1" x14ac:dyDescent="0.4">
      <c r="A113" s="261" t="s">
        <v>100</v>
      </c>
      <c r="B113" s="262">
        <v>1</v>
      </c>
      <c r="C113" s="384">
        <v>6</v>
      </c>
      <c r="D113" s="385">
        <v>13477492</v>
      </c>
      <c r="E113" s="414">
        <f t="shared" si="1"/>
        <v>191.87367744847253</v>
      </c>
      <c r="F113" s="386">
        <f t="shared" si="2"/>
        <v>0.95936838724236262</v>
      </c>
    </row>
    <row r="114" spans="1:10" ht="26.25" customHeight="1" x14ac:dyDescent="0.4">
      <c r="A114" s="261" t="s">
        <v>101</v>
      </c>
      <c r="B114" s="262">
        <v>1</v>
      </c>
      <c r="C114" s="380"/>
      <c r="D114" s="334"/>
      <c r="E114" s="235"/>
      <c r="F114" s="387"/>
    </row>
    <row r="115" spans="1:10" ht="26.25" customHeight="1" x14ac:dyDescent="0.4">
      <c r="A115" s="261" t="s">
        <v>102</v>
      </c>
      <c r="B115" s="262">
        <v>1</v>
      </c>
      <c r="C115" s="380"/>
      <c r="D115" s="388" t="s">
        <v>71</v>
      </c>
      <c r="E115" s="416">
        <f>AVERAGE(E108:E113)</f>
        <v>187.32521389881924</v>
      </c>
      <c r="F115" s="389">
        <f>AVERAGE(F108:F113)</f>
        <v>0.93662606949409621</v>
      </c>
    </row>
    <row r="116" spans="1:10" ht="27" customHeight="1" x14ac:dyDescent="0.4">
      <c r="A116" s="261" t="s">
        <v>103</v>
      </c>
      <c r="B116" s="293">
        <f>(B115/B114)*(B113/B112)*(B111/B110)*(B109/B108)*B107</f>
        <v>900</v>
      </c>
      <c r="C116" s="390"/>
      <c r="D116" s="353" t="s">
        <v>84</v>
      </c>
      <c r="E116" s="391">
        <f>STDEV(E108:E113)/E115</f>
        <v>0.11720528669938191</v>
      </c>
      <c r="F116" s="391">
        <f>STDEV(F108:F113)/F115</f>
        <v>0.11720528669938174</v>
      </c>
      <c r="I116" s="235"/>
    </row>
    <row r="117" spans="1:10" ht="27" customHeight="1" x14ac:dyDescent="0.4">
      <c r="A117" s="855" t="s">
        <v>78</v>
      </c>
      <c r="B117" s="856"/>
      <c r="C117" s="392"/>
      <c r="D117" s="393" t="s">
        <v>20</v>
      </c>
      <c r="E117" s="394">
        <f>COUNT(E108:E113)</f>
        <v>6</v>
      </c>
      <c r="F117" s="394">
        <f>COUNT(F108:F113)</f>
        <v>6</v>
      </c>
      <c r="I117" s="235"/>
      <c r="J117" s="373"/>
    </row>
    <row r="118" spans="1:10" ht="19.5" customHeight="1" x14ac:dyDescent="0.3">
      <c r="A118" s="857"/>
      <c r="B118" s="858"/>
      <c r="C118" s="235"/>
      <c r="D118" s="235"/>
      <c r="E118" s="235"/>
      <c r="F118" s="334"/>
      <c r="G118" s="235"/>
      <c r="H118" s="235"/>
      <c r="I118" s="235"/>
    </row>
    <row r="119" spans="1:10" ht="18.75" x14ac:dyDescent="0.3">
      <c r="A119" s="403"/>
      <c r="B119" s="257"/>
      <c r="C119" s="235"/>
      <c r="D119" s="235"/>
      <c r="E119" s="235"/>
      <c r="F119" s="334"/>
      <c r="G119" s="235"/>
      <c r="H119" s="235"/>
      <c r="I119" s="235"/>
    </row>
    <row r="120" spans="1:10" ht="26.25" customHeight="1" x14ac:dyDescent="0.4">
      <c r="A120" s="245" t="s">
        <v>106</v>
      </c>
      <c r="B120" s="341" t="s">
        <v>123</v>
      </c>
      <c r="C120" s="859" t="str">
        <f>B20</f>
        <v>Lamivudine     Nevirapine and Zidovudine</v>
      </c>
      <c r="D120" s="859"/>
      <c r="E120" s="342" t="s">
        <v>124</v>
      </c>
      <c r="F120" s="342"/>
      <c r="G120" s="343">
        <f>F115</f>
        <v>0.93662606949409621</v>
      </c>
      <c r="H120" s="235"/>
      <c r="I120" s="235"/>
    </row>
    <row r="121" spans="1:10" ht="19.5" customHeight="1" x14ac:dyDescent="0.3">
      <c r="A121" s="395"/>
      <c r="B121" s="395"/>
      <c r="C121" s="396"/>
      <c r="D121" s="396"/>
      <c r="E121" s="396"/>
      <c r="F121" s="396"/>
      <c r="G121" s="396"/>
      <c r="H121" s="396"/>
    </row>
    <row r="122" spans="1:10" ht="18.75" x14ac:dyDescent="0.3">
      <c r="B122" s="860" t="s">
        <v>26</v>
      </c>
      <c r="C122" s="860"/>
      <c r="E122" s="348" t="s">
        <v>27</v>
      </c>
      <c r="F122" s="397"/>
      <c r="G122" s="860" t="s">
        <v>28</v>
      </c>
      <c r="H122" s="860"/>
    </row>
    <row r="123" spans="1:10" ht="69.95" customHeight="1" x14ac:dyDescent="0.3">
      <c r="A123" s="398" t="s">
        <v>29</v>
      </c>
      <c r="B123" s="399"/>
      <c r="C123" s="399"/>
      <c r="E123" s="399"/>
      <c r="F123" s="235"/>
      <c r="G123" s="400"/>
      <c r="H123" s="400"/>
    </row>
    <row r="124" spans="1:10" ht="69.95" customHeight="1" x14ac:dyDescent="0.3">
      <c r="A124" s="398" t="s">
        <v>30</v>
      </c>
      <c r="B124" s="401"/>
      <c r="C124" s="401"/>
      <c r="E124" s="401"/>
      <c r="F124" s="235"/>
      <c r="G124" s="402"/>
      <c r="H124" s="402"/>
    </row>
    <row r="125" spans="1:10" ht="18.75" x14ac:dyDescent="0.3">
      <c r="A125" s="333"/>
      <c r="B125" s="333"/>
      <c r="C125" s="334"/>
      <c r="D125" s="334"/>
      <c r="E125" s="334"/>
      <c r="F125" s="338"/>
      <c r="G125" s="334"/>
      <c r="H125" s="334"/>
      <c r="I125" s="235"/>
    </row>
    <row r="126" spans="1:10" ht="18.75" x14ac:dyDescent="0.3">
      <c r="A126" s="333"/>
      <c r="B126" s="333"/>
      <c r="C126" s="334"/>
      <c r="D126" s="334"/>
      <c r="E126" s="334"/>
      <c r="F126" s="338"/>
      <c r="G126" s="334"/>
      <c r="H126" s="334"/>
      <c r="I126" s="235"/>
    </row>
    <row r="127" spans="1:10" ht="18.75" x14ac:dyDescent="0.3">
      <c r="A127" s="333"/>
      <c r="B127" s="333"/>
      <c r="C127" s="334"/>
      <c r="D127" s="334"/>
      <c r="E127" s="334"/>
      <c r="F127" s="338"/>
      <c r="G127" s="334"/>
      <c r="H127" s="334"/>
      <c r="I127" s="235"/>
    </row>
    <row r="128" spans="1:10" ht="18.75" x14ac:dyDescent="0.3">
      <c r="A128" s="333"/>
      <c r="B128" s="333"/>
      <c r="C128" s="334"/>
      <c r="D128" s="334"/>
      <c r="E128" s="334"/>
      <c r="F128" s="338"/>
      <c r="G128" s="334"/>
      <c r="H128" s="334"/>
      <c r="I128" s="235"/>
    </row>
    <row r="129" spans="1:9" ht="18.75" x14ac:dyDescent="0.3">
      <c r="A129" s="333"/>
      <c r="B129" s="333"/>
      <c r="C129" s="334"/>
      <c r="D129" s="334"/>
      <c r="E129" s="334"/>
      <c r="F129" s="338"/>
      <c r="G129" s="334"/>
      <c r="H129" s="334"/>
      <c r="I129" s="235"/>
    </row>
    <row r="130" spans="1:9" ht="18.75" x14ac:dyDescent="0.3">
      <c r="A130" s="333"/>
      <c r="B130" s="333"/>
      <c r="C130" s="334"/>
      <c r="D130" s="334"/>
      <c r="E130" s="334"/>
      <c r="F130" s="338"/>
      <c r="G130" s="334"/>
      <c r="H130" s="334"/>
      <c r="I130" s="235"/>
    </row>
    <row r="131" spans="1:9" ht="18.75" x14ac:dyDescent="0.3">
      <c r="A131" s="333"/>
      <c r="B131" s="333"/>
      <c r="C131" s="334"/>
      <c r="D131" s="334"/>
      <c r="E131" s="334"/>
      <c r="F131" s="338"/>
      <c r="G131" s="334"/>
      <c r="H131" s="334"/>
      <c r="I131" s="235"/>
    </row>
    <row r="132" spans="1:9" ht="18.75" x14ac:dyDescent="0.3">
      <c r="A132" s="333"/>
      <c r="B132" s="333"/>
      <c r="C132" s="334"/>
      <c r="D132" s="334"/>
      <c r="E132" s="334"/>
      <c r="F132" s="338"/>
      <c r="G132" s="334"/>
      <c r="H132" s="334"/>
      <c r="I132" s="235"/>
    </row>
    <row r="133" spans="1:9" ht="18.75" x14ac:dyDescent="0.3">
      <c r="A133" s="333"/>
      <c r="B133" s="333"/>
      <c r="C133" s="334"/>
      <c r="D133" s="334"/>
      <c r="E133" s="334"/>
      <c r="F133" s="338"/>
      <c r="G133" s="334"/>
      <c r="H133" s="334"/>
      <c r="I133" s="235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5" zoomScale="60" zoomScaleNormal="40" zoomScalePageLayoutView="50" workbookViewId="0">
      <selection activeCell="F66" sqref="F66"/>
    </sheetView>
  </sheetViews>
  <sheetFormatPr defaultColWidth="9.140625" defaultRowHeight="13.5" x14ac:dyDescent="0.25"/>
  <cols>
    <col min="1" max="1" width="55.42578125" style="526" customWidth="1"/>
    <col min="2" max="2" width="33.7109375" style="526" customWidth="1"/>
    <col min="3" max="3" width="42.28515625" style="526" customWidth="1"/>
    <col min="4" max="4" width="30.5703125" style="526" customWidth="1"/>
    <col min="5" max="5" width="39.85546875" style="526" customWidth="1"/>
    <col min="6" max="6" width="30.7109375" style="526" customWidth="1"/>
    <col min="7" max="7" width="39.85546875" style="526" customWidth="1"/>
    <col min="8" max="8" width="30" style="526" customWidth="1"/>
    <col min="9" max="9" width="30.28515625" style="526" hidden="1" customWidth="1"/>
    <col min="10" max="10" width="30.42578125" style="526" customWidth="1"/>
    <col min="11" max="11" width="21.28515625" style="526" customWidth="1"/>
    <col min="12" max="12" width="9.140625" style="526"/>
    <col min="13" max="16384" width="9.140625" style="5"/>
  </cols>
  <sheetData>
    <row r="1" spans="1:9" ht="18.75" customHeight="1" x14ac:dyDescent="0.25">
      <c r="A1" s="853" t="s">
        <v>45</v>
      </c>
      <c r="B1" s="853"/>
      <c r="C1" s="853"/>
      <c r="D1" s="853"/>
      <c r="E1" s="853"/>
      <c r="F1" s="853"/>
      <c r="G1" s="853"/>
      <c r="H1" s="853"/>
      <c r="I1" s="853"/>
    </row>
    <row r="2" spans="1:9" ht="18.75" customHeight="1" x14ac:dyDescent="0.25">
      <c r="A2" s="853"/>
      <c r="B2" s="853"/>
      <c r="C2" s="853"/>
      <c r="D2" s="853"/>
      <c r="E2" s="853"/>
      <c r="F2" s="853"/>
      <c r="G2" s="853"/>
      <c r="H2" s="853"/>
      <c r="I2" s="853"/>
    </row>
    <row r="3" spans="1:9" ht="18.75" customHeight="1" x14ac:dyDescent="0.25">
      <c r="A3" s="853"/>
      <c r="B3" s="853"/>
      <c r="C3" s="853"/>
      <c r="D3" s="853"/>
      <c r="E3" s="853"/>
      <c r="F3" s="853"/>
      <c r="G3" s="853"/>
      <c r="H3" s="853"/>
      <c r="I3" s="853"/>
    </row>
    <row r="4" spans="1:9" ht="18.75" customHeight="1" x14ac:dyDescent="0.25">
      <c r="A4" s="853"/>
      <c r="B4" s="853"/>
      <c r="C4" s="853"/>
      <c r="D4" s="853"/>
      <c r="E4" s="853"/>
      <c r="F4" s="853"/>
      <c r="G4" s="853"/>
      <c r="H4" s="853"/>
      <c r="I4" s="853"/>
    </row>
    <row r="5" spans="1:9" ht="18.75" customHeight="1" x14ac:dyDescent="0.25">
      <c r="A5" s="853"/>
      <c r="B5" s="853"/>
      <c r="C5" s="853"/>
      <c r="D5" s="853"/>
      <c r="E5" s="853"/>
      <c r="F5" s="853"/>
      <c r="G5" s="853"/>
      <c r="H5" s="853"/>
      <c r="I5" s="853"/>
    </row>
    <row r="6" spans="1:9" ht="18.75" customHeight="1" x14ac:dyDescent="0.25">
      <c r="A6" s="853"/>
      <c r="B6" s="853"/>
      <c r="C6" s="853"/>
      <c r="D6" s="853"/>
      <c r="E6" s="853"/>
      <c r="F6" s="853"/>
      <c r="G6" s="853"/>
      <c r="H6" s="853"/>
      <c r="I6" s="853"/>
    </row>
    <row r="7" spans="1:9" ht="18.75" customHeight="1" x14ac:dyDescent="0.25">
      <c r="A7" s="853"/>
      <c r="B7" s="853"/>
      <c r="C7" s="853"/>
      <c r="D7" s="853"/>
      <c r="E7" s="853"/>
      <c r="F7" s="853"/>
      <c r="G7" s="853"/>
      <c r="H7" s="853"/>
      <c r="I7" s="853"/>
    </row>
    <row r="8" spans="1:9" x14ac:dyDescent="0.25">
      <c r="A8" s="854" t="s">
        <v>46</v>
      </c>
      <c r="B8" s="854"/>
      <c r="C8" s="854"/>
      <c r="D8" s="854"/>
      <c r="E8" s="854"/>
      <c r="F8" s="854"/>
      <c r="G8" s="854"/>
      <c r="H8" s="854"/>
      <c r="I8" s="854"/>
    </row>
    <row r="9" spans="1:9" x14ac:dyDescent="0.25">
      <c r="A9" s="854"/>
      <c r="B9" s="854"/>
      <c r="C9" s="854"/>
      <c r="D9" s="854"/>
      <c r="E9" s="854"/>
      <c r="F9" s="854"/>
      <c r="G9" s="854"/>
      <c r="H9" s="854"/>
      <c r="I9" s="854"/>
    </row>
    <row r="10" spans="1:9" x14ac:dyDescent="0.25">
      <c r="A10" s="854"/>
      <c r="B10" s="854"/>
      <c r="C10" s="854"/>
      <c r="D10" s="854"/>
      <c r="E10" s="854"/>
      <c r="F10" s="854"/>
      <c r="G10" s="854"/>
      <c r="H10" s="854"/>
      <c r="I10" s="854"/>
    </row>
    <row r="11" spans="1:9" x14ac:dyDescent="0.25">
      <c r="A11" s="854"/>
      <c r="B11" s="854"/>
      <c r="C11" s="854"/>
      <c r="D11" s="854"/>
      <c r="E11" s="854"/>
      <c r="F11" s="854"/>
      <c r="G11" s="854"/>
      <c r="H11" s="854"/>
      <c r="I11" s="854"/>
    </row>
    <row r="12" spans="1:9" x14ac:dyDescent="0.25">
      <c r="A12" s="854"/>
      <c r="B12" s="854"/>
      <c r="C12" s="854"/>
      <c r="D12" s="854"/>
      <c r="E12" s="854"/>
      <c r="F12" s="854"/>
      <c r="G12" s="854"/>
      <c r="H12" s="854"/>
      <c r="I12" s="854"/>
    </row>
    <row r="13" spans="1:9" x14ac:dyDescent="0.25">
      <c r="A13" s="854"/>
      <c r="B13" s="854"/>
      <c r="C13" s="854"/>
      <c r="D13" s="854"/>
      <c r="E13" s="854"/>
      <c r="F13" s="854"/>
      <c r="G13" s="854"/>
      <c r="H13" s="854"/>
      <c r="I13" s="854"/>
    </row>
    <row r="14" spans="1:9" x14ac:dyDescent="0.25">
      <c r="A14" s="854"/>
      <c r="B14" s="854"/>
      <c r="C14" s="854"/>
      <c r="D14" s="854"/>
      <c r="E14" s="854"/>
      <c r="F14" s="854"/>
      <c r="G14" s="854"/>
      <c r="H14" s="854"/>
      <c r="I14" s="854"/>
    </row>
    <row r="15" spans="1:9" ht="19.5" customHeight="1" thickBot="1" x14ac:dyDescent="0.35">
      <c r="A15" s="508"/>
    </row>
    <row r="16" spans="1:9" ht="19.5" customHeight="1" thickBot="1" x14ac:dyDescent="0.35">
      <c r="A16" s="887" t="s">
        <v>31</v>
      </c>
      <c r="B16" s="888"/>
      <c r="C16" s="888"/>
      <c r="D16" s="888"/>
      <c r="E16" s="888"/>
      <c r="F16" s="888"/>
      <c r="G16" s="888"/>
      <c r="H16" s="889"/>
    </row>
    <row r="17" spans="1:14" ht="20.25" customHeight="1" x14ac:dyDescent="0.25">
      <c r="A17" s="890" t="s">
        <v>47</v>
      </c>
      <c r="B17" s="890"/>
      <c r="C17" s="890"/>
      <c r="D17" s="890"/>
      <c r="E17" s="890"/>
      <c r="F17" s="890"/>
      <c r="G17" s="890"/>
      <c r="H17" s="890"/>
    </row>
    <row r="18" spans="1:14" ht="26.25" customHeight="1" x14ac:dyDescent="0.4">
      <c r="A18" s="418" t="s">
        <v>33</v>
      </c>
      <c r="B18" s="886" t="s">
        <v>5</v>
      </c>
      <c r="C18" s="886"/>
      <c r="D18" s="562"/>
      <c r="E18" s="419"/>
      <c r="F18" s="581"/>
      <c r="G18" s="581"/>
      <c r="H18" s="581"/>
    </row>
    <row r="19" spans="1:14" ht="26.25" customHeight="1" x14ac:dyDescent="0.4">
      <c r="A19" s="418" t="s">
        <v>34</v>
      </c>
      <c r="B19" s="573" t="s">
        <v>7</v>
      </c>
      <c r="C19" s="581">
        <v>29</v>
      </c>
      <c r="D19" s="581"/>
      <c r="E19" s="581"/>
      <c r="F19" s="581"/>
      <c r="G19" s="581"/>
      <c r="H19" s="581"/>
    </row>
    <row r="20" spans="1:14" ht="26.25" customHeight="1" x14ac:dyDescent="0.4">
      <c r="A20" s="418" t="s">
        <v>35</v>
      </c>
      <c r="B20" s="891" t="s">
        <v>9</v>
      </c>
      <c r="C20" s="891"/>
      <c r="D20" s="581"/>
      <c r="E20" s="581"/>
      <c r="F20" s="581"/>
      <c r="G20" s="581"/>
      <c r="H20" s="581"/>
    </row>
    <row r="21" spans="1:14" ht="26.25" customHeight="1" x14ac:dyDescent="0.4">
      <c r="A21" s="418" t="s">
        <v>36</v>
      </c>
      <c r="B21" s="891" t="s">
        <v>11</v>
      </c>
      <c r="C21" s="891"/>
      <c r="D21" s="891"/>
      <c r="E21" s="891"/>
      <c r="F21" s="891"/>
      <c r="G21" s="891"/>
      <c r="H21" s="891"/>
      <c r="I21" s="420"/>
    </row>
    <row r="22" spans="1:14" ht="26.25" customHeight="1" x14ac:dyDescent="0.4">
      <c r="A22" s="418" t="s">
        <v>37</v>
      </c>
      <c r="B22" s="421" t="s">
        <v>12</v>
      </c>
      <c r="C22" s="581"/>
      <c r="D22" s="581"/>
      <c r="E22" s="581"/>
      <c r="F22" s="581"/>
      <c r="G22" s="581"/>
      <c r="H22" s="581"/>
    </row>
    <row r="23" spans="1:14" ht="26.25" customHeight="1" x14ac:dyDescent="0.4">
      <c r="A23" s="418" t="s">
        <v>38</v>
      </c>
      <c r="B23" s="421"/>
      <c r="C23" s="581"/>
      <c r="D23" s="581"/>
      <c r="E23" s="581"/>
      <c r="F23" s="581"/>
      <c r="G23" s="581"/>
      <c r="H23" s="581"/>
    </row>
    <row r="24" spans="1:14" ht="18.75" x14ac:dyDescent="0.3">
      <c r="A24" s="418"/>
      <c r="B24" s="422"/>
    </row>
    <row r="25" spans="1:14" ht="18.75" x14ac:dyDescent="0.3">
      <c r="A25" s="423" t="s">
        <v>1</v>
      </c>
      <c r="B25" s="422"/>
    </row>
    <row r="26" spans="1:14" ht="26.25" customHeight="1" x14ac:dyDescent="0.4">
      <c r="A26" s="557" t="s">
        <v>4</v>
      </c>
      <c r="B26" s="886" t="s">
        <v>127</v>
      </c>
      <c r="C26" s="886"/>
    </row>
    <row r="27" spans="1:14" ht="26.25" customHeight="1" x14ac:dyDescent="0.4">
      <c r="A27" s="515" t="s">
        <v>48</v>
      </c>
      <c r="B27" s="884" t="s">
        <v>130</v>
      </c>
      <c r="C27" s="884"/>
    </row>
    <row r="28" spans="1:14" ht="27" customHeight="1" thickBot="1" x14ac:dyDescent="0.45">
      <c r="A28" s="515" t="s">
        <v>6</v>
      </c>
      <c r="B28" s="510">
        <v>99.4</v>
      </c>
    </row>
    <row r="29" spans="1:14" s="4" customFormat="1" ht="27" customHeight="1" thickBot="1" x14ac:dyDescent="0.45">
      <c r="A29" s="515" t="s">
        <v>49</v>
      </c>
      <c r="B29" s="424"/>
      <c r="C29" s="861" t="s">
        <v>50</v>
      </c>
      <c r="D29" s="862"/>
      <c r="E29" s="862"/>
      <c r="F29" s="862"/>
      <c r="G29" s="863"/>
      <c r="I29" s="425"/>
      <c r="J29" s="425"/>
      <c r="K29" s="425"/>
      <c r="L29" s="425"/>
    </row>
    <row r="30" spans="1:14" s="4" customFormat="1" ht="19.5" customHeight="1" thickBot="1" x14ac:dyDescent="0.35">
      <c r="A30" s="515" t="s">
        <v>51</v>
      </c>
      <c r="B30" s="576">
        <f>B28-B29</f>
        <v>99.4</v>
      </c>
      <c r="C30" s="426"/>
      <c r="D30" s="426"/>
      <c r="E30" s="426"/>
      <c r="F30" s="426"/>
      <c r="G30" s="427"/>
      <c r="I30" s="425"/>
      <c r="J30" s="425"/>
      <c r="K30" s="425"/>
      <c r="L30" s="425"/>
    </row>
    <row r="31" spans="1:14" s="4" customFormat="1" ht="27" customHeight="1" thickBot="1" x14ac:dyDescent="0.45">
      <c r="A31" s="515" t="s">
        <v>52</v>
      </c>
      <c r="B31" s="428">
        <v>1</v>
      </c>
      <c r="C31" s="864" t="s">
        <v>53</v>
      </c>
      <c r="D31" s="865"/>
      <c r="E31" s="865"/>
      <c r="F31" s="865"/>
      <c r="G31" s="865"/>
      <c r="H31" s="866"/>
      <c r="I31" s="425"/>
      <c r="J31" s="425"/>
      <c r="K31" s="425"/>
      <c r="L31" s="425"/>
    </row>
    <row r="32" spans="1:14" s="4" customFormat="1" ht="27" customHeight="1" thickBot="1" x14ac:dyDescent="0.45">
      <c r="A32" s="515" t="s">
        <v>54</v>
      </c>
      <c r="B32" s="428">
        <v>1</v>
      </c>
      <c r="C32" s="864" t="s">
        <v>55</v>
      </c>
      <c r="D32" s="865"/>
      <c r="E32" s="865"/>
      <c r="F32" s="865"/>
      <c r="G32" s="865"/>
      <c r="H32" s="866"/>
      <c r="I32" s="425"/>
      <c r="J32" s="425"/>
      <c r="K32" s="425"/>
      <c r="L32" s="429"/>
      <c r="M32" s="429"/>
      <c r="N32" s="430"/>
    </row>
    <row r="33" spans="1:14" s="4" customFormat="1" ht="17.25" customHeight="1" x14ac:dyDescent="0.3">
      <c r="A33" s="515"/>
      <c r="B33" s="431"/>
      <c r="C33" s="432"/>
      <c r="D33" s="432"/>
      <c r="E33" s="432"/>
      <c r="F33" s="432"/>
      <c r="G33" s="432"/>
      <c r="H33" s="432"/>
      <c r="I33" s="425"/>
      <c r="J33" s="425"/>
      <c r="K33" s="425"/>
      <c r="L33" s="429"/>
      <c r="M33" s="429"/>
      <c r="N33" s="430"/>
    </row>
    <row r="34" spans="1:14" s="4" customFormat="1" ht="18.75" x14ac:dyDescent="0.3">
      <c r="A34" s="515" t="s">
        <v>56</v>
      </c>
      <c r="B34" s="433">
        <f>B31/B32</f>
        <v>1</v>
      </c>
      <c r="C34" s="508" t="s">
        <v>57</v>
      </c>
      <c r="D34" s="508"/>
      <c r="E34" s="508"/>
      <c r="F34" s="508"/>
      <c r="G34" s="508"/>
      <c r="I34" s="425"/>
      <c r="J34" s="425"/>
      <c r="K34" s="425"/>
      <c r="L34" s="429"/>
      <c r="M34" s="429"/>
      <c r="N34" s="430"/>
    </row>
    <row r="35" spans="1:14" s="4" customFormat="1" ht="19.5" customHeight="1" thickBot="1" x14ac:dyDescent="0.35">
      <c r="A35" s="515"/>
      <c r="B35" s="576"/>
      <c r="G35" s="508"/>
      <c r="I35" s="425"/>
      <c r="J35" s="425"/>
      <c r="K35" s="425"/>
      <c r="L35" s="429"/>
      <c r="M35" s="429"/>
      <c r="N35" s="430"/>
    </row>
    <row r="36" spans="1:14" s="4" customFormat="1" ht="27" customHeight="1" thickBot="1" x14ac:dyDescent="0.45">
      <c r="A36" s="434" t="s">
        <v>58</v>
      </c>
      <c r="B36" s="435">
        <v>20</v>
      </c>
      <c r="C36" s="508"/>
      <c r="D36" s="867" t="s">
        <v>59</v>
      </c>
      <c r="E36" s="885"/>
      <c r="F36" s="867" t="s">
        <v>60</v>
      </c>
      <c r="G36" s="868"/>
      <c r="J36" s="425"/>
      <c r="K36" s="425"/>
      <c r="L36" s="429"/>
      <c r="M36" s="429"/>
      <c r="N36" s="430"/>
    </row>
    <row r="37" spans="1:14" s="4" customFormat="1" ht="27" customHeight="1" thickBot="1" x14ac:dyDescent="0.45">
      <c r="A37" s="436" t="s">
        <v>61</v>
      </c>
      <c r="B37" s="437">
        <v>4</v>
      </c>
      <c r="C37" s="438" t="s">
        <v>62</v>
      </c>
      <c r="D37" s="439" t="s">
        <v>63</v>
      </c>
      <c r="E37" s="440" t="s">
        <v>64</v>
      </c>
      <c r="F37" s="439" t="s">
        <v>63</v>
      </c>
      <c r="G37" s="441" t="s">
        <v>64</v>
      </c>
      <c r="I37" s="442" t="s">
        <v>65</v>
      </c>
      <c r="J37" s="425"/>
      <c r="K37" s="425"/>
      <c r="L37" s="429"/>
      <c r="M37" s="429"/>
      <c r="N37" s="430"/>
    </row>
    <row r="38" spans="1:14" s="4" customFormat="1" ht="26.25" customHeight="1" x14ac:dyDescent="0.4">
      <c r="A38" s="436" t="s">
        <v>66</v>
      </c>
      <c r="B38" s="437">
        <v>20</v>
      </c>
      <c r="C38" s="443">
        <v>1</v>
      </c>
      <c r="D38" s="591">
        <v>227494779</v>
      </c>
      <c r="E38" s="445">
        <f>IF(ISBLANK(D38),"-",$D$48/$D$45*D38)</f>
        <v>114586775.82853596</v>
      </c>
      <c r="F38" s="594">
        <v>231455025</v>
      </c>
      <c r="G38" s="446">
        <f>IF(ISBLANK(F38),"-",$D$48/$F$45*F38)</f>
        <v>113071611.1170096</v>
      </c>
      <c r="I38" s="447"/>
      <c r="J38" s="425"/>
      <c r="K38" s="425"/>
      <c r="L38" s="429"/>
      <c r="M38" s="429"/>
      <c r="N38" s="430"/>
    </row>
    <row r="39" spans="1:14" s="4" customFormat="1" ht="26.25" customHeight="1" x14ac:dyDescent="0.4">
      <c r="A39" s="436" t="s">
        <v>67</v>
      </c>
      <c r="B39" s="437">
        <v>1</v>
      </c>
      <c r="C39" s="465">
        <v>2</v>
      </c>
      <c r="D39" s="592">
        <v>227331773</v>
      </c>
      <c r="E39" s="449">
        <f>IF(ISBLANK(D39),"-",$D$48/$D$45*D39)</f>
        <v>114504671.38612717</v>
      </c>
      <c r="F39" s="595">
        <v>230973127</v>
      </c>
      <c r="G39" s="450">
        <f>IF(ISBLANK(F39),"-",$D$48/$F$45*F39)</f>
        <v>112836191.80280778</v>
      </c>
      <c r="I39" s="869">
        <f>ABS((F43/D43*D42)-F42)/D42</f>
        <v>1.4840432318475094E-2</v>
      </c>
      <c r="J39" s="425"/>
      <c r="K39" s="425"/>
      <c r="L39" s="429"/>
      <c r="M39" s="429"/>
      <c r="N39" s="430"/>
    </row>
    <row r="40" spans="1:14" ht="26.25" customHeight="1" x14ac:dyDescent="0.4">
      <c r="A40" s="436" t="s">
        <v>68</v>
      </c>
      <c r="B40" s="437">
        <v>1</v>
      </c>
      <c r="C40" s="465">
        <v>3</v>
      </c>
      <c r="D40" s="592">
        <v>227389415</v>
      </c>
      <c r="E40" s="449">
        <f>IF(ISBLANK(D40),"-",$D$48/$D$45*D40)</f>
        <v>114533705.06752127</v>
      </c>
      <c r="F40" s="595">
        <v>230840366</v>
      </c>
      <c r="G40" s="450">
        <f>IF(ISBLANK(F40),"-",$D$48/$F$45*F40)</f>
        <v>112771334.70945452</v>
      </c>
      <c r="I40" s="869"/>
      <c r="L40" s="429"/>
      <c r="M40" s="429"/>
      <c r="N40" s="508"/>
    </row>
    <row r="41" spans="1:14" ht="27" customHeight="1" thickBot="1" x14ac:dyDescent="0.45">
      <c r="A41" s="436" t="s">
        <v>69</v>
      </c>
      <c r="B41" s="437">
        <v>1</v>
      </c>
      <c r="C41" s="451">
        <v>4</v>
      </c>
      <c r="D41" s="593"/>
      <c r="E41" s="453" t="str">
        <f>IF(ISBLANK(D41),"-",$D$48/$D$45*D41)</f>
        <v>-</v>
      </c>
      <c r="F41" s="596"/>
      <c r="G41" s="454" t="str">
        <f>IF(ISBLANK(F41),"-",$D$48/$F$45*F41)</f>
        <v>-</v>
      </c>
      <c r="I41" s="455"/>
      <c r="L41" s="429"/>
      <c r="M41" s="429"/>
      <c r="N41" s="508"/>
    </row>
    <row r="42" spans="1:14" ht="27" customHeight="1" thickBot="1" x14ac:dyDescent="0.45">
      <c r="A42" s="436" t="s">
        <v>70</v>
      </c>
      <c r="B42" s="437">
        <v>1</v>
      </c>
      <c r="C42" s="456" t="s">
        <v>71</v>
      </c>
      <c r="D42" s="457">
        <f>AVERAGE(D38:D41)</f>
        <v>227405322.33333334</v>
      </c>
      <c r="E42" s="458">
        <f>AVERAGE(E38:E41)</f>
        <v>114541717.42739481</v>
      </c>
      <c r="F42" s="457">
        <f>AVERAGE(F38:F41)</f>
        <v>231089506</v>
      </c>
      <c r="G42" s="459">
        <f>AVERAGE(G38:G41)</f>
        <v>112893045.87642397</v>
      </c>
      <c r="H42" s="460"/>
    </row>
    <row r="43" spans="1:14" ht="26.25" customHeight="1" x14ac:dyDescent="0.4">
      <c r="A43" s="436" t="s">
        <v>72</v>
      </c>
      <c r="B43" s="437">
        <v>1</v>
      </c>
      <c r="C43" s="461" t="s">
        <v>73</v>
      </c>
      <c r="D43" s="462">
        <v>29.96</v>
      </c>
      <c r="E43" s="508"/>
      <c r="F43" s="462">
        <v>30.89</v>
      </c>
      <c r="H43" s="460"/>
    </row>
    <row r="44" spans="1:14" ht="26.25" customHeight="1" x14ac:dyDescent="0.4">
      <c r="A44" s="436" t="s">
        <v>74</v>
      </c>
      <c r="B44" s="437">
        <v>1</v>
      </c>
      <c r="C44" s="463" t="s">
        <v>75</v>
      </c>
      <c r="D44" s="464">
        <f>D43*$B$34</f>
        <v>29.96</v>
      </c>
      <c r="E44" s="523"/>
      <c r="F44" s="464">
        <f>F43*$B$34</f>
        <v>30.89</v>
      </c>
      <c r="H44" s="460"/>
    </row>
    <row r="45" spans="1:14" ht="19.5" customHeight="1" thickBot="1" x14ac:dyDescent="0.35">
      <c r="A45" s="436" t="s">
        <v>76</v>
      </c>
      <c r="B45" s="465">
        <f>(B44/B43)*(B42/B41)*(B40/B39)*(B38/B37)*B36</f>
        <v>100</v>
      </c>
      <c r="C45" s="463" t="s">
        <v>77</v>
      </c>
      <c r="D45" s="466">
        <f>D44*$B$30/100</f>
        <v>29.780240000000003</v>
      </c>
      <c r="E45" s="505"/>
      <c r="F45" s="466">
        <f>F44*$B$30/100</f>
        <v>30.704660000000004</v>
      </c>
      <c r="H45" s="460"/>
    </row>
    <row r="46" spans="1:14" ht="19.5" customHeight="1" thickBot="1" x14ac:dyDescent="0.35">
      <c r="A46" s="855" t="s">
        <v>78</v>
      </c>
      <c r="B46" s="856"/>
      <c r="C46" s="463" t="s">
        <v>79</v>
      </c>
      <c r="D46" s="467">
        <f>D45/$B$45</f>
        <v>0.29780240000000002</v>
      </c>
      <c r="E46" s="468"/>
      <c r="F46" s="469">
        <f>F45/$B$45</f>
        <v>0.30704660000000006</v>
      </c>
      <c r="H46" s="460"/>
    </row>
    <row r="47" spans="1:14" ht="27" customHeight="1" thickBot="1" x14ac:dyDescent="0.45">
      <c r="A47" s="857"/>
      <c r="B47" s="858"/>
      <c r="C47" s="470" t="s">
        <v>80</v>
      </c>
      <c r="D47" s="471">
        <v>0.15</v>
      </c>
      <c r="E47" s="472"/>
      <c r="F47" s="468"/>
      <c r="H47" s="460"/>
    </row>
    <row r="48" spans="1:14" ht="18.75" x14ac:dyDescent="0.3">
      <c r="C48" s="473" t="s">
        <v>81</v>
      </c>
      <c r="D48" s="466">
        <f>D47*$B$45</f>
        <v>15</v>
      </c>
      <c r="F48" s="474"/>
      <c r="H48" s="460"/>
    </row>
    <row r="49" spans="1:12" ht="19.5" customHeight="1" thickBot="1" x14ac:dyDescent="0.35">
      <c r="C49" s="475" t="s">
        <v>82</v>
      </c>
      <c r="D49" s="476">
        <f>D48/B34</f>
        <v>15</v>
      </c>
      <c r="F49" s="474"/>
      <c r="H49" s="460"/>
    </row>
    <row r="50" spans="1:12" ht="18.75" x14ac:dyDescent="0.3">
      <c r="C50" s="434" t="s">
        <v>83</v>
      </c>
      <c r="D50" s="477">
        <f>AVERAGE(E38:E41,G38:G41)</f>
        <v>113717381.6519094</v>
      </c>
      <c r="F50" s="478"/>
      <c r="H50" s="460"/>
    </row>
    <row r="51" spans="1:12" ht="18.75" x14ac:dyDescent="0.3">
      <c r="C51" s="436" t="s">
        <v>84</v>
      </c>
      <c r="D51" s="479">
        <f>STDEV(E38:E41,G38:G41)/D50</f>
        <v>7.9926981996219417E-3</v>
      </c>
      <c r="F51" s="478"/>
      <c r="H51" s="460"/>
    </row>
    <row r="52" spans="1:12" ht="19.5" customHeight="1" thickBot="1" x14ac:dyDescent="0.35">
      <c r="C52" s="480" t="s">
        <v>20</v>
      </c>
      <c r="D52" s="481">
        <f>COUNT(E38:E41,G38:G41)</f>
        <v>6</v>
      </c>
      <c r="F52" s="478"/>
    </row>
    <row r="54" spans="1:12" ht="18.75" x14ac:dyDescent="0.3">
      <c r="A54" s="482" t="s">
        <v>1</v>
      </c>
      <c r="B54" s="483" t="s">
        <v>85</v>
      </c>
    </row>
    <row r="55" spans="1:12" ht="18.75" x14ac:dyDescent="0.3">
      <c r="A55" s="508" t="s">
        <v>86</v>
      </c>
      <c r="B55" s="484" t="str">
        <f>B21</f>
        <v xml:space="preserve">Lamivudine 150mg + Zidovudine 300mg + Nevirapine 200mg </v>
      </c>
    </row>
    <row r="56" spans="1:12" ht="26.25" customHeight="1" x14ac:dyDescent="0.4">
      <c r="A56" s="484" t="s">
        <v>87</v>
      </c>
      <c r="B56" s="485">
        <v>300</v>
      </c>
      <c r="C56" s="508" t="str">
        <f>B20</f>
        <v>Lamivudine     Nevirapine and Zidovudine</v>
      </c>
      <c r="H56" s="523"/>
    </row>
    <row r="57" spans="1:12" ht="18.75" x14ac:dyDescent="0.3">
      <c r="A57" s="484" t="s">
        <v>88</v>
      </c>
      <c r="B57" s="563">
        <f>Uniformity!C46</f>
        <v>1132.2864999999999</v>
      </c>
      <c r="H57" s="523"/>
    </row>
    <row r="58" spans="1:12" ht="19.5" customHeight="1" thickBot="1" x14ac:dyDescent="0.35">
      <c r="H58" s="523"/>
    </row>
    <row r="59" spans="1:12" s="4" customFormat="1" ht="27" customHeight="1" thickBot="1" x14ac:dyDescent="0.45">
      <c r="A59" s="434" t="s">
        <v>89</v>
      </c>
      <c r="B59" s="435">
        <v>100</v>
      </c>
      <c r="C59" s="508"/>
      <c r="D59" s="486" t="s">
        <v>90</v>
      </c>
      <c r="E59" s="487" t="s">
        <v>62</v>
      </c>
      <c r="F59" s="487" t="s">
        <v>63</v>
      </c>
      <c r="G59" s="487" t="s">
        <v>91</v>
      </c>
      <c r="H59" s="438" t="s">
        <v>92</v>
      </c>
      <c r="L59" s="425"/>
    </row>
    <row r="60" spans="1:12" s="4" customFormat="1" ht="26.25" customHeight="1" x14ac:dyDescent="0.4">
      <c r="A60" s="436" t="s">
        <v>93</v>
      </c>
      <c r="B60" s="437">
        <v>5</v>
      </c>
      <c r="C60" s="872" t="s">
        <v>94</v>
      </c>
      <c r="D60" s="875">
        <v>1130.02</v>
      </c>
      <c r="E60" s="488">
        <v>1</v>
      </c>
      <c r="F60" s="489">
        <v>206443867</v>
      </c>
      <c r="G60" s="564">
        <f>IF(ISBLANK(F60),"-",(F60/$D$50*$D$47*$B$68)*($B$57/$D$60))</f>
        <v>272.85793769090952</v>
      </c>
      <c r="H60" s="490">
        <f t="shared" ref="H60:H71" si="0">IF(ISBLANK(F60),"-",G60/$B$56)</f>
        <v>0.90952645896969841</v>
      </c>
      <c r="L60" s="425"/>
    </row>
    <row r="61" spans="1:12" s="4" customFormat="1" ht="26.25" customHeight="1" x14ac:dyDescent="0.4">
      <c r="A61" s="436" t="s">
        <v>95</v>
      </c>
      <c r="B61" s="437">
        <v>50</v>
      </c>
      <c r="C61" s="873"/>
      <c r="D61" s="876"/>
      <c r="E61" s="491">
        <v>2</v>
      </c>
      <c r="F61" s="448">
        <v>215561809</v>
      </c>
      <c r="G61" s="565">
        <f>IF(ISBLANK(F61),"-",(F61/$D$50*$D$47*$B$68)*($B$57/$D$60))</f>
        <v>284.90916927390111</v>
      </c>
      <c r="H61" s="492">
        <f t="shared" si="0"/>
        <v>0.94969723091300373</v>
      </c>
      <c r="L61" s="425"/>
    </row>
    <row r="62" spans="1:12" s="4" customFormat="1" ht="26.25" customHeight="1" x14ac:dyDescent="0.4">
      <c r="A62" s="436" t="s">
        <v>96</v>
      </c>
      <c r="B62" s="437">
        <v>1</v>
      </c>
      <c r="C62" s="873"/>
      <c r="D62" s="876"/>
      <c r="E62" s="491">
        <v>3</v>
      </c>
      <c r="F62" s="493">
        <v>216322771</v>
      </c>
      <c r="G62" s="565">
        <f>IF(ISBLANK(F62),"-",(F62/$D$50*$D$47*$B$68)*($B$57/$D$60))</f>
        <v>285.91493672535637</v>
      </c>
      <c r="H62" s="492">
        <f t="shared" si="0"/>
        <v>0.9530497890845212</v>
      </c>
      <c r="L62" s="425"/>
    </row>
    <row r="63" spans="1:12" ht="27" customHeight="1" thickBot="1" x14ac:dyDescent="0.45">
      <c r="A63" s="436" t="s">
        <v>97</v>
      </c>
      <c r="B63" s="437">
        <v>1</v>
      </c>
      <c r="C63" s="883"/>
      <c r="D63" s="877"/>
      <c r="E63" s="494">
        <v>4</v>
      </c>
      <c r="F63" s="495"/>
      <c r="G63" s="565" t="str">
        <f>IF(ISBLANK(F63),"-",(F63/$D$50*$D$47*$B$68)*($B$57/$D$60))</f>
        <v>-</v>
      </c>
      <c r="H63" s="492" t="str">
        <f t="shared" si="0"/>
        <v>-</v>
      </c>
    </row>
    <row r="64" spans="1:12" ht="26.25" customHeight="1" x14ac:dyDescent="0.4">
      <c r="A64" s="436" t="s">
        <v>98</v>
      </c>
      <c r="B64" s="437">
        <v>1</v>
      </c>
      <c r="C64" s="872" t="s">
        <v>99</v>
      </c>
      <c r="D64" s="875">
        <v>1122.8</v>
      </c>
      <c r="E64" s="488">
        <v>1</v>
      </c>
      <c r="F64" s="489">
        <v>210044901</v>
      </c>
      <c r="G64" s="566">
        <f>IF(ISBLANK(F64),"-",(F64/$D$50*$D$47*$B$68)*($B$57/$D$64))</f>
        <v>279.40262121647976</v>
      </c>
      <c r="H64" s="496">
        <f t="shared" si="0"/>
        <v>0.93134207072159925</v>
      </c>
    </row>
    <row r="65" spans="1:8" ht="26.25" customHeight="1" x14ac:dyDescent="0.4">
      <c r="A65" s="436" t="s">
        <v>100</v>
      </c>
      <c r="B65" s="437">
        <v>1</v>
      </c>
      <c r="C65" s="873"/>
      <c r="D65" s="876"/>
      <c r="E65" s="491">
        <v>2</v>
      </c>
      <c r="F65" s="448"/>
      <c r="G65" s="567" t="str">
        <f>IF(ISBLANK(F65),"-",(F65/$D$50*$D$47*$B$68)*($B$57/$D$64))</f>
        <v>-</v>
      </c>
      <c r="H65" s="497" t="str">
        <f t="shared" si="0"/>
        <v>-</v>
      </c>
    </row>
    <row r="66" spans="1:8" ht="26.25" customHeight="1" x14ac:dyDescent="0.4">
      <c r="A66" s="436" t="s">
        <v>101</v>
      </c>
      <c r="B66" s="437">
        <v>1</v>
      </c>
      <c r="C66" s="873"/>
      <c r="D66" s="876"/>
      <c r="E66" s="491">
        <v>3</v>
      </c>
      <c r="F66" s="448"/>
      <c r="G66" s="567" t="str">
        <f>IF(ISBLANK(F66),"-",(F66/$D$50*$D$47*$B$68)*($B$57/$D$64))</f>
        <v>-</v>
      </c>
      <c r="H66" s="497" t="str">
        <f t="shared" si="0"/>
        <v>-</v>
      </c>
    </row>
    <row r="67" spans="1:8" ht="27" customHeight="1" thickBot="1" x14ac:dyDescent="0.45">
      <c r="A67" s="436" t="s">
        <v>102</v>
      </c>
      <c r="B67" s="437">
        <v>1</v>
      </c>
      <c r="C67" s="883"/>
      <c r="D67" s="877"/>
      <c r="E67" s="494">
        <v>4</v>
      </c>
      <c r="F67" s="495"/>
      <c r="G67" s="568" t="str">
        <f>IF(ISBLANK(F67),"-",(F67/$D$50*$D$47*$B$68)*($B$57/$D$64))</f>
        <v>-</v>
      </c>
      <c r="H67" s="498" t="str">
        <f t="shared" si="0"/>
        <v>-</v>
      </c>
    </row>
    <row r="68" spans="1:8" ht="26.25" customHeight="1" x14ac:dyDescent="0.4">
      <c r="A68" s="436" t="s">
        <v>103</v>
      </c>
      <c r="B68" s="499">
        <f>(B67/B66)*(B65/B64)*(B63/B62)*(B61/B60)*B59</f>
        <v>1000</v>
      </c>
      <c r="C68" s="872" t="s">
        <v>104</v>
      </c>
      <c r="D68" s="875">
        <v>1137.53</v>
      </c>
      <c r="E68" s="488">
        <v>1</v>
      </c>
      <c r="F68" s="489">
        <v>212074970</v>
      </c>
      <c r="G68" s="566">
        <f>IF(ISBLANK(F68),"-",(F68/$D$50*$D$47*$B$68)*($B$57/$D$68))</f>
        <v>278.4500447759533</v>
      </c>
      <c r="H68" s="492">
        <f t="shared" si="0"/>
        <v>0.92816681591984429</v>
      </c>
    </row>
    <row r="69" spans="1:8" ht="27" customHeight="1" thickBot="1" x14ac:dyDescent="0.45">
      <c r="A69" s="480" t="s">
        <v>105</v>
      </c>
      <c r="B69" s="500">
        <f>(D47*B68)/B56*B57</f>
        <v>566.14324999999997</v>
      </c>
      <c r="C69" s="873"/>
      <c r="D69" s="876"/>
      <c r="E69" s="491">
        <v>2</v>
      </c>
      <c r="F69" s="448">
        <v>219507952</v>
      </c>
      <c r="G69" s="567">
        <f>IF(ISBLANK(F69),"-",(F69/$D$50*$D$47*$B$68)*($B$57/$D$68))</f>
        <v>288.20939624830692</v>
      </c>
      <c r="H69" s="492">
        <f t="shared" si="0"/>
        <v>0.96069798749435642</v>
      </c>
    </row>
    <row r="70" spans="1:8" ht="26.25" customHeight="1" x14ac:dyDescent="0.4">
      <c r="A70" s="878" t="s">
        <v>78</v>
      </c>
      <c r="B70" s="879"/>
      <c r="C70" s="873"/>
      <c r="D70" s="876"/>
      <c r="E70" s="491">
        <v>3</v>
      </c>
      <c r="F70" s="448">
        <v>216974791</v>
      </c>
      <c r="G70" s="567">
        <f>IF(ISBLANK(F70),"-",(F70/$D$50*$D$47*$B$68)*($B$57/$D$68))</f>
        <v>284.88340830227685</v>
      </c>
      <c r="H70" s="492">
        <f t="shared" si="0"/>
        <v>0.94961136100758947</v>
      </c>
    </row>
    <row r="71" spans="1:8" ht="27" customHeight="1" thickBot="1" x14ac:dyDescent="0.45">
      <c r="A71" s="880"/>
      <c r="B71" s="881"/>
      <c r="C71" s="874"/>
      <c r="D71" s="877"/>
      <c r="E71" s="494">
        <v>4</v>
      </c>
      <c r="F71" s="495"/>
      <c r="G71" s="568" t="str">
        <f>IF(ISBLANK(F71),"-",(F71/$D$50*$D$47*$B$68)*($B$57/$D$68))</f>
        <v>-</v>
      </c>
      <c r="H71" s="501" t="str">
        <f t="shared" si="0"/>
        <v>-</v>
      </c>
    </row>
    <row r="72" spans="1:8" ht="26.25" customHeight="1" x14ac:dyDescent="0.4">
      <c r="A72" s="523"/>
      <c r="B72" s="523"/>
      <c r="C72" s="523"/>
      <c r="D72" s="523"/>
      <c r="E72" s="523"/>
      <c r="F72" s="502" t="s">
        <v>71</v>
      </c>
      <c r="G72" s="579">
        <f>AVERAGE(G60:G71)</f>
        <v>282.08964489045485</v>
      </c>
      <c r="H72" s="503">
        <f>AVERAGE(H60:H71)</f>
        <v>0.94029881630151613</v>
      </c>
    </row>
    <row r="73" spans="1:8" ht="26.25" customHeight="1" x14ac:dyDescent="0.4">
      <c r="C73" s="523"/>
      <c r="D73" s="523"/>
      <c r="E73" s="523"/>
      <c r="F73" s="504" t="s">
        <v>84</v>
      </c>
      <c r="G73" s="569">
        <f>STDEV(G60:G71)/G72</f>
        <v>1.9064473931848038E-2</v>
      </c>
      <c r="H73" s="569">
        <f>STDEV(H60:H71)/H72</f>
        <v>1.9064473931848038E-2</v>
      </c>
    </row>
    <row r="74" spans="1:8" ht="27" customHeight="1" thickBot="1" x14ac:dyDescent="0.45">
      <c r="A74" s="523"/>
      <c r="B74" s="523"/>
      <c r="C74" s="523"/>
      <c r="D74" s="523"/>
      <c r="E74" s="505"/>
      <c r="F74" s="506" t="s">
        <v>20</v>
      </c>
      <c r="G74" s="507">
        <f>COUNT(G60:G71)</f>
        <v>7</v>
      </c>
      <c r="H74" s="507">
        <f>COUNT(H60:H71)</f>
        <v>7</v>
      </c>
    </row>
    <row r="76" spans="1:8" ht="26.25" customHeight="1" x14ac:dyDescent="0.4">
      <c r="A76" s="557" t="s">
        <v>106</v>
      </c>
      <c r="B76" s="515" t="s">
        <v>107</v>
      </c>
      <c r="C76" s="859" t="str">
        <f>B20</f>
        <v>Lamivudine     Nevirapine and Zidovudine</v>
      </c>
      <c r="D76" s="859"/>
      <c r="E76" s="508" t="s">
        <v>108</v>
      </c>
      <c r="F76" s="508"/>
      <c r="G76" s="509">
        <f>H72</f>
        <v>0.94029881630151613</v>
      </c>
      <c r="H76" s="576"/>
    </row>
    <row r="77" spans="1:8" ht="18.75" x14ac:dyDescent="0.3">
      <c r="A77" s="423" t="s">
        <v>109</v>
      </c>
      <c r="B77" s="423" t="s">
        <v>110</v>
      </c>
    </row>
    <row r="78" spans="1:8" ht="18.75" x14ac:dyDescent="0.3">
      <c r="A78" s="423"/>
      <c r="B78" s="423"/>
    </row>
    <row r="79" spans="1:8" ht="26.25" customHeight="1" x14ac:dyDescent="0.4">
      <c r="A79" s="557" t="s">
        <v>4</v>
      </c>
      <c r="B79" s="882" t="str">
        <f>B26</f>
        <v>zidovudine</v>
      </c>
      <c r="C79" s="882"/>
    </row>
    <row r="80" spans="1:8" ht="26.25" customHeight="1" x14ac:dyDescent="0.4">
      <c r="A80" s="515" t="s">
        <v>48</v>
      </c>
      <c r="B80" s="882" t="str">
        <f>B27</f>
        <v>WRS Z1-3</v>
      </c>
      <c r="C80" s="882"/>
    </row>
    <row r="81" spans="1:12" ht="27" customHeight="1" thickBot="1" x14ac:dyDescent="0.45">
      <c r="A81" s="515" t="s">
        <v>6</v>
      </c>
      <c r="B81" s="510">
        <f>B28</f>
        <v>99.4</v>
      </c>
    </row>
    <row r="82" spans="1:12" s="4" customFormat="1" ht="27" customHeight="1" thickBot="1" x14ac:dyDescent="0.45">
      <c r="A82" s="515" t="s">
        <v>49</v>
      </c>
      <c r="B82" s="424">
        <v>0</v>
      </c>
      <c r="C82" s="861" t="s">
        <v>50</v>
      </c>
      <c r="D82" s="862"/>
      <c r="E82" s="862"/>
      <c r="F82" s="862"/>
      <c r="G82" s="863"/>
      <c r="I82" s="425"/>
      <c r="J82" s="425"/>
      <c r="K82" s="425"/>
      <c r="L82" s="425"/>
    </row>
    <row r="83" spans="1:12" s="4" customFormat="1" ht="19.5" customHeight="1" thickBot="1" x14ac:dyDescent="0.35">
      <c r="A83" s="515" t="s">
        <v>51</v>
      </c>
      <c r="B83" s="576">
        <f>B81-B82</f>
        <v>99.4</v>
      </c>
      <c r="C83" s="426"/>
      <c r="D83" s="426"/>
      <c r="E83" s="426"/>
      <c r="F83" s="426"/>
      <c r="G83" s="427"/>
      <c r="I83" s="425"/>
      <c r="J83" s="425"/>
      <c r="K83" s="425"/>
      <c r="L83" s="425"/>
    </row>
    <row r="84" spans="1:12" s="4" customFormat="1" ht="27" customHeight="1" thickBot="1" x14ac:dyDescent="0.45">
      <c r="A84" s="515" t="s">
        <v>52</v>
      </c>
      <c r="B84" s="428">
        <v>1</v>
      </c>
      <c r="C84" s="864" t="s">
        <v>111</v>
      </c>
      <c r="D84" s="865"/>
      <c r="E84" s="865"/>
      <c r="F84" s="865"/>
      <c r="G84" s="865"/>
      <c r="H84" s="866"/>
      <c r="I84" s="425"/>
      <c r="J84" s="425"/>
      <c r="K84" s="425"/>
      <c r="L84" s="425"/>
    </row>
    <row r="85" spans="1:12" s="4" customFormat="1" ht="27" customHeight="1" thickBot="1" x14ac:dyDescent="0.45">
      <c r="A85" s="515" t="s">
        <v>54</v>
      </c>
      <c r="B85" s="428">
        <v>1</v>
      </c>
      <c r="C85" s="864" t="s">
        <v>112</v>
      </c>
      <c r="D85" s="865"/>
      <c r="E85" s="865"/>
      <c r="F85" s="865"/>
      <c r="G85" s="865"/>
      <c r="H85" s="866"/>
      <c r="I85" s="425"/>
      <c r="J85" s="425"/>
      <c r="K85" s="425"/>
      <c r="L85" s="425"/>
    </row>
    <row r="86" spans="1:12" s="4" customFormat="1" ht="18.75" x14ac:dyDescent="0.3">
      <c r="A86" s="515"/>
      <c r="B86" s="431"/>
      <c r="C86" s="432"/>
      <c r="D86" s="432"/>
      <c r="E86" s="432"/>
      <c r="F86" s="432"/>
      <c r="G86" s="432"/>
      <c r="H86" s="432"/>
      <c r="I86" s="425"/>
      <c r="J86" s="425"/>
      <c r="K86" s="425"/>
      <c r="L86" s="425"/>
    </row>
    <row r="87" spans="1:12" s="4" customFormat="1" ht="18.75" x14ac:dyDescent="0.3">
      <c r="A87" s="515" t="s">
        <v>56</v>
      </c>
      <c r="B87" s="433">
        <f>B84/B85</f>
        <v>1</v>
      </c>
      <c r="C87" s="508" t="s">
        <v>57</v>
      </c>
      <c r="D87" s="508"/>
      <c r="E87" s="508"/>
      <c r="F87" s="508"/>
      <c r="G87" s="508"/>
      <c r="I87" s="425"/>
      <c r="J87" s="425"/>
      <c r="K87" s="425"/>
      <c r="L87" s="425"/>
    </row>
    <row r="88" spans="1:12" ht="19.5" customHeight="1" thickBot="1" x14ac:dyDescent="0.35">
      <c r="A88" s="423"/>
      <c r="B88" s="423"/>
    </row>
    <row r="89" spans="1:12" ht="27" customHeight="1" thickBot="1" x14ac:dyDescent="0.45">
      <c r="A89" s="434" t="s">
        <v>58</v>
      </c>
      <c r="B89" s="435">
        <v>20</v>
      </c>
      <c r="D89" s="574" t="s">
        <v>59</v>
      </c>
      <c r="E89" s="575"/>
      <c r="F89" s="867" t="s">
        <v>60</v>
      </c>
      <c r="G89" s="868"/>
    </row>
    <row r="90" spans="1:12" ht="27" customHeight="1" thickBot="1" x14ac:dyDescent="0.45">
      <c r="A90" s="436" t="s">
        <v>61</v>
      </c>
      <c r="B90" s="437">
        <v>4</v>
      </c>
      <c r="C90" s="577" t="s">
        <v>62</v>
      </c>
      <c r="D90" s="439" t="s">
        <v>63</v>
      </c>
      <c r="E90" s="440" t="s">
        <v>64</v>
      </c>
      <c r="F90" s="439" t="s">
        <v>63</v>
      </c>
      <c r="G90" s="511" t="s">
        <v>64</v>
      </c>
      <c r="I90" s="442" t="s">
        <v>65</v>
      </c>
    </row>
    <row r="91" spans="1:12" ht="26.25" customHeight="1" x14ac:dyDescent="0.4">
      <c r="A91" s="436" t="s">
        <v>66</v>
      </c>
      <c r="B91" s="437">
        <v>20</v>
      </c>
      <c r="C91" s="512">
        <v>1</v>
      </c>
      <c r="D91" s="444">
        <v>28432681</v>
      </c>
      <c r="E91" s="445">
        <f>IF(ISBLANK(D91),"-",$D$101/$D$98*D91)</f>
        <v>33060918.678971644</v>
      </c>
      <c r="F91" s="444">
        <v>28460762</v>
      </c>
      <c r="G91" s="446">
        <f>IF(ISBLANK(F91),"-",$D$101/$F$98*F91)</f>
        <v>32211224.371767785</v>
      </c>
      <c r="I91" s="447"/>
    </row>
    <row r="92" spans="1:12" ht="26.25" customHeight="1" x14ac:dyDescent="0.4">
      <c r="A92" s="436" t="s">
        <v>67</v>
      </c>
      <c r="B92" s="437">
        <v>1</v>
      </c>
      <c r="C92" s="523">
        <v>2</v>
      </c>
      <c r="D92" s="448">
        <v>28745479</v>
      </c>
      <c r="E92" s="449">
        <f>IF(ISBLANK(D92),"-",$D$101/$D$98*D92)</f>
        <v>33424633.561889123</v>
      </c>
      <c r="F92" s="448">
        <v>28447203</v>
      </c>
      <c r="G92" s="450">
        <f>IF(ISBLANK(F92),"-",$D$101/$F$98*F92)</f>
        <v>32195878.612885546</v>
      </c>
      <c r="I92" s="869">
        <f>ABS((F96/D96*D95)-F95)/D95</f>
        <v>2.9963231703423202E-2</v>
      </c>
    </row>
    <row r="93" spans="1:12" ht="26.25" customHeight="1" x14ac:dyDescent="0.4">
      <c r="A93" s="436" t="s">
        <v>68</v>
      </c>
      <c r="B93" s="437">
        <v>1</v>
      </c>
      <c r="C93" s="523">
        <v>3</v>
      </c>
      <c r="D93" s="448">
        <v>28405213</v>
      </c>
      <c r="E93" s="449">
        <f>IF(ISBLANK(D93),"-",$D$101/$D$98*D93)</f>
        <v>33028979.470907729</v>
      </c>
      <c r="F93" s="448">
        <v>28455397</v>
      </c>
      <c r="G93" s="450">
        <f>IF(ISBLANK(F93),"-",$D$101/$F$98*F93)</f>
        <v>32205152.39032349</v>
      </c>
      <c r="I93" s="869"/>
    </row>
    <row r="94" spans="1:12" ht="27" customHeight="1" thickBot="1" x14ac:dyDescent="0.45">
      <c r="A94" s="436" t="s">
        <v>69</v>
      </c>
      <c r="B94" s="437">
        <v>1</v>
      </c>
      <c r="C94" s="513">
        <v>4</v>
      </c>
      <c r="D94" s="452"/>
      <c r="E94" s="453" t="str">
        <f>IF(ISBLANK(D94),"-",$D$101/$D$98*D94)</f>
        <v>-</v>
      </c>
      <c r="F94" s="514"/>
      <c r="G94" s="454" t="str">
        <f>IF(ISBLANK(F94),"-",$D$101/$F$98*F94)</f>
        <v>-</v>
      </c>
      <c r="I94" s="455"/>
    </row>
    <row r="95" spans="1:12" ht="27" customHeight="1" thickBot="1" x14ac:dyDescent="0.45">
      <c r="A95" s="436" t="s">
        <v>70</v>
      </c>
      <c r="B95" s="437">
        <v>1</v>
      </c>
      <c r="C95" s="515" t="s">
        <v>71</v>
      </c>
      <c r="D95" s="516">
        <f>AVERAGE(D91:D94)</f>
        <v>28527791</v>
      </c>
      <c r="E95" s="458">
        <f>AVERAGE(E91:E94)</f>
        <v>33171510.570589498</v>
      </c>
      <c r="F95" s="517">
        <f>AVERAGE(F91:F94)</f>
        <v>28454454</v>
      </c>
      <c r="G95" s="518">
        <f>AVERAGE(G91:G94)</f>
        <v>32204085.12499227</v>
      </c>
    </row>
    <row r="96" spans="1:12" ht="26.25" customHeight="1" x14ac:dyDescent="0.4">
      <c r="A96" s="436" t="s">
        <v>72</v>
      </c>
      <c r="B96" s="510">
        <v>1</v>
      </c>
      <c r="C96" s="519" t="s">
        <v>113</v>
      </c>
      <c r="D96" s="520">
        <v>28.84</v>
      </c>
      <c r="E96" s="508"/>
      <c r="F96" s="462">
        <v>29.63</v>
      </c>
    </row>
    <row r="97" spans="1:10" ht="26.25" customHeight="1" x14ac:dyDescent="0.4">
      <c r="A97" s="436" t="s">
        <v>74</v>
      </c>
      <c r="B97" s="510">
        <v>1</v>
      </c>
      <c r="C97" s="521" t="s">
        <v>114</v>
      </c>
      <c r="D97" s="522">
        <f>D96*$B$87</f>
        <v>28.84</v>
      </c>
      <c r="E97" s="523"/>
      <c r="F97" s="464">
        <f>F96*$B$87</f>
        <v>29.63</v>
      </c>
    </row>
    <row r="98" spans="1:10" ht="19.5" customHeight="1" thickBot="1" x14ac:dyDescent="0.35">
      <c r="A98" s="436" t="s">
        <v>76</v>
      </c>
      <c r="B98" s="523">
        <f>(B97/B96)*(B95/B94)*(B93/B92)*(B91/B90)*B89</f>
        <v>100</v>
      </c>
      <c r="C98" s="521" t="s">
        <v>115</v>
      </c>
      <c r="D98" s="524">
        <f>D97*$B$83/100</f>
        <v>28.666960000000003</v>
      </c>
      <c r="E98" s="505"/>
      <c r="F98" s="466">
        <f>F97*$B$83/100</f>
        <v>29.452220000000001</v>
      </c>
    </row>
    <row r="99" spans="1:10" ht="19.5" customHeight="1" thickBot="1" x14ac:dyDescent="0.35">
      <c r="A99" s="855" t="s">
        <v>78</v>
      </c>
      <c r="B99" s="870"/>
      <c r="C99" s="521" t="s">
        <v>116</v>
      </c>
      <c r="D99" s="525">
        <f>D98/$B$98</f>
        <v>0.28666960000000002</v>
      </c>
      <c r="E99" s="505"/>
      <c r="F99" s="469">
        <f>F98/$B$98</f>
        <v>0.29452220000000001</v>
      </c>
      <c r="H99" s="460"/>
    </row>
    <row r="100" spans="1:10" ht="19.5" customHeight="1" thickBot="1" x14ac:dyDescent="0.35">
      <c r="A100" s="857"/>
      <c r="B100" s="871"/>
      <c r="C100" s="521" t="s">
        <v>80</v>
      </c>
      <c r="D100" s="527">
        <f>$B$56/$B$116</f>
        <v>0.33333333333333331</v>
      </c>
      <c r="F100" s="474"/>
      <c r="G100" s="533"/>
      <c r="H100" s="460"/>
    </row>
    <row r="101" spans="1:10" ht="18.75" x14ac:dyDescent="0.3">
      <c r="C101" s="521" t="s">
        <v>81</v>
      </c>
      <c r="D101" s="522">
        <f>D100*$B$98</f>
        <v>33.333333333333329</v>
      </c>
      <c r="F101" s="474"/>
      <c r="H101" s="460"/>
    </row>
    <row r="102" spans="1:10" ht="19.5" customHeight="1" thickBot="1" x14ac:dyDescent="0.35">
      <c r="C102" s="528" t="s">
        <v>82</v>
      </c>
      <c r="D102" s="529">
        <f>D101/B34</f>
        <v>33.333333333333329</v>
      </c>
      <c r="F102" s="478"/>
      <c r="H102" s="460"/>
      <c r="J102" s="530"/>
    </row>
    <row r="103" spans="1:10" ht="18.75" x14ac:dyDescent="0.3">
      <c r="C103" s="531" t="s">
        <v>117</v>
      </c>
      <c r="D103" s="532">
        <f>AVERAGE(E91:E94,G91:G94)</f>
        <v>32687797.847790886</v>
      </c>
      <c r="F103" s="478"/>
      <c r="G103" s="533"/>
      <c r="H103" s="460"/>
      <c r="J103" s="534"/>
    </row>
    <row r="104" spans="1:10" ht="18.75" x14ac:dyDescent="0.3">
      <c r="C104" s="504" t="s">
        <v>84</v>
      </c>
      <c r="D104" s="535">
        <f>STDEV(E91:E94,G91:G94)/D103</f>
        <v>1.6759553272643377E-2</v>
      </c>
      <c r="F104" s="478"/>
      <c r="H104" s="460"/>
      <c r="J104" s="534"/>
    </row>
    <row r="105" spans="1:10" ht="19.5" customHeight="1" thickBot="1" x14ac:dyDescent="0.35">
      <c r="C105" s="506" t="s">
        <v>20</v>
      </c>
      <c r="D105" s="536">
        <f>COUNT(E91:E94,G91:G94)</f>
        <v>6</v>
      </c>
      <c r="F105" s="478"/>
      <c r="H105" s="460"/>
      <c r="J105" s="534"/>
    </row>
    <row r="106" spans="1:10" ht="19.5" customHeight="1" thickBot="1" x14ac:dyDescent="0.35">
      <c r="A106" s="482"/>
      <c r="B106" s="482"/>
      <c r="C106" s="482"/>
      <c r="D106" s="482"/>
      <c r="E106" s="482"/>
    </row>
    <row r="107" spans="1:10" ht="26.25" customHeight="1" x14ac:dyDescent="0.4">
      <c r="A107" s="434" t="s">
        <v>118</v>
      </c>
      <c r="B107" s="435">
        <v>900</v>
      </c>
      <c r="C107" s="574" t="s">
        <v>119</v>
      </c>
      <c r="D107" s="537" t="s">
        <v>63</v>
      </c>
      <c r="E107" s="538" t="s">
        <v>120</v>
      </c>
      <c r="F107" s="539" t="s">
        <v>121</v>
      </c>
    </row>
    <row r="108" spans="1:10" ht="26.25" customHeight="1" x14ac:dyDescent="0.4">
      <c r="A108" s="436" t="s">
        <v>122</v>
      </c>
      <c r="B108" s="437">
        <v>1</v>
      </c>
      <c r="C108" s="540">
        <v>1</v>
      </c>
      <c r="D108" s="541">
        <v>28662764</v>
      </c>
      <c r="E108" s="570">
        <f t="shared" ref="E108:E113" si="1">IF(ISBLANK(D108),"-",D108/$D$103*$D$100*$B$116)</f>
        <v>263.05929937648364</v>
      </c>
      <c r="F108" s="542">
        <f t="shared" ref="F108:F113" si="2">IF(ISBLANK(D108), "-", E108/$B$56)</f>
        <v>0.87686433125494545</v>
      </c>
    </row>
    <row r="109" spans="1:10" ht="26.25" customHeight="1" x14ac:dyDescent="0.4">
      <c r="A109" s="436" t="s">
        <v>95</v>
      </c>
      <c r="B109" s="437">
        <v>1</v>
      </c>
      <c r="C109" s="540">
        <v>2</v>
      </c>
      <c r="D109" s="541">
        <v>28536128</v>
      </c>
      <c r="E109" s="571">
        <f t="shared" si="1"/>
        <v>261.89706751929634</v>
      </c>
      <c r="F109" s="543">
        <f t="shared" si="2"/>
        <v>0.87299022506432111</v>
      </c>
    </row>
    <row r="110" spans="1:10" ht="26.25" customHeight="1" x14ac:dyDescent="0.4">
      <c r="A110" s="436" t="s">
        <v>96</v>
      </c>
      <c r="B110" s="437">
        <v>1</v>
      </c>
      <c r="C110" s="540">
        <v>3</v>
      </c>
      <c r="D110" s="541">
        <v>20787080</v>
      </c>
      <c r="E110" s="571">
        <f t="shared" si="1"/>
        <v>190.77834576187121</v>
      </c>
      <c r="F110" s="543">
        <f t="shared" si="2"/>
        <v>0.63592781920623731</v>
      </c>
    </row>
    <row r="111" spans="1:10" ht="26.25" customHeight="1" x14ac:dyDescent="0.4">
      <c r="A111" s="436" t="s">
        <v>97</v>
      </c>
      <c r="B111" s="437">
        <v>1</v>
      </c>
      <c r="C111" s="540">
        <v>4</v>
      </c>
      <c r="D111" s="541">
        <v>28664353</v>
      </c>
      <c r="E111" s="571">
        <f t="shared" si="1"/>
        <v>263.07388280000509</v>
      </c>
      <c r="F111" s="543">
        <f t="shared" si="2"/>
        <v>0.87691294266668363</v>
      </c>
    </row>
    <row r="112" spans="1:10" ht="26.25" customHeight="1" x14ac:dyDescent="0.4">
      <c r="A112" s="436" t="s">
        <v>98</v>
      </c>
      <c r="B112" s="437">
        <v>1</v>
      </c>
      <c r="C112" s="540">
        <v>5</v>
      </c>
      <c r="D112" s="541">
        <v>28697144</v>
      </c>
      <c r="E112" s="571">
        <f t="shared" si="1"/>
        <v>263.37482996217881</v>
      </c>
      <c r="F112" s="543">
        <f t="shared" si="2"/>
        <v>0.87791609987392938</v>
      </c>
    </row>
    <row r="113" spans="1:10" ht="26.25" customHeight="1" x14ac:dyDescent="0.4">
      <c r="A113" s="436" t="s">
        <v>100</v>
      </c>
      <c r="B113" s="437">
        <v>1</v>
      </c>
      <c r="C113" s="544">
        <v>6</v>
      </c>
      <c r="D113" s="545">
        <v>29408259</v>
      </c>
      <c r="E113" s="572">
        <f t="shared" si="1"/>
        <v>269.90125615318078</v>
      </c>
      <c r="F113" s="546">
        <f t="shared" si="2"/>
        <v>0.89967085384393597</v>
      </c>
    </row>
    <row r="114" spans="1:10" ht="26.25" customHeight="1" x14ac:dyDescent="0.4">
      <c r="A114" s="436" t="s">
        <v>101</v>
      </c>
      <c r="B114" s="437">
        <v>1</v>
      </c>
      <c r="C114" s="540"/>
      <c r="D114" s="523"/>
      <c r="E114" s="508"/>
      <c r="F114" s="547"/>
    </row>
    <row r="115" spans="1:10" ht="26.25" customHeight="1" x14ac:dyDescent="0.4">
      <c r="A115" s="436" t="s">
        <v>102</v>
      </c>
      <c r="B115" s="437">
        <v>1</v>
      </c>
      <c r="C115" s="540"/>
      <c r="D115" s="548" t="s">
        <v>71</v>
      </c>
      <c r="E115" s="580">
        <f>AVERAGE(E108:E113)</f>
        <v>252.01411359550266</v>
      </c>
      <c r="F115" s="549">
        <f>AVERAGE(F108:F113)</f>
        <v>0.84004704531834218</v>
      </c>
    </row>
    <row r="116" spans="1:10" ht="27" customHeight="1" thickBot="1" x14ac:dyDescent="0.45">
      <c r="A116" s="436" t="s">
        <v>103</v>
      </c>
      <c r="B116" s="465">
        <f>(B115/B114)*(B113/B112)*(B111/B110)*(B109/B108)*B107</f>
        <v>900</v>
      </c>
      <c r="C116" s="550"/>
      <c r="D116" s="515" t="s">
        <v>84</v>
      </c>
      <c r="E116" s="551">
        <f>STDEV(E108:E113)/E115</f>
        <v>0.11957968168840337</v>
      </c>
      <c r="F116" s="551">
        <f>STDEV(F108:F113)/F115</f>
        <v>0.11957968168840513</v>
      </c>
      <c r="I116" s="508"/>
    </row>
    <row r="117" spans="1:10" ht="27" customHeight="1" thickBot="1" x14ac:dyDescent="0.45">
      <c r="A117" s="855" t="s">
        <v>78</v>
      </c>
      <c r="B117" s="856"/>
      <c r="C117" s="552"/>
      <c r="D117" s="553" t="s">
        <v>20</v>
      </c>
      <c r="E117" s="554">
        <f>COUNT(E108:E113)</f>
        <v>6</v>
      </c>
      <c r="F117" s="554">
        <f>COUNT(F108:F113)</f>
        <v>6</v>
      </c>
      <c r="I117" s="508"/>
      <c r="J117" s="534"/>
    </row>
    <row r="118" spans="1:10" ht="19.5" customHeight="1" thickBot="1" x14ac:dyDescent="0.35">
      <c r="A118" s="857"/>
      <c r="B118" s="858"/>
      <c r="C118" s="508"/>
      <c r="D118" s="508"/>
      <c r="E118" s="508"/>
      <c r="F118" s="523"/>
      <c r="G118" s="508"/>
      <c r="H118" s="508"/>
      <c r="I118" s="508"/>
    </row>
    <row r="119" spans="1:10" ht="18.75" x14ac:dyDescent="0.3">
      <c r="A119" s="561"/>
      <c r="B119" s="432"/>
      <c r="C119" s="508"/>
      <c r="D119" s="508"/>
      <c r="E119" s="508"/>
      <c r="F119" s="523"/>
      <c r="G119" s="508"/>
      <c r="H119" s="508"/>
      <c r="I119" s="508"/>
    </row>
    <row r="120" spans="1:10" ht="26.25" customHeight="1" x14ac:dyDescent="0.4">
      <c r="A120" s="557" t="s">
        <v>106</v>
      </c>
      <c r="B120" s="515" t="s">
        <v>123</v>
      </c>
      <c r="C120" s="859" t="str">
        <f>B20</f>
        <v>Lamivudine     Nevirapine and Zidovudine</v>
      </c>
      <c r="D120" s="859"/>
      <c r="E120" s="508" t="s">
        <v>124</v>
      </c>
      <c r="F120" s="508"/>
      <c r="G120" s="509">
        <f>F115</f>
        <v>0.84004704531834218</v>
      </c>
      <c r="H120" s="508"/>
      <c r="I120" s="508"/>
    </row>
    <row r="121" spans="1:10" ht="19.5" customHeight="1" thickBot="1" x14ac:dyDescent="0.35">
      <c r="A121" s="578"/>
      <c r="B121" s="578"/>
      <c r="C121" s="555"/>
      <c r="D121" s="555"/>
      <c r="E121" s="555"/>
      <c r="F121" s="555"/>
      <c r="G121" s="555"/>
      <c r="H121" s="555"/>
    </row>
    <row r="122" spans="1:10" ht="18.75" x14ac:dyDescent="0.3">
      <c r="B122" s="860" t="s">
        <v>26</v>
      </c>
      <c r="C122" s="860"/>
      <c r="E122" s="577" t="s">
        <v>27</v>
      </c>
      <c r="F122" s="556"/>
      <c r="G122" s="860" t="s">
        <v>28</v>
      </c>
      <c r="H122" s="860"/>
    </row>
    <row r="123" spans="1:10" ht="69.95" customHeight="1" x14ac:dyDescent="0.3">
      <c r="A123" s="557" t="s">
        <v>29</v>
      </c>
      <c r="B123" s="558"/>
      <c r="C123" s="558"/>
      <c r="E123" s="558"/>
      <c r="F123" s="508"/>
      <c r="G123" s="558"/>
      <c r="H123" s="558"/>
    </row>
    <row r="124" spans="1:10" ht="69.95" customHeight="1" x14ac:dyDescent="0.3">
      <c r="A124" s="557" t="s">
        <v>30</v>
      </c>
      <c r="B124" s="559"/>
      <c r="C124" s="559"/>
      <c r="E124" s="559"/>
      <c r="F124" s="508"/>
      <c r="G124" s="560"/>
      <c r="H124" s="560"/>
    </row>
    <row r="125" spans="1:10" ht="18.75" x14ac:dyDescent="0.3">
      <c r="A125" s="523"/>
      <c r="B125" s="523"/>
      <c r="C125" s="523"/>
      <c r="D125" s="523"/>
      <c r="E125" s="523"/>
      <c r="F125" s="505"/>
      <c r="G125" s="523"/>
      <c r="H125" s="523"/>
      <c r="I125" s="508"/>
    </row>
    <row r="126" spans="1:10" ht="18.75" x14ac:dyDescent="0.3">
      <c r="A126" s="523"/>
      <c r="B126" s="523"/>
      <c r="C126" s="523"/>
      <c r="D126" s="523"/>
      <c r="E126" s="523"/>
      <c r="F126" s="505"/>
      <c r="G126" s="523"/>
      <c r="H126" s="523"/>
      <c r="I126" s="508"/>
    </row>
    <row r="127" spans="1:10" ht="18.75" x14ac:dyDescent="0.3">
      <c r="A127" s="523"/>
      <c r="B127" s="523"/>
      <c r="C127" s="523"/>
      <c r="D127" s="523"/>
      <c r="E127" s="523"/>
      <c r="F127" s="505"/>
      <c r="G127" s="523"/>
      <c r="H127" s="523"/>
      <c r="I127" s="508"/>
    </row>
    <row r="128" spans="1:10" ht="18.75" x14ac:dyDescent="0.3">
      <c r="A128" s="523"/>
      <c r="B128" s="523"/>
      <c r="C128" s="523"/>
      <c r="D128" s="523"/>
      <c r="E128" s="523"/>
      <c r="F128" s="505"/>
      <c r="G128" s="523"/>
      <c r="H128" s="523"/>
      <c r="I128" s="508"/>
    </row>
    <row r="129" spans="1:9" ht="18.75" x14ac:dyDescent="0.3">
      <c r="A129" s="523"/>
      <c r="B129" s="523"/>
      <c r="C129" s="523"/>
      <c r="D129" s="523"/>
      <c r="E129" s="523"/>
      <c r="F129" s="505"/>
      <c r="G129" s="523"/>
      <c r="H129" s="523"/>
      <c r="I129" s="508"/>
    </row>
    <row r="130" spans="1:9" ht="18.75" x14ac:dyDescent="0.3">
      <c r="A130" s="523"/>
      <c r="B130" s="523"/>
      <c r="C130" s="523"/>
      <c r="D130" s="523"/>
      <c r="E130" s="523"/>
      <c r="F130" s="505"/>
      <c r="G130" s="523"/>
      <c r="H130" s="523"/>
      <c r="I130" s="508"/>
    </row>
    <row r="131" spans="1:9" ht="18.75" x14ac:dyDescent="0.3">
      <c r="A131" s="523"/>
      <c r="B131" s="523"/>
      <c r="C131" s="523"/>
      <c r="D131" s="523"/>
      <c r="E131" s="523"/>
      <c r="F131" s="505"/>
      <c r="G131" s="523"/>
      <c r="H131" s="523"/>
      <c r="I131" s="508"/>
    </row>
    <row r="132" spans="1:9" ht="18.75" x14ac:dyDescent="0.3">
      <c r="A132" s="523"/>
      <c r="B132" s="523"/>
      <c r="C132" s="523"/>
      <c r="D132" s="523"/>
      <c r="E132" s="523"/>
      <c r="F132" s="505"/>
      <c r="G132" s="523"/>
      <c r="H132" s="523"/>
      <c r="I132" s="508"/>
    </row>
    <row r="133" spans="1:9" ht="18.75" x14ac:dyDescent="0.3">
      <c r="A133" s="523"/>
      <c r="B133" s="523"/>
      <c r="C133" s="523"/>
      <c r="D133" s="523"/>
      <c r="E133" s="523"/>
      <c r="F133" s="505"/>
      <c r="G133" s="523"/>
      <c r="H133" s="523"/>
      <c r="I133" s="508"/>
    </row>
    <row r="250" spans="1:1" x14ac:dyDescent="0.25">
      <c r="A250" s="52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F38" sqref="F38"/>
    </sheetView>
  </sheetViews>
  <sheetFormatPr defaultRowHeight="13.5" x14ac:dyDescent="0.25"/>
  <cols>
    <col min="1" max="1" width="27.5703125" style="598" customWidth="1"/>
    <col min="2" max="2" width="20.42578125" style="598" customWidth="1"/>
    <col min="3" max="3" width="31.85546875" style="598" customWidth="1"/>
    <col min="4" max="4" width="25.85546875" style="598" customWidth="1"/>
    <col min="5" max="5" width="25.7109375" style="598" customWidth="1"/>
    <col min="6" max="6" width="23.140625" style="598" customWidth="1"/>
    <col min="7" max="7" width="28.42578125" style="598" customWidth="1"/>
    <col min="8" max="8" width="21.5703125" style="598" customWidth="1"/>
    <col min="9" max="9" width="9.140625" style="598" customWidth="1"/>
    <col min="10" max="16384" width="9.140625" style="634"/>
  </cols>
  <sheetData>
    <row r="14" spans="1:6" ht="15" customHeight="1" x14ac:dyDescent="0.3">
      <c r="A14" s="597"/>
      <c r="C14" s="599"/>
      <c r="F14" s="599"/>
    </row>
    <row r="15" spans="1:6" ht="18.75" customHeight="1" x14ac:dyDescent="0.3">
      <c r="A15" s="843" t="s">
        <v>0</v>
      </c>
      <c r="B15" s="843"/>
      <c r="C15" s="843"/>
      <c r="D15" s="843"/>
      <c r="E15" s="843"/>
    </row>
    <row r="16" spans="1:6" ht="16.5" customHeight="1" x14ac:dyDescent="0.3">
      <c r="A16" s="600" t="s">
        <v>1</v>
      </c>
      <c r="B16" s="601" t="s">
        <v>2</v>
      </c>
    </row>
    <row r="17" spans="1:5" ht="16.5" customHeight="1" x14ac:dyDescent="0.3">
      <c r="A17" s="602" t="s">
        <v>3</v>
      </c>
      <c r="B17" s="602" t="s">
        <v>5</v>
      </c>
      <c r="D17" s="603"/>
      <c r="E17" s="604"/>
    </row>
    <row r="18" spans="1:5" ht="16.5" customHeight="1" x14ac:dyDescent="0.3">
      <c r="A18" s="605" t="s">
        <v>4</v>
      </c>
      <c r="B18" s="602" t="s">
        <v>132</v>
      </c>
      <c r="C18" s="604"/>
      <c r="D18" s="604"/>
      <c r="E18" s="604"/>
    </row>
    <row r="19" spans="1:5" ht="16.5" customHeight="1" x14ac:dyDescent="0.3">
      <c r="A19" s="605" t="s">
        <v>6</v>
      </c>
      <c r="B19" s="606">
        <v>99.8</v>
      </c>
      <c r="C19" s="604"/>
      <c r="D19" s="604"/>
      <c r="E19" s="604"/>
    </row>
    <row r="20" spans="1:5" ht="16.5" customHeight="1" x14ac:dyDescent="0.3">
      <c r="A20" s="602" t="s">
        <v>8</v>
      </c>
      <c r="B20" s="606">
        <v>17.36</v>
      </c>
      <c r="C20" s="604"/>
      <c r="D20" s="604"/>
      <c r="E20" s="604"/>
    </row>
    <row r="21" spans="1:5" ht="16.5" customHeight="1" x14ac:dyDescent="0.3">
      <c r="A21" s="602" t="s">
        <v>10</v>
      </c>
      <c r="B21" s="607">
        <f>17.36/100</f>
        <v>0.1736</v>
      </c>
      <c r="C21" s="604"/>
      <c r="D21" s="604"/>
      <c r="E21" s="604"/>
    </row>
    <row r="22" spans="1:5" ht="15.75" customHeight="1" x14ac:dyDescent="0.25">
      <c r="A22" s="604"/>
      <c r="B22" s="641">
        <v>42802</v>
      </c>
      <c r="C22" s="604"/>
      <c r="D22" s="604"/>
      <c r="E22" s="604"/>
    </row>
    <row r="23" spans="1:5" ht="16.5" customHeight="1" x14ac:dyDescent="0.3">
      <c r="A23" s="608" t="s">
        <v>13</v>
      </c>
      <c r="B23" s="609" t="s">
        <v>14</v>
      </c>
      <c r="C23" s="608" t="s">
        <v>15</v>
      </c>
      <c r="D23" s="608" t="s">
        <v>16</v>
      </c>
      <c r="E23" s="608" t="s">
        <v>17</v>
      </c>
    </row>
    <row r="24" spans="1:5" ht="16.5" customHeight="1" x14ac:dyDescent="0.3">
      <c r="A24" s="610">
        <v>1</v>
      </c>
      <c r="B24" s="611">
        <v>70762591</v>
      </c>
      <c r="C24" s="611">
        <v>5370.9</v>
      </c>
      <c r="D24" s="612">
        <v>1.1000000000000001</v>
      </c>
      <c r="E24" s="613">
        <v>3</v>
      </c>
    </row>
    <row r="25" spans="1:5" ht="16.5" customHeight="1" x14ac:dyDescent="0.3">
      <c r="A25" s="610">
        <v>2</v>
      </c>
      <c r="B25" s="611">
        <v>70485328</v>
      </c>
      <c r="C25" s="611">
        <v>5356.8</v>
      </c>
      <c r="D25" s="612">
        <v>1.1000000000000001</v>
      </c>
      <c r="E25" s="612">
        <v>3</v>
      </c>
    </row>
    <row r="26" spans="1:5" ht="16.5" customHeight="1" x14ac:dyDescent="0.3">
      <c r="A26" s="610">
        <v>3</v>
      </c>
      <c r="B26" s="611">
        <v>70360684</v>
      </c>
      <c r="C26" s="611">
        <v>5358.1</v>
      </c>
      <c r="D26" s="612">
        <v>1.2</v>
      </c>
      <c r="E26" s="612">
        <v>3</v>
      </c>
    </row>
    <row r="27" spans="1:5" ht="16.5" customHeight="1" x14ac:dyDescent="0.3">
      <c r="A27" s="610">
        <v>4</v>
      </c>
      <c r="B27" s="611">
        <v>70360087</v>
      </c>
      <c r="C27" s="611">
        <v>5409</v>
      </c>
      <c r="D27" s="612">
        <v>1.1000000000000001</v>
      </c>
      <c r="E27" s="612">
        <v>3</v>
      </c>
    </row>
    <row r="28" spans="1:5" ht="16.5" customHeight="1" x14ac:dyDescent="0.3">
      <c r="A28" s="610">
        <v>5</v>
      </c>
      <c r="B28" s="611">
        <v>70208267</v>
      </c>
      <c r="C28" s="611">
        <v>5359.7</v>
      </c>
      <c r="D28" s="612">
        <v>1.2</v>
      </c>
      <c r="E28" s="612">
        <v>3</v>
      </c>
    </row>
    <row r="29" spans="1:5" ht="16.5" customHeight="1" x14ac:dyDescent="0.3">
      <c r="A29" s="610">
        <v>6</v>
      </c>
      <c r="B29" s="614">
        <v>70013168</v>
      </c>
      <c r="C29" s="614">
        <v>5353.5</v>
      </c>
      <c r="D29" s="615">
        <v>1.2</v>
      </c>
      <c r="E29" s="615">
        <v>3</v>
      </c>
    </row>
    <row r="30" spans="1:5" ht="16.5" customHeight="1" x14ac:dyDescent="0.3">
      <c r="A30" s="616" t="s">
        <v>18</v>
      </c>
      <c r="B30" s="617">
        <f>AVERAGE(B24:B29)</f>
        <v>70365020.833333328</v>
      </c>
      <c r="C30" s="618">
        <f>AVERAGE(C24:C29)</f>
        <v>5368.0000000000009</v>
      </c>
      <c r="D30" s="619">
        <f>AVERAGE(D24:D29)</f>
        <v>1.1500000000000001</v>
      </c>
      <c r="E30" s="619">
        <f>AVERAGE(E24:E29)</f>
        <v>3</v>
      </c>
    </row>
    <row r="31" spans="1:5" ht="16.5" customHeight="1" x14ac:dyDescent="0.3">
      <c r="A31" s="620" t="s">
        <v>19</v>
      </c>
      <c r="B31" s="621">
        <f>(STDEV(B24:B29)/B30)</f>
        <v>3.6006231363070488E-3</v>
      </c>
      <c r="C31" s="622"/>
      <c r="D31" s="622"/>
      <c r="E31" s="623"/>
    </row>
    <row r="32" spans="1:5" s="598" customFormat="1" ht="16.5" customHeight="1" x14ac:dyDescent="0.3">
      <c r="A32" s="624" t="s">
        <v>20</v>
      </c>
      <c r="B32" s="625">
        <f>COUNT(B24:B29)</f>
        <v>6</v>
      </c>
      <c r="C32" s="626"/>
      <c r="D32" s="627"/>
      <c r="E32" s="628"/>
    </row>
    <row r="33" spans="1:5" s="598" customFormat="1" ht="15.75" customHeight="1" x14ac:dyDescent="0.25">
      <c r="A33" s="604"/>
      <c r="B33" s="604"/>
      <c r="C33" s="604"/>
      <c r="D33" s="604"/>
      <c r="E33" s="604"/>
    </row>
    <row r="34" spans="1:5" s="598" customFormat="1" ht="16.5" customHeight="1" x14ac:dyDescent="0.3">
      <c r="A34" s="605" t="s">
        <v>21</v>
      </c>
      <c r="B34" s="629" t="s">
        <v>22</v>
      </c>
      <c r="C34" s="630"/>
      <c r="D34" s="630"/>
      <c r="E34" s="630"/>
    </row>
    <row r="35" spans="1:5" ht="16.5" customHeight="1" x14ac:dyDescent="0.3">
      <c r="A35" s="605"/>
      <c r="B35" s="629" t="s">
        <v>23</v>
      </c>
      <c r="C35" s="630"/>
      <c r="D35" s="630"/>
      <c r="E35" s="630"/>
    </row>
    <row r="36" spans="1:5" ht="16.5" customHeight="1" x14ac:dyDescent="0.3">
      <c r="A36" s="605"/>
      <c r="B36" s="629" t="s">
        <v>24</v>
      </c>
      <c r="C36" s="630"/>
      <c r="D36" s="630"/>
      <c r="E36" s="630"/>
    </row>
    <row r="37" spans="1:5" ht="15.75" customHeight="1" x14ac:dyDescent="0.25">
      <c r="A37" s="604"/>
      <c r="B37" s="604"/>
      <c r="C37" s="604"/>
      <c r="D37" s="604"/>
      <c r="E37" s="604"/>
    </row>
    <row r="38" spans="1:5" ht="16.5" customHeight="1" x14ac:dyDescent="0.3">
      <c r="A38" s="600" t="s">
        <v>1</v>
      </c>
      <c r="B38" s="601" t="s">
        <v>25</v>
      </c>
    </row>
    <row r="39" spans="1:5" ht="16.5" customHeight="1" x14ac:dyDescent="0.3">
      <c r="A39" s="605" t="s">
        <v>4</v>
      </c>
      <c r="B39" s="602"/>
      <c r="C39" s="604"/>
      <c r="D39" s="604"/>
      <c r="E39" s="604"/>
    </row>
    <row r="40" spans="1:5" ht="16.5" customHeight="1" x14ac:dyDescent="0.3">
      <c r="A40" s="605" t="s">
        <v>6</v>
      </c>
      <c r="B40" s="606"/>
      <c r="C40" s="604"/>
      <c r="D40" s="604"/>
      <c r="E40" s="604"/>
    </row>
    <row r="41" spans="1:5" ht="16.5" customHeight="1" x14ac:dyDescent="0.3">
      <c r="A41" s="602" t="s">
        <v>8</v>
      </c>
      <c r="B41" s="606"/>
      <c r="C41" s="604"/>
      <c r="D41" s="604"/>
      <c r="E41" s="604"/>
    </row>
    <row r="42" spans="1:5" ht="16.5" customHeight="1" x14ac:dyDescent="0.3">
      <c r="A42" s="602" t="s">
        <v>10</v>
      </c>
      <c r="B42" s="607"/>
      <c r="C42" s="604"/>
      <c r="D42" s="604"/>
      <c r="E42" s="604"/>
    </row>
    <row r="43" spans="1:5" ht="15.75" customHeight="1" x14ac:dyDescent="0.25">
      <c r="A43" s="604"/>
      <c r="B43" s="604"/>
      <c r="C43" s="604"/>
      <c r="D43" s="604"/>
      <c r="E43" s="604"/>
    </row>
    <row r="44" spans="1:5" ht="16.5" customHeight="1" x14ac:dyDescent="0.3">
      <c r="A44" s="608" t="s">
        <v>13</v>
      </c>
      <c r="B44" s="609" t="s">
        <v>14</v>
      </c>
      <c r="C44" s="608" t="s">
        <v>15</v>
      </c>
      <c r="D44" s="608" t="s">
        <v>16</v>
      </c>
      <c r="E44" s="608" t="s">
        <v>17</v>
      </c>
    </row>
    <row r="45" spans="1:5" ht="16.5" customHeight="1" x14ac:dyDescent="0.3">
      <c r="A45" s="610">
        <v>1</v>
      </c>
      <c r="B45" s="611"/>
      <c r="C45" s="611"/>
      <c r="D45" s="612"/>
      <c r="E45" s="613"/>
    </row>
    <row r="46" spans="1:5" ht="16.5" customHeight="1" x14ac:dyDescent="0.3">
      <c r="A46" s="610">
        <v>2</v>
      </c>
      <c r="B46" s="611"/>
      <c r="C46" s="611"/>
      <c r="D46" s="612"/>
      <c r="E46" s="612"/>
    </row>
    <row r="47" spans="1:5" ht="16.5" customHeight="1" x14ac:dyDescent="0.3">
      <c r="A47" s="610">
        <v>3</v>
      </c>
      <c r="B47" s="611"/>
      <c r="C47" s="611"/>
      <c r="D47" s="612"/>
      <c r="E47" s="612"/>
    </row>
    <row r="48" spans="1:5" ht="16.5" customHeight="1" x14ac:dyDescent="0.3">
      <c r="A48" s="610">
        <v>4</v>
      </c>
      <c r="B48" s="611"/>
      <c r="C48" s="611"/>
      <c r="D48" s="612"/>
      <c r="E48" s="612"/>
    </row>
    <row r="49" spans="1:7" ht="16.5" customHeight="1" x14ac:dyDescent="0.3">
      <c r="A49" s="610">
        <v>5</v>
      </c>
      <c r="B49" s="611"/>
      <c r="C49" s="611"/>
      <c r="D49" s="612"/>
      <c r="E49" s="612"/>
    </row>
    <row r="50" spans="1:7" ht="16.5" customHeight="1" x14ac:dyDescent="0.3">
      <c r="A50" s="610">
        <v>6</v>
      </c>
      <c r="B50" s="614"/>
      <c r="C50" s="614"/>
      <c r="D50" s="615"/>
      <c r="E50" s="615"/>
    </row>
    <row r="51" spans="1:7" ht="16.5" customHeight="1" x14ac:dyDescent="0.3">
      <c r="A51" s="616" t="s">
        <v>18</v>
      </c>
      <c r="B51" s="617" t="e">
        <f>AVERAGE(B45:B50)</f>
        <v>#DIV/0!</v>
      </c>
      <c r="C51" s="618" t="e">
        <f>AVERAGE(C45:C50)</f>
        <v>#DIV/0!</v>
      </c>
      <c r="D51" s="619" t="e">
        <f>AVERAGE(D45:D50)</f>
        <v>#DIV/0!</v>
      </c>
      <c r="E51" s="619" t="e">
        <f>AVERAGE(E45:E50)</f>
        <v>#DIV/0!</v>
      </c>
    </row>
    <row r="52" spans="1:7" ht="16.5" customHeight="1" x14ac:dyDescent="0.3">
      <c r="A52" s="620" t="s">
        <v>19</v>
      </c>
      <c r="B52" s="621" t="e">
        <f>(STDEV(B45:B50)/B51)</f>
        <v>#DIV/0!</v>
      </c>
      <c r="C52" s="622"/>
      <c r="D52" s="622"/>
      <c r="E52" s="623"/>
    </row>
    <row r="53" spans="1:7" s="598" customFormat="1" ht="16.5" customHeight="1" x14ac:dyDescent="0.3">
      <c r="A53" s="624" t="s">
        <v>20</v>
      </c>
      <c r="B53" s="625">
        <f>COUNT(B45:B50)</f>
        <v>0</v>
      </c>
      <c r="C53" s="626"/>
      <c r="D53" s="627"/>
      <c r="E53" s="628"/>
    </row>
    <row r="54" spans="1:7" s="598" customFormat="1" ht="15.75" customHeight="1" x14ac:dyDescent="0.25">
      <c r="A54" s="604"/>
      <c r="B54" s="604"/>
      <c r="C54" s="604"/>
      <c r="D54" s="604"/>
      <c r="E54" s="604"/>
    </row>
    <row r="55" spans="1:7" s="598" customFormat="1" ht="16.5" customHeight="1" x14ac:dyDescent="0.3">
      <c r="A55" s="605" t="s">
        <v>21</v>
      </c>
      <c r="B55" s="629" t="s">
        <v>22</v>
      </c>
      <c r="C55" s="630"/>
      <c r="D55" s="630"/>
      <c r="E55" s="630"/>
    </row>
    <row r="56" spans="1:7" ht="16.5" customHeight="1" x14ac:dyDescent="0.3">
      <c r="A56" s="605"/>
      <c r="B56" s="629" t="s">
        <v>23</v>
      </c>
      <c r="C56" s="630"/>
      <c r="D56" s="630"/>
      <c r="E56" s="630"/>
    </row>
    <row r="57" spans="1:7" ht="16.5" customHeight="1" x14ac:dyDescent="0.3">
      <c r="A57" s="605"/>
      <c r="B57" s="629" t="s">
        <v>24</v>
      </c>
      <c r="C57" s="630"/>
      <c r="D57" s="630"/>
      <c r="E57" s="630"/>
    </row>
    <row r="58" spans="1:7" ht="14.25" customHeight="1" thickBot="1" x14ac:dyDescent="0.3">
      <c r="A58" s="631"/>
      <c r="B58" s="632"/>
      <c r="D58" s="633"/>
      <c r="F58" s="634"/>
      <c r="G58" s="634"/>
    </row>
    <row r="59" spans="1:7" ht="15" customHeight="1" x14ac:dyDescent="0.3">
      <c r="B59" s="844" t="s">
        <v>26</v>
      </c>
      <c r="C59" s="844"/>
      <c r="E59" s="635" t="s">
        <v>27</v>
      </c>
      <c r="F59" s="636"/>
      <c r="G59" s="635" t="s">
        <v>28</v>
      </c>
    </row>
    <row r="60" spans="1:7" ht="15" customHeight="1" x14ac:dyDescent="0.3">
      <c r="A60" s="637" t="s">
        <v>29</v>
      </c>
      <c r="B60" s="638"/>
      <c r="C60" s="638"/>
      <c r="E60" s="638"/>
      <c r="G60" s="638"/>
    </row>
    <row r="61" spans="1:7" ht="15" customHeight="1" x14ac:dyDescent="0.3">
      <c r="A61" s="637" t="s">
        <v>30</v>
      </c>
      <c r="B61" s="639"/>
      <c r="C61" s="639"/>
      <c r="E61" s="639"/>
      <c r="G61" s="64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F38" sqref="F38"/>
    </sheetView>
  </sheetViews>
  <sheetFormatPr defaultRowHeight="15" x14ac:dyDescent="0.3"/>
  <cols>
    <col min="1" max="1" width="15.5703125" style="597" customWidth="1"/>
    <col min="2" max="2" width="18.42578125" style="597" customWidth="1"/>
    <col min="3" max="3" width="14.28515625" style="597" customWidth="1"/>
    <col min="4" max="4" width="15" style="597" customWidth="1"/>
    <col min="5" max="5" width="9.140625" style="597" customWidth="1"/>
    <col min="6" max="6" width="27.85546875" style="597" customWidth="1"/>
    <col min="7" max="7" width="12.28515625" style="597" customWidth="1"/>
    <col min="8" max="8" width="9.140625" style="597" customWidth="1"/>
    <col min="9" max="16384" width="9.140625" style="634"/>
  </cols>
  <sheetData>
    <row r="10" spans="1:7" ht="13.5" customHeight="1" thickBot="1" x14ac:dyDescent="0.35"/>
    <row r="11" spans="1:7" ht="13.5" customHeight="1" thickBot="1" x14ac:dyDescent="0.35">
      <c r="A11" s="897" t="s">
        <v>31</v>
      </c>
      <c r="B11" s="898"/>
      <c r="C11" s="898"/>
      <c r="D11" s="898"/>
      <c r="E11" s="898"/>
      <c r="F11" s="899"/>
      <c r="G11" s="642"/>
    </row>
    <row r="12" spans="1:7" ht="16.5" customHeight="1" x14ac:dyDescent="0.3">
      <c r="A12" s="893" t="s">
        <v>32</v>
      </c>
      <c r="B12" s="893"/>
      <c r="C12" s="893"/>
      <c r="D12" s="893"/>
      <c r="E12" s="893"/>
      <c r="F12" s="893"/>
      <c r="G12" s="600"/>
    </row>
    <row r="14" spans="1:7" ht="16.5" customHeight="1" x14ac:dyDescent="0.3">
      <c r="A14" s="892" t="s">
        <v>33</v>
      </c>
      <c r="B14" s="892"/>
      <c r="C14" s="604" t="s">
        <v>5</v>
      </c>
    </row>
    <row r="15" spans="1:7" ht="16.5" customHeight="1" x14ac:dyDescent="0.3">
      <c r="A15" s="892" t="s">
        <v>34</v>
      </c>
      <c r="B15" s="892"/>
      <c r="C15" s="604" t="s">
        <v>133</v>
      </c>
    </row>
    <row r="16" spans="1:7" ht="16.5" customHeight="1" x14ac:dyDescent="0.3">
      <c r="A16" s="892" t="s">
        <v>35</v>
      </c>
      <c r="B16" s="892"/>
      <c r="C16" s="604" t="s">
        <v>9</v>
      </c>
    </row>
    <row r="17" spans="1:5" ht="16.5" customHeight="1" x14ac:dyDescent="0.3">
      <c r="A17" s="892" t="s">
        <v>36</v>
      </c>
      <c r="B17" s="892"/>
      <c r="C17" s="604" t="s">
        <v>11</v>
      </c>
    </row>
    <row r="18" spans="1:5" ht="16.5" customHeight="1" x14ac:dyDescent="0.3">
      <c r="A18" s="892" t="s">
        <v>37</v>
      </c>
      <c r="B18" s="892"/>
      <c r="C18" s="643" t="s">
        <v>12</v>
      </c>
    </row>
    <row r="19" spans="1:5" ht="16.5" customHeight="1" x14ac:dyDescent="0.3">
      <c r="A19" s="892" t="s">
        <v>38</v>
      </c>
      <c r="B19" s="892"/>
      <c r="C19" s="643" t="e">
        <f>#REF!</f>
        <v>#REF!</v>
      </c>
    </row>
    <row r="20" spans="1:5" ht="16.5" customHeight="1" x14ac:dyDescent="0.3">
      <c r="A20" s="644"/>
      <c r="B20" s="644"/>
      <c r="C20" s="645"/>
    </row>
    <row r="21" spans="1:5" ht="16.5" customHeight="1" x14ac:dyDescent="0.3">
      <c r="A21" s="893" t="s">
        <v>1</v>
      </c>
      <c r="B21" s="893"/>
      <c r="C21" s="601" t="s">
        <v>39</v>
      </c>
      <c r="D21" s="646"/>
    </row>
    <row r="22" spans="1:5" ht="15.75" customHeight="1" thickBot="1" x14ac:dyDescent="0.35">
      <c r="A22" s="894"/>
      <c r="B22" s="894"/>
      <c r="C22" s="647"/>
      <c r="D22" s="894"/>
      <c r="E22" s="894"/>
    </row>
    <row r="23" spans="1:5" ht="33.75" customHeight="1" thickBot="1" x14ac:dyDescent="0.35">
      <c r="C23" s="648" t="s">
        <v>40</v>
      </c>
      <c r="D23" s="649" t="s">
        <v>41</v>
      </c>
      <c r="E23" s="632"/>
    </row>
    <row r="24" spans="1:5" ht="15.75" customHeight="1" x14ac:dyDescent="0.3">
      <c r="C24" s="650">
        <v>1151.79</v>
      </c>
      <c r="D24" s="651">
        <f t="shared" ref="D24:D43" si="0">(C24-$C$46)/$C$46</f>
        <v>1.4603886588534249E-2</v>
      </c>
      <c r="E24" s="652"/>
    </row>
    <row r="25" spans="1:5" ht="15.75" customHeight="1" x14ac:dyDescent="0.3">
      <c r="C25" s="650">
        <v>1133.69</v>
      </c>
      <c r="D25" s="653">
        <f t="shared" si="0"/>
        <v>-1.3402788819528871E-3</v>
      </c>
      <c r="E25" s="652"/>
    </row>
    <row r="26" spans="1:5" ht="15.75" customHeight="1" x14ac:dyDescent="0.3">
      <c r="C26" s="650">
        <v>1147.6199999999999</v>
      </c>
      <c r="D26" s="653">
        <f t="shared" si="0"/>
        <v>1.093056227848271E-2</v>
      </c>
      <c r="E26" s="652"/>
    </row>
    <row r="27" spans="1:5" ht="15.75" customHeight="1" x14ac:dyDescent="0.3">
      <c r="C27" s="650">
        <v>1134.06</v>
      </c>
      <c r="D27" s="653">
        <f t="shared" si="0"/>
        <v>-1.0143484275839075E-3</v>
      </c>
      <c r="E27" s="652"/>
    </row>
    <row r="28" spans="1:5" ht="15.75" customHeight="1" x14ac:dyDescent="0.3">
      <c r="C28" s="650">
        <v>1150</v>
      </c>
      <c r="D28" s="653">
        <f t="shared" si="0"/>
        <v>1.3027087903883888E-2</v>
      </c>
      <c r="E28" s="652"/>
    </row>
    <row r="29" spans="1:5" ht="15.75" customHeight="1" x14ac:dyDescent="0.3">
      <c r="C29" s="650">
        <v>1115.3499999999999</v>
      </c>
      <c r="D29" s="653">
        <f t="shared" si="0"/>
        <v>-1.7495858701220172E-2</v>
      </c>
      <c r="E29" s="652"/>
    </row>
    <row r="30" spans="1:5" ht="15.75" customHeight="1" x14ac:dyDescent="0.3">
      <c r="C30" s="650">
        <v>1128.83</v>
      </c>
      <c r="D30" s="653">
        <f t="shared" si="0"/>
        <v>-5.6214194447468044E-3</v>
      </c>
      <c r="E30" s="652"/>
    </row>
    <row r="31" spans="1:5" ht="15.75" customHeight="1" x14ac:dyDescent="0.3">
      <c r="C31" s="650">
        <v>1123.78</v>
      </c>
      <c r="D31" s="653">
        <f t="shared" si="0"/>
        <v>-1.0069929700324689E-2</v>
      </c>
      <c r="E31" s="652"/>
    </row>
    <row r="32" spans="1:5" ht="15.75" customHeight="1" x14ac:dyDescent="0.3">
      <c r="C32" s="650">
        <v>1138.78</v>
      </c>
      <c r="D32" s="653">
        <f t="shared" si="0"/>
        <v>3.1434670984216225E-3</v>
      </c>
      <c r="E32" s="652"/>
    </row>
    <row r="33" spans="1:7" ht="15.75" customHeight="1" x14ac:dyDescent="0.3">
      <c r="C33" s="650">
        <v>1132.6099999999999</v>
      </c>
      <c r="D33" s="653">
        <f t="shared" si="0"/>
        <v>-2.2916434514627577E-3</v>
      </c>
      <c r="E33" s="652"/>
    </row>
    <row r="34" spans="1:7" ht="15.75" customHeight="1" x14ac:dyDescent="0.3">
      <c r="C34" s="650">
        <v>1149.43</v>
      </c>
      <c r="D34" s="653">
        <f t="shared" si="0"/>
        <v>1.2524978825531583E-2</v>
      </c>
      <c r="E34" s="652"/>
    </row>
    <row r="35" spans="1:7" ht="15.75" customHeight="1" x14ac:dyDescent="0.3">
      <c r="C35" s="650">
        <v>1140.8599999999999</v>
      </c>
      <c r="D35" s="653">
        <f t="shared" si="0"/>
        <v>4.9757247878477132E-3</v>
      </c>
      <c r="E35" s="652"/>
    </row>
    <row r="36" spans="1:7" ht="15.75" customHeight="1" x14ac:dyDescent="0.3">
      <c r="C36" s="650">
        <v>1129.9000000000001</v>
      </c>
      <c r="D36" s="653">
        <f t="shared" si="0"/>
        <v>-4.6788638064360899E-3</v>
      </c>
      <c r="E36" s="652"/>
    </row>
    <row r="37" spans="1:7" ht="15.75" customHeight="1" x14ac:dyDescent="0.3">
      <c r="C37" s="650">
        <v>1149.68</v>
      </c>
      <c r="D37" s="653">
        <f t="shared" si="0"/>
        <v>1.2745202105510689E-2</v>
      </c>
      <c r="E37" s="652"/>
    </row>
    <row r="38" spans="1:7" ht="15.75" customHeight="1" x14ac:dyDescent="0.3">
      <c r="C38" s="650">
        <v>1126.75</v>
      </c>
      <c r="D38" s="653">
        <f t="shared" si="0"/>
        <v>-7.4536771341728956E-3</v>
      </c>
      <c r="E38" s="652"/>
    </row>
    <row r="39" spans="1:7" ht="15.75" customHeight="1" x14ac:dyDescent="0.3">
      <c r="C39" s="650">
        <v>1133.18</v>
      </c>
      <c r="D39" s="653">
        <f t="shared" si="0"/>
        <v>-1.7895343731102536E-3</v>
      </c>
      <c r="E39" s="652"/>
    </row>
    <row r="40" spans="1:7" ht="15.75" customHeight="1" x14ac:dyDescent="0.3">
      <c r="C40" s="650">
        <v>1137.75</v>
      </c>
      <c r="D40" s="653">
        <f t="shared" si="0"/>
        <v>2.2361471849077332E-3</v>
      </c>
      <c r="E40" s="652"/>
    </row>
    <row r="41" spans="1:7" ht="15.75" customHeight="1" x14ac:dyDescent="0.3">
      <c r="C41" s="650">
        <v>1122.3</v>
      </c>
      <c r="D41" s="653">
        <f t="shared" si="0"/>
        <v>-1.1373651517801007E-2</v>
      </c>
      <c r="E41" s="652"/>
    </row>
    <row r="42" spans="1:7" ht="15.75" customHeight="1" x14ac:dyDescent="0.3">
      <c r="C42" s="650">
        <v>1124</v>
      </c>
      <c r="D42" s="653">
        <f t="shared" si="0"/>
        <v>-9.876133213943053E-3</v>
      </c>
      <c r="E42" s="652"/>
    </row>
    <row r="43" spans="1:7" ht="16.5" customHeight="1" thickBot="1" x14ac:dyDescent="0.35">
      <c r="C43" s="654">
        <v>1133.8699999999999</v>
      </c>
      <c r="D43" s="655">
        <f t="shared" si="0"/>
        <v>-1.1817181203680755E-3</v>
      </c>
      <c r="E43" s="652"/>
    </row>
    <row r="44" spans="1:7" ht="16.5" customHeight="1" thickBot="1" x14ac:dyDescent="0.35">
      <c r="C44" s="656"/>
      <c r="D44" s="652"/>
      <c r="E44" s="657"/>
    </row>
    <row r="45" spans="1:7" ht="16.5" customHeight="1" thickBot="1" x14ac:dyDescent="0.35">
      <c r="B45" s="658" t="s">
        <v>42</v>
      </c>
      <c r="C45" s="659">
        <f>SUM(C24:C44)</f>
        <v>22704.230000000003</v>
      </c>
      <c r="D45" s="660"/>
      <c r="E45" s="656"/>
    </row>
    <row r="46" spans="1:7" ht="17.25" customHeight="1" thickBot="1" x14ac:dyDescent="0.35">
      <c r="B46" s="658" t="s">
        <v>43</v>
      </c>
      <c r="C46" s="661">
        <f>AVERAGE(C24:C44)</f>
        <v>1135.2115000000001</v>
      </c>
      <c r="E46" s="662"/>
    </row>
    <row r="47" spans="1:7" ht="17.25" customHeight="1" thickBot="1" x14ac:dyDescent="0.35">
      <c r="A47" s="604"/>
      <c r="B47" s="663"/>
      <c r="D47" s="664"/>
      <c r="E47" s="662"/>
    </row>
    <row r="48" spans="1:7" ht="33.75" customHeight="1" thickBot="1" x14ac:dyDescent="0.35">
      <c r="B48" s="665" t="s">
        <v>43</v>
      </c>
      <c r="C48" s="649" t="s">
        <v>44</v>
      </c>
      <c r="D48" s="666"/>
      <c r="G48" s="664"/>
    </row>
    <row r="49" spans="1:6" ht="17.25" customHeight="1" thickBot="1" x14ac:dyDescent="0.35">
      <c r="B49" s="895">
        <f>C46</f>
        <v>1135.2115000000001</v>
      </c>
      <c r="C49" s="667">
        <f>-IF(C46&lt;=80,10%,IF(C46&lt;250,7.5%,5%))</f>
        <v>-0.05</v>
      </c>
      <c r="D49" s="668">
        <f>IF(C46&lt;=80,C46*0.9,IF(C46&lt;250,C46*0.925,C46*0.95))</f>
        <v>1078.4509250000001</v>
      </c>
    </row>
    <row r="50" spans="1:6" ht="17.25" customHeight="1" thickBot="1" x14ac:dyDescent="0.35">
      <c r="B50" s="896"/>
      <c r="C50" s="669">
        <f>IF(C46&lt;=80, 10%, IF(C46&lt;250, 7.5%, 5%))</f>
        <v>0.05</v>
      </c>
      <c r="D50" s="668">
        <f>IF(C46&lt;=80, C46*1.1, IF(C46&lt;250, C46*1.075, C46*1.05))</f>
        <v>1191.9720750000001</v>
      </c>
    </row>
    <row r="51" spans="1:6" ht="16.5" customHeight="1" thickBot="1" x14ac:dyDescent="0.35">
      <c r="A51" s="670"/>
      <c r="B51" s="671"/>
      <c r="C51" s="604"/>
      <c r="D51" s="672"/>
      <c r="E51" s="604"/>
      <c r="F51" s="646"/>
    </row>
    <row r="52" spans="1:6" ht="16.5" customHeight="1" x14ac:dyDescent="0.3">
      <c r="A52" s="604"/>
      <c r="B52" s="673" t="s">
        <v>26</v>
      </c>
      <c r="C52" s="673"/>
      <c r="D52" s="674" t="s">
        <v>27</v>
      </c>
      <c r="E52" s="675"/>
      <c r="F52" s="674" t="s">
        <v>28</v>
      </c>
    </row>
    <row r="53" spans="1:6" ht="34.5" customHeight="1" x14ac:dyDescent="0.3">
      <c r="A53" s="644" t="s">
        <v>29</v>
      </c>
      <c r="B53" s="627"/>
      <c r="C53" s="604"/>
      <c r="D53" s="627"/>
      <c r="E53" s="604"/>
      <c r="F53" s="627"/>
    </row>
    <row r="54" spans="1:6" ht="34.5" customHeight="1" x14ac:dyDescent="0.3">
      <c r="A54" s="644" t="s">
        <v>30</v>
      </c>
      <c r="B54" s="676"/>
      <c r="C54" s="605"/>
      <c r="D54" s="676"/>
      <c r="E54" s="604"/>
      <c r="F54" s="677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SST(LAM)</vt:lpstr>
      <vt:lpstr>SST(ZID) </vt:lpstr>
      <vt:lpstr>SST(NEV)</vt:lpstr>
      <vt:lpstr>Uniformity</vt:lpstr>
      <vt:lpstr>lamivudine</vt:lpstr>
      <vt:lpstr>Nevirapine</vt:lpstr>
      <vt:lpstr>zidovudine</vt:lpstr>
      <vt:lpstr>SST 2</vt:lpstr>
      <vt:lpstr>Uniformity 2</vt:lpstr>
      <vt:lpstr>Lamivudine 2</vt:lpstr>
      <vt:lpstr>lamivudine!Print_Area</vt:lpstr>
      <vt:lpstr>'Lamivudine 2'!Print_Area</vt:lpstr>
      <vt:lpstr>'SST 2'!Print_Area</vt:lpstr>
      <vt:lpstr>'SST(NEV)'!Print_Area</vt:lpstr>
      <vt:lpstr>'SST(ZID) '!Print_Area</vt:lpstr>
      <vt:lpstr>Uniformity!Print_Area</vt:lpstr>
      <vt:lpstr>'Uniformity 2'!Print_Area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Microsoft</cp:lastModifiedBy>
  <cp:lastPrinted>2017-05-19T12:07:26Z</cp:lastPrinted>
  <dcterms:created xsi:type="dcterms:W3CDTF">2005-07-05T10:19:27Z</dcterms:created>
  <dcterms:modified xsi:type="dcterms:W3CDTF">2017-05-22T08:36:07Z</dcterms:modified>
  <cp:category/>
</cp:coreProperties>
</file>