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6"/>
  </bookViews>
  <sheets>
    <sheet name="SST(ZID)" sheetId="6" r:id="rId1"/>
    <sheet name="SST(NEV)" sheetId="7" r:id="rId2"/>
    <sheet name="SST(LAM)" sheetId="8" r:id="rId3"/>
    <sheet name="Uniformity" sheetId="2" r:id="rId4"/>
    <sheet name="lamivudine (2)" sheetId="9" r:id="rId5"/>
    <sheet name="Nevirapine (2)" sheetId="10" r:id="rId6"/>
    <sheet name="zidovudine (2)" sheetId="11" r:id="rId7"/>
  </sheets>
  <definedNames>
    <definedName name="_xlnm.Print_Area" localSheetId="4">'lamivudine (2)'!$A$1:$H$124</definedName>
    <definedName name="_xlnm.Print_Area" localSheetId="3">Uniformity!$A$1:$H$54</definedName>
  </definedNames>
  <calcPr calcId="145621"/>
</workbook>
</file>

<file path=xl/calcChain.xml><?xml version="1.0" encoding="utf-8"?>
<calcChain xmlns="http://schemas.openxmlformats.org/spreadsheetml/2006/main">
  <c r="B41" i="8" l="1"/>
  <c r="B42" i="8" s="1"/>
  <c r="B40" i="8"/>
  <c r="B21" i="8"/>
  <c r="B19" i="8"/>
  <c r="B41" i="7"/>
  <c r="B40" i="7"/>
  <c r="B21" i="7"/>
  <c r="B42" i="6"/>
  <c r="B21" i="6"/>
  <c r="C120" i="11" l="1"/>
  <c r="B116" i="11"/>
  <c r="D100" i="11"/>
  <c r="D101" i="11" s="1"/>
  <c r="B98" i="11"/>
  <c r="D97" i="11"/>
  <c r="F95" i="11"/>
  <c r="D95" i="11"/>
  <c r="G94" i="11"/>
  <c r="E94" i="11"/>
  <c r="B87" i="11"/>
  <c r="F97" i="11" s="1"/>
  <c r="F98" i="11" s="1"/>
  <c r="F99" i="11" s="1"/>
  <c r="B81" i="11"/>
  <c r="B83" i="11" s="1"/>
  <c r="B80" i="11"/>
  <c r="B79" i="11"/>
  <c r="C76" i="11"/>
  <c r="H71" i="11"/>
  <c r="G71" i="11"/>
  <c r="G69" i="11"/>
  <c r="H69" i="11" s="1"/>
  <c r="B68" i="11"/>
  <c r="H67" i="11"/>
  <c r="G67" i="11"/>
  <c r="H63" i="11"/>
  <c r="G63" i="11"/>
  <c r="B57" i="11"/>
  <c r="B69" i="11" s="1"/>
  <c r="C56" i="11"/>
  <c r="B55" i="11"/>
  <c r="B45" i="11"/>
  <c r="D48" i="11" s="1"/>
  <c r="F42" i="11"/>
  <c r="I39" i="11" s="1"/>
  <c r="D42" i="11"/>
  <c r="G41" i="11"/>
  <c r="E41" i="11"/>
  <c r="B34" i="11"/>
  <c r="D44" i="11" s="1"/>
  <c r="D45" i="11" s="1"/>
  <c r="D46" i="11" s="1"/>
  <c r="B30" i="11"/>
  <c r="C120" i="10"/>
  <c r="B116" i="10"/>
  <c r="D100" i="10"/>
  <c r="D101" i="10" s="1"/>
  <c r="B98" i="10"/>
  <c r="D97" i="10"/>
  <c r="F95" i="10"/>
  <c r="D95" i="10"/>
  <c r="G94" i="10"/>
  <c r="E94" i="10"/>
  <c r="B87" i="10"/>
  <c r="F97" i="10" s="1"/>
  <c r="B81" i="10"/>
  <c r="B83" i="10" s="1"/>
  <c r="B80" i="10"/>
  <c r="B79" i="10"/>
  <c r="C76" i="10"/>
  <c r="H71" i="10"/>
  <c r="G71" i="10"/>
  <c r="B68" i="10"/>
  <c r="H67" i="10"/>
  <c r="G67" i="10"/>
  <c r="H63" i="10"/>
  <c r="G63" i="10"/>
  <c r="B57" i="10"/>
  <c r="B69" i="10" s="1"/>
  <c r="C56" i="10"/>
  <c r="B55" i="10"/>
  <c r="B45" i="10"/>
  <c r="D48" i="10" s="1"/>
  <c r="F42" i="10"/>
  <c r="I39" i="10" s="1"/>
  <c r="D42" i="10"/>
  <c r="G41" i="10"/>
  <c r="E41" i="10"/>
  <c r="B34" i="10"/>
  <c r="B30" i="10"/>
  <c r="C120" i="9"/>
  <c r="B116" i="9"/>
  <c r="D100" i="9"/>
  <c r="D101" i="9" s="1"/>
  <c r="B98" i="9"/>
  <c r="D97" i="9"/>
  <c r="F95" i="9"/>
  <c r="D95" i="9"/>
  <c r="G94" i="9"/>
  <c r="E94" i="9"/>
  <c r="B87" i="9"/>
  <c r="F97" i="9" s="1"/>
  <c r="B81" i="9"/>
  <c r="B83" i="9" s="1"/>
  <c r="B80" i="9"/>
  <c r="B79" i="9"/>
  <c r="C76" i="9"/>
  <c r="H71" i="9"/>
  <c r="G71" i="9"/>
  <c r="B68" i="9"/>
  <c r="H67" i="9"/>
  <c r="G67" i="9"/>
  <c r="H63" i="9"/>
  <c r="G63" i="9"/>
  <c r="B57" i="9"/>
  <c r="B69" i="9" s="1"/>
  <c r="C56" i="9"/>
  <c r="B55" i="9"/>
  <c r="B45" i="9"/>
  <c r="D48" i="9" s="1"/>
  <c r="F42" i="9"/>
  <c r="I39" i="9" s="1"/>
  <c r="D42" i="9"/>
  <c r="G41" i="9"/>
  <c r="E41" i="9"/>
  <c r="B34" i="9"/>
  <c r="B30" i="9"/>
  <c r="I92" i="9" l="1"/>
  <c r="D98" i="10"/>
  <c r="D99" i="10" s="1"/>
  <c r="D98" i="11"/>
  <c r="D99" i="11" s="1"/>
  <c r="F98" i="9"/>
  <c r="F99" i="9" s="1"/>
  <c r="D98" i="9"/>
  <c r="D99" i="9" s="1"/>
  <c r="I92" i="11"/>
  <c r="I92" i="10"/>
  <c r="D44" i="10"/>
  <c r="D45" i="10" s="1"/>
  <c r="D46" i="10" s="1"/>
  <c r="F44" i="10"/>
  <c r="F45" i="10" s="1"/>
  <c r="G40" i="10" s="1"/>
  <c r="D49" i="11"/>
  <c r="E40" i="11"/>
  <c r="E38" i="11"/>
  <c r="E39" i="11"/>
  <c r="D49" i="9"/>
  <c r="D102" i="11"/>
  <c r="G93" i="11"/>
  <c r="E92" i="11"/>
  <c r="E93" i="11"/>
  <c r="G91" i="11"/>
  <c r="E91" i="11"/>
  <c r="G92" i="11"/>
  <c r="D49" i="10"/>
  <c r="E40" i="10"/>
  <c r="E38" i="10"/>
  <c r="E39" i="10"/>
  <c r="D44" i="9"/>
  <c r="D45" i="9" s="1"/>
  <c r="D46" i="9" s="1"/>
  <c r="F44" i="9"/>
  <c r="F45" i="9" s="1"/>
  <c r="F46" i="9" s="1"/>
  <c r="D102" i="9"/>
  <c r="F98" i="10"/>
  <c r="F99" i="10" s="1"/>
  <c r="D102" i="10"/>
  <c r="E92" i="10"/>
  <c r="E93" i="10"/>
  <c r="G91" i="10"/>
  <c r="F44" i="11"/>
  <c r="F45" i="11" s="1"/>
  <c r="F46" i="11" s="1"/>
  <c r="B53" i="8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G92" i="9" l="1"/>
  <c r="G95" i="9" s="1"/>
  <c r="G91" i="9"/>
  <c r="G93" i="9"/>
  <c r="G92" i="10"/>
  <c r="E91" i="10"/>
  <c r="E95" i="10" s="1"/>
  <c r="E93" i="9"/>
  <c r="E91" i="9"/>
  <c r="E92" i="9"/>
  <c r="E42" i="10"/>
  <c r="E42" i="11"/>
  <c r="G95" i="11"/>
  <c r="G38" i="9"/>
  <c r="G40" i="11"/>
  <c r="G93" i="10"/>
  <c r="E39" i="9"/>
  <c r="E40" i="9"/>
  <c r="G39" i="11"/>
  <c r="D50" i="11" s="1"/>
  <c r="G40" i="9"/>
  <c r="F46" i="10"/>
  <c r="G39" i="10"/>
  <c r="D52" i="10" s="1"/>
  <c r="G38" i="10"/>
  <c r="E95" i="11"/>
  <c r="D105" i="11"/>
  <c r="D103" i="11"/>
  <c r="E38" i="9"/>
  <c r="G38" i="11"/>
  <c r="G39" i="9"/>
  <c r="C49" i="2"/>
  <c r="C46" i="2"/>
  <c r="C50" i="2" s="1"/>
  <c r="C45" i="2"/>
  <c r="D41" i="2"/>
  <c r="D40" i="2"/>
  <c r="D36" i="2"/>
  <c r="D35" i="2"/>
  <c r="D32" i="2"/>
  <c r="D31" i="2"/>
  <c r="D28" i="2"/>
  <c r="D27" i="2"/>
  <c r="D24" i="2"/>
  <c r="C19" i="2"/>
  <c r="D103" i="9" l="1"/>
  <c r="E110" i="9" s="1"/>
  <c r="F110" i="9" s="1"/>
  <c r="E95" i="9"/>
  <c r="D103" i="10"/>
  <c r="E108" i="10" s="1"/>
  <c r="D105" i="9"/>
  <c r="G68" i="11"/>
  <c r="H68" i="11" s="1"/>
  <c r="G66" i="11"/>
  <c r="H66" i="11" s="1"/>
  <c r="G64" i="11"/>
  <c r="H64" i="11" s="1"/>
  <c r="G62" i="11"/>
  <c r="H62" i="11" s="1"/>
  <c r="G60" i="11"/>
  <c r="D51" i="11"/>
  <c r="G70" i="11"/>
  <c r="H70" i="11" s="1"/>
  <c r="G65" i="11"/>
  <c r="H65" i="11" s="1"/>
  <c r="G61" i="11"/>
  <c r="H61" i="11" s="1"/>
  <c r="E112" i="11"/>
  <c r="F112" i="11" s="1"/>
  <c r="E110" i="11"/>
  <c r="F110" i="11" s="1"/>
  <c r="E108" i="11"/>
  <c r="E113" i="11"/>
  <c r="F113" i="11" s="1"/>
  <c r="E111" i="11"/>
  <c r="F111" i="11" s="1"/>
  <c r="E109" i="11"/>
  <c r="F109" i="11" s="1"/>
  <c r="D104" i="11"/>
  <c r="D50" i="10"/>
  <c r="G42" i="11"/>
  <c r="D105" i="10"/>
  <c r="G42" i="9"/>
  <c r="D52" i="11"/>
  <c r="D50" i="9"/>
  <c r="E42" i="9"/>
  <c r="D52" i="9"/>
  <c r="G42" i="10"/>
  <c r="G95" i="10"/>
  <c r="D25" i="2"/>
  <c r="D29" i="2"/>
  <c r="D33" i="2"/>
  <c r="D37" i="2"/>
  <c r="D43" i="2"/>
  <c r="D26" i="2"/>
  <c r="D30" i="2"/>
  <c r="D34" i="2"/>
  <c r="D39" i="2"/>
  <c r="D50" i="2"/>
  <c r="B49" i="2"/>
  <c r="D42" i="2"/>
  <c r="D38" i="2"/>
  <c r="D49" i="2"/>
  <c r="E109" i="9" l="1"/>
  <c r="F109" i="9" s="1"/>
  <c r="E112" i="9"/>
  <c r="F112" i="9" s="1"/>
  <c r="E113" i="9"/>
  <c r="F113" i="9" s="1"/>
  <c r="E111" i="9"/>
  <c r="F111" i="9" s="1"/>
  <c r="E108" i="9"/>
  <c r="D104" i="9"/>
  <c r="D104" i="10"/>
  <c r="E109" i="10"/>
  <c r="F109" i="10" s="1"/>
  <c r="E110" i="10"/>
  <c r="F110" i="10" s="1"/>
  <c r="E111" i="10"/>
  <c r="F111" i="10" s="1"/>
  <c r="E112" i="10"/>
  <c r="F112" i="10" s="1"/>
  <c r="E113" i="10"/>
  <c r="F113" i="10" s="1"/>
  <c r="F108" i="9"/>
  <c r="G68" i="9"/>
  <c r="H68" i="9" s="1"/>
  <c r="G64" i="9"/>
  <c r="H64" i="9" s="1"/>
  <c r="G60" i="9"/>
  <c r="G70" i="9"/>
  <c r="H70" i="9" s="1"/>
  <c r="G65" i="9"/>
  <c r="H65" i="9" s="1"/>
  <c r="G61" i="9"/>
  <c r="H61" i="9" s="1"/>
  <c r="G69" i="9"/>
  <c r="H69" i="9" s="1"/>
  <c r="G66" i="9"/>
  <c r="H66" i="9" s="1"/>
  <c r="G62" i="9"/>
  <c r="H62" i="9" s="1"/>
  <c r="D51" i="9"/>
  <c r="F108" i="10"/>
  <c r="G68" i="10"/>
  <c r="H68" i="10" s="1"/>
  <c r="G69" i="10"/>
  <c r="H69" i="10" s="1"/>
  <c r="G66" i="10"/>
  <c r="H66" i="10" s="1"/>
  <c r="G64" i="10"/>
  <c r="H64" i="10" s="1"/>
  <c r="G62" i="10"/>
  <c r="H62" i="10" s="1"/>
  <c r="G60" i="10"/>
  <c r="G70" i="10"/>
  <c r="H70" i="10" s="1"/>
  <c r="G65" i="10"/>
  <c r="H65" i="10" s="1"/>
  <c r="G61" i="10"/>
  <c r="H61" i="10" s="1"/>
  <c r="D51" i="10"/>
  <c r="E115" i="11"/>
  <c r="E116" i="11" s="1"/>
  <c r="E117" i="11"/>
  <c r="F108" i="11"/>
  <c r="H60" i="11"/>
  <c r="G74" i="11"/>
  <c r="G72" i="11"/>
  <c r="G73" i="11" s="1"/>
  <c r="E117" i="9" l="1"/>
  <c r="E115" i="9"/>
  <c r="E116" i="9" s="1"/>
  <c r="E115" i="10"/>
  <c r="E116" i="10" s="1"/>
  <c r="E117" i="10"/>
  <c r="F117" i="10"/>
  <c r="F115" i="10"/>
  <c r="F115" i="9"/>
  <c r="F117" i="9"/>
  <c r="H60" i="9"/>
  <c r="G74" i="9"/>
  <c r="G72" i="9"/>
  <c r="G73" i="9" s="1"/>
  <c r="H74" i="11"/>
  <c r="H72" i="11"/>
  <c r="H60" i="10"/>
  <c r="G74" i="10"/>
  <c r="G72" i="10"/>
  <c r="G73" i="10" s="1"/>
  <c r="F117" i="11"/>
  <c r="F115" i="11"/>
  <c r="G120" i="9" l="1"/>
  <c r="F116" i="9"/>
  <c r="G120" i="11"/>
  <c r="F116" i="11"/>
  <c r="H74" i="10"/>
  <c r="H72" i="10"/>
  <c r="G120" i="10"/>
  <c r="F116" i="10"/>
  <c r="G76" i="11"/>
  <c r="H73" i="11"/>
  <c r="H74" i="9"/>
  <c r="H72" i="9"/>
  <c r="G76" i="9" l="1"/>
  <c r="H73" i="9"/>
  <c r="G76" i="10"/>
  <c r="H73" i="10"/>
</calcChain>
</file>

<file path=xl/sharedStrings.xml><?xml version="1.0" encoding="utf-8"?>
<sst xmlns="http://schemas.openxmlformats.org/spreadsheetml/2006/main" count="644" uniqueCount="128">
  <si>
    <t>HPLC System Suitability Report</t>
  </si>
  <si>
    <t>Analysis Data</t>
  </si>
  <si>
    <t>Assay</t>
  </si>
  <si>
    <t>Sample(s)</t>
  </si>
  <si>
    <t>Reference Substance:</t>
  </si>
  <si>
    <t>LAMIVUDINE 150MG + ZIDOVUDINE 300MG + NEVIRAPINE 200MG TABLETS</t>
  </si>
  <si>
    <t>% age Purity:</t>
  </si>
  <si>
    <t>NDQD2016061049</t>
  </si>
  <si>
    <t>Weight (mg):</t>
  </si>
  <si>
    <t>Lamivudine     Nevirapine and Zidovudine</t>
  </si>
  <si>
    <t>Standard Conc (mg/mL):</t>
  </si>
  <si>
    <t xml:space="preserve">Lamivudine 150mg + Zidovudine 300mg + Nevirapine 200mg </t>
  </si>
  <si>
    <t>2016-06-10 15:11:22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</si>
  <si>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</si>
  <si>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</si>
  <si>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</si>
  <si>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</si>
  <si>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</si>
  <si>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</si>
  <si>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</si>
  <si>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</si>
  <si>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</si>
  <si>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</si>
  <si>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</si>
  <si>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</si>
  <si>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</si>
  <si>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</si>
  <si>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</si>
  <si>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</si>
  <si>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</si>
  <si>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</si>
  <si>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</si>
  <si>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</si>
  <si>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</si>
  <si>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</si>
  <si>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</si>
  <si>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</si>
  <si>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</si>
  <si>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</si>
  <si>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</si>
  <si>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</si>
  <si>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</si>
  <si>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</si>
  <si>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</si>
  <si>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</si>
  <si>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</si>
  <si>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</si>
  <si>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</si>
  <si>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</si>
  <si>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</si>
  <si>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</si>
  <si>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</si>
  <si>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</si>
  <si>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</si>
  <si>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</si>
  <si>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</si>
  <si>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</si>
  <si>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</si>
  <si>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</si>
  <si>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</si>
  <si>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</si>
  <si>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</si>
  <si>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</si>
  <si>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</si>
  <si>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</si>
  <si>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</si>
  <si>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</si>
  <si>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</si>
  <si>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</si>
  <si>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</si>
  <si>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</si>
  <si>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</si>
  <si>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</si>
  <si>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</si>
  <si>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</si>
  <si>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</si>
  <si>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</si>
  <si>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</si>
  <si>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</si>
  <si>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</si>
  <si>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</si>
  <si>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</si>
  <si>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</si>
  <si>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</si>
  <si>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</si>
  <si>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</si>
  <si>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</si>
  <si>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</si>
  <si>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</si>
  <si>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</si>
  <si>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</si>
  <si>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</si>
  <si>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</si>
  <si>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</si>
  <si>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</si>
  <si>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</si>
  <si>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</si>
  <si>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</si>
  <si>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</si>
  <si>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</si>
  <si>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</si>
  <si>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</si>
  <si>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</si>
  <si>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</si>
  <si>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</si>
  <si>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</si>
  <si>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</si>
  <si>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</si>
  <si>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</si>
  <si>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</si>
  <si>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</si>
  <si>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</si>
  <si>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</si>
  <si>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</si>
  <si>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</si>
  <si>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</si>
  <si>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</si>
  <si>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</si>
  <si>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</si>
  <si>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</si>
  <si>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</si>
  <si>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</si>
  <si>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</si>
  <si>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NEVIRAPINE</t>
  </si>
  <si>
    <t>ZIDOVUDINE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</si>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</sst>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3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2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5">
    <xf numFmtId="0" fontId="0" fillId="0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</cellStyleXfs>
  <cellXfs count="416">
    <xf numFmtId="0" fontId="0" fillId="2" borderId="0" xfId="0" applyFill="1"/>
    <xf numFmtId="0" fontId="1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7" fillId="2" borderId="0" xfId="1" applyFont="1" applyFill="1"/>
    <xf numFmtId="0" fontId="27" fillId="2" borderId="0" xfId="1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8" fillId="2" borderId="0" xfId="1" applyFont="1" applyFill="1" applyAlignment="1">
      <alignment horizontal="center"/>
    </xf>
    <xf numFmtId="0" fontId="29" fillId="2" borderId="0" xfId="1" applyFont="1" applyFill="1"/>
    <xf numFmtId="0" fontId="28" fillId="2" borderId="0" xfId="1" applyFont="1" applyFill="1"/>
    <xf numFmtId="2" fontId="28" fillId="2" borderId="0" xfId="1" applyNumberFormat="1" applyFont="1" applyFill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0" fontId="29" fillId="2" borderId="3" xfId="1" applyFont="1" applyFill="1" applyBorder="1" applyAlignment="1">
      <alignment horizontal="center"/>
    </xf>
    <xf numFmtId="0" fontId="30" fillId="3" borderId="3" xfId="1" applyFont="1" applyFill="1" applyBorder="1" applyAlignment="1" applyProtection="1">
      <alignment horizontal="center"/>
      <protection locked="0"/>
    </xf>
    <xf numFmtId="2" fontId="30" fillId="3" borderId="3" xfId="1" applyNumberFormat="1" applyFont="1" applyFill="1" applyBorder="1" applyAlignment="1" applyProtection="1">
      <alignment horizontal="center"/>
      <protection locked="0"/>
    </xf>
    <xf numFmtId="2" fontId="30" fillId="3" borderId="4" xfId="1" applyNumberFormat="1" applyFont="1" applyFill="1" applyBorder="1" applyAlignment="1" applyProtection="1">
      <alignment horizontal="center"/>
      <protection locked="0"/>
    </xf>
    <xf numFmtId="0" fontId="30" fillId="3" borderId="5" xfId="1" applyFont="1" applyFill="1" applyBorder="1" applyAlignment="1" applyProtection="1">
      <alignment horizontal="center"/>
      <protection locked="0"/>
    </xf>
    <xf numFmtId="2" fontId="30" fillId="3" borderId="5" xfId="1" applyNumberFormat="1" applyFont="1" applyFill="1" applyBorder="1" applyAlignment="1" applyProtection="1">
      <alignment horizontal="center"/>
      <protection locked="0"/>
    </xf>
    <xf numFmtId="0" fontId="29" fillId="2" borderId="4" xfId="1" applyFont="1" applyFill="1" applyBorder="1"/>
    <xf numFmtId="1" fontId="28" fillId="4" borderId="2" xfId="1" applyNumberFormat="1" applyFont="1" applyFill="1" applyBorder="1" applyAlignment="1">
      <alignment horizontal="center"/>
    </xf>
    <xf numFmtId="1" fontId="28" fillId="4" borderId="1" xfId="1" applyNumberFormat="1" applyFont="1" applyFill="1" applyBorder="1" applyAlignment="1">
      <alignment horizontal="center"/>
    </xf>
    <xf numFmtId="2" fontId="28" fillId="4" borderId="1" xfId="1" applyNumberFormat="1" applyFont="1" applyFill="1" applyBorder="1" applyAlignment="1">
      <alignment horizontal="center"/>
    </xf>
    <xf numFmtId="0" fontId="29" fillId="2" borderId="3" xfId="1" applyFont="1" applyFill="1" applyBorder="1"/>
    <xf numFmtId="10" fontId="28" fillId="5" borderId="1" xfId="1" applyNumberFormat="1" applyFont="1" applyFill="1" applyBorder="1" applyAlignment="1">
      <alignment horizontal="center"/>
    </xf>
    <xf numFmtId="165" fontId="28" fillId="2" borderId="0" xfId="1" applyNumberFormat="1" applyFont="1" applyFill="1" applyAlignment="1">
      <alignment horizontal="center"/>
    </xf>
    <xf numFmtId="0" fontId="29" fillId="2" borderId="6" xfId="1" applyFont="1" applyFill="1" applyBorder="1"/>
    <xf numFmtId="0" fontId="29" fillId="2" borderId="5" xfId="1" applyFont="1" applyFill="1" applyBorder="1"/>
    <xf numFmtId="0" fontId="28" fillId="4" borderId="1" xfId="1" applyFont="1" applyFill="1" applyBorder="1" applyAlignment="1">
      <alignment horizontal="center"/>
    </xf>
    <xf numFmtId="0" fontId="28" fillId="2" borderId="7" xfId="1" applyFont="1" applyFill="1" applyBorder="1" applyAlignment="1">
      <alignment horizontal="center"/>
    </xf>
    <xf numFmtId="0" fontId="29" fillId="2" borderId="7" xfId="1" applyFont="1" applyFill="1" applyBorder="1"/>
    <xf numFmtId="0" fontId="29" fillId="2" borderId="8" xfId="1" applyFont="1" applyFill="1" applyBorder="1"/>
    <xf numFmtId="0" fontId="29" fillId="2" borderId="0" xfId="1" applyFont="1" applyFill="1" applyAlignment="1" applyProtection="1">
      <alignment horizontal="left"/>
      <protection locked="0"/>
    </xf>
    <xf numFmtId="0" fontId="29" fillId="2" borderId="0" xfId="1" applyFont="1" applyFill="1" applyProtection="1">
      <protection locked="0"/>
    </xf>
    <xf numFmtId="0" fontId="25" fillId="2" borderId="9" xfId="1" applyFont="1" applyFill="1" applyBorder="1"/>
    <xf numFmtId="0" fontId="25" fillId="2" borderId="0" xfId="1" applyFont="1" applyFill="1" applyAlignment="1">
      <alignment horizontal="center"/>
    </xf>
    <xf numFmtId="10" fontId="25" fillId="2" borderId="9" xfId="1" applyNumberFormat="1" applyFont="1" applyFill="1" applyBorder="1"/>
    <xf numFmtId="0" fontId="23" fillId="2" borderId="0" xfId="1" applyFill="1"/>
    <xf numFmtId="0" fontId="24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7" xfId="1" applyFont="1" applyFill="1" applyBorder="1"/>
    <xf numFmtId="0" fontId="24" fillId="2" borderId="11" xfId="1" applyFont="1" applyFill="1" applyBorder="1"/>
    <xf numFmtId="0" fontId="25" fillId="2" borderId="11" xfId="1" applyFont="1" applyFill="1" applyBorder="1"/>
    <xf numFmtId="0" fontId="24" fillId="2" borderId="0" xfId="2" applyFont="1" applyFill="1"/>
    <xf numFmtId="0" fontId="25" fillId="2" borderId="0" xfId="2" applyFont="1" applyFill="1"/>
    <xf numFmtId="0" fontId="25" fillId="2" borderId="0" xfId="2" applyFont="1" applyFill="1" applyAlignment="1">
      <alignment horizontal="right"/>
    </xf>
    <xf numFmtId="0" fontId="27" fillId="2" borderId="0" xfId="2" applyFont="1" applyFill="1"/>
    <xf numFmtId="0" fontId="27" fillId="2" borderId="0" xfId="2" applyFont="1" applyFill="1" applyAlignment="1">
      <alignment horizontal="left"/>
    </xf>
    <xf numFmtId="0" fontId="28" fillId="2" borderId="0" xfId="2" applyFont="1" applyFill="1" applyAlignment="1">
      <alignment horizontal="left"/>
    </xf>
    <xf numFmtId="0" fontId="28" fillId="2" borderId="0" xfId="2" applyFont="1" applyFill="1" applyAlignment="1">
      <alignment horizontal="center"/>
    </xf>
    <xf numFmtId="0" fontId="29" fillId="2" borderId="0" xfId="2" applyFont="1" applyFill="1"/>
    <xf numFmtId="0" fontId="28" fillId="2" borderId="0" xfId="2" applyFont="1" applyFill="1"/>
    <xf numFmtId="2" fontId="28" fillId="2" borderId="0" xfId="2" applyNumberFormat="1" applyFont="1" applyFill="1" applyAlignment="1">
      <alignment horizontal="center"/>
    </xf>
    <xf numFmtId="164" fontId="28" fillId="2" borderId="0" xfId="2" applyNumberFormat="1" applyFont="1" applyFill="1" applyAlignment="1">
      <alignment horizontal="center"/>
    </xf>
    <xf numFmtId="0" fontId="28" fillId="2" borderId="1" xfId="2" applyFont="1" applyFill="1" applyBorder="1" applyAlignment="1">
      <alignment horizontal="center"/>
    </xf>
    <xf numFmtId="0" fontId="28" fillId="2" borderId="2" xfId="2" applyFont="1" applyFill="1" applyBorder="1" applyAlignment="1">
      <alignment horizontal="center"/>
    </xf>
    <xf numFmtId="0" fontId="29" fillId="2" borderId="3" xfId="2" applyFont="1" applyFill="1" applyBorder="1" applyAlignment="1">
      <alignment horizontal="center"/>
    </xf>
    <xf numFmtId="0" fontId="30" fillId="3" borderId="3" xfId="2" applyFont="1" applyFill="1" applyBorder="1" applyAlignment="1" applyProtection="1">
      <alignment horizontal="center"/>
      <protection locked="0"/>
    </xf>
    <xf numFmtId="2" fontId="30" fillId="3" borderId="3" xfId="2" applyNumberFormat="1" applyFont="1" applyFill="1" applyBorder="1" applyAlignment="1" applyProtection="1">
      <alignment horizontal="center"/>
      <protection locked="0"/>
    </xf>
    <xf numFmtId="2" fontId="30" fillId="3" borderId="4" xfId="2" applyNumberFormat="1" applyFont="1" applyFill="1" applyBorder="1" applyAlignment="1" applyProtection="1">
      <alignment horizontal="center"/>
      <protection locked="0"/>
    </xf>
    <xf numFmtId="0" fontId="30" fillId="3" borderId="5" xfId="2" applyFont="1" applyFill="1" applyBorder="1" applyAlignment="1" applyProtection="1">
      <alignment horizontal="center"/>
      <protection locked="0"/>
    </xf>
    <xf numFmtId="2" fontId="30" fillId="3" borderId="5" xfId="2" applyNumberFormat="1" applyFont="1" applyFill="1" applyBorder="1" applyAlignment="1" applyProtection="1">
      <alignment horizontal="center"/>
      <protection locked="0"/>
    </xf>
    <xf numFmtId="0" fontId="29" fillId="2" borderId="4" xfId="2" applyFont="1" applyFill="1" applyBorder="1"/>
    <xf numFmtId="1" fontId="28" fillId="4" borderId="2" xfId="2" applyNumberFormat="1" applyFont="1" applyFill="1" applyBorder="1" applyAlignment="1">
      <alignment horizontal="center"/>
    </xf>
    <xf numFmtId="1" fontId="28" fillId="4" borderId="1" xfId="2" applyNumberFormat="1" applyFont="1" applyFill="1" applyBorder="1" applyAlignment="1">
      <alignment horizontal="center"/>
    </xf>
    <xf numFmtId="2" fontId="28" fillId="4" borderId="1" xfId="2" applyNumberFormat="1" applyFont="1" applyFill="1" applyBorder="1" applyAlignment="1">
      <alignment horizontal="center"/>
    </xf>
    <xf numFmtId="0" fontId="29" fillId="2" borderId="3" xfId="2" applyFont="1" applyFill="1" applyBorder="1"/>
    <xf numFmtId="10" fontId="28" fillId="5" borderId="1" xfId="2" applyNumberFormat="1" applyFont="1" applyFill="1" applyBorder="1" applyAlignment="1">
      <alignment horizontal="center"/>
    </xf>
    <xf numFmtId="165" fontId="28" fillId="2" borderId="0" xfId="2" applyNumberFormat="1" applyFont="1" applyFill="1" applyAlignment="1">
      <alignment horizontal="center"/>
    </xf>
    <xf numFmtId="0" fontId="29" fillId="2" borderId="6" xfId="2" applyFont="1" applyFill="1" applyBorder="1"/>
    <xf numFmtId="0" fontId="29" fillId="2" borderId="5" xfId="2" applyFont="1" applyFill="1" applyBorder="1"/>
    <xf numFmtId="0" fontId="28" fillId="4" borderId="1" xfId="2" applyFont="1" applyFill="1" applyBorder="1" applyAlignment="1">
      <alignment horizontal="center"/>
    </xf>
    <xf numFmtId="0" fontId="28" fillId="2" borderId="7" xfId="2" applyFont="1" applyFill="1" applyBorder="1" applyAlignment="1">
      <alignment horizontal="center"/>
    </xf>
    <xf numFmtId="0" fontId="29" fillId="2" borderId="7" xfId="2" applyFont="1" applyFill="1" applyBorder="1"/>
    <xf numFmtId="0" fontId="29" fillId="2" borderId="8" xfId="2" applyFont="1" applyFill="1" applyBorder="1"/>
    <xf numFmtId="0" fontId="29" fillId="2" borderId="0" xfId="2" applyFont="1" applyFill="1" applyAlignment="1" applyProtection="1">
      <alignment horizontal="left"/>
      <protection locked="0"/>
    </xf>
    <xf numFmtId="0" fontId="29" fillId="2" borderId="0" xfId="2" applyFont="1" applyFill="1" applyProtection="1">
      <protection locked="0"/>
    </xf>
    <xf numFmtId="0" fontId="25" fillId="2" borderId="9" xfId="2" applyFont="1" applyFill="1" applyBorder="1"/>
    <xf numFmtId="0" fontId="25" fillId="2" borderId="0" xfId="2" applyFont="1" applyFill="1" applyAlignment="1">
      <alignment horizontal="center"/>
    </xf>
    <xf numFmtId="10" fontId="25" fillId="2" borderId="9" xfId="2" applyNumberFormat="1" applyFont="1" applyFill="1" applyBorder="1"/>
    <xf numFmtId="0" fontId="23" fillId="2" borderId="0" xfId="2" applyFill="1"/>
    <xf numFmtId="0" fontId="24" fillId="2" borderId="10" xfId="2" applyFont="1" applyFill="1" applyBorder="1" applyAlignment="1">
      <alignment horizontal="center"/>
    </xf>
    <xf numFmtId="0" fontId="25" fillId="2" borderId="10" xfId="2" applyFont="1" applyFill="1" applyBorder="1" applyAlignment="1">
      <alignment horizontal="center"/>
    </xf>
    <xf numFmtId="0" fontId="24" fillId="2" borderId="0" xfId="2" applyFont="1" applyFill="1" applyAlignment="1">
      <alignment horizontal="right"/>
    </xf>
    <xf numFmtId="0" fontId="25" fillId="2" borderId="7" xfId="2" applyFont="1" applyFill="1" applyBorder="1"/>
    <xf numFmtId="0" fontId="24" fillId="2" borderId="11" xfId="2" applyFont="1" applyFill="1" applyBorder="1"/>
    <xf numFmtId="0" fontId="25" fillId="2" borderId="11" xfId="2" applyFont="1" applyFill="1" applyBorder="1"/>
    <xf numFmtId="0" fontId="24" fillId="2" borderId="0" xfId="3" applyFont="1" applyFill="1"/>
    <xf numFmtId="0" fontId="25" fillId="2" borderId="0" xfId="3" applyFont="1" applyFill="1"/>
    <xf numFmtId="0" fontId="25" fillId="2" borderId="0" xfId="3" applyFont="1" applyFill="1" applyAlignment="1">
      <alignment horizontal="right"/>
    </xf>
    <xf numFmtId="0" fontId="27" fillId="2" borderId="0" xfId="3" applyFont="1" applyFill="1"/>
    <xf numFmtId="0" fontId="27" fillId="2" borderId="0" xfId="3" applyFont="1" applyFill="1" applyAlignment="1">
      <alignment horizontal="left"/>
    </xf>
    <xf numFmtId="0" fontId="28" fillId="2" borderId="0" xfId="3" applyFont="1" applyFill="1" applyAlignment="1">
      <alignment horizontal="left"/>
    </xf>
    <xf numFmtId="0" fontId="28" fillId="2" borderId="0" xfId="3" applyFont="1" applyFill="1" applyAlignment="1">
      <alignment horizontal="center"/>
    </xf>
    <xf numFmtId="0" fontId="29" fillId="2" borderId="0" xfId="3" applyFont="1" applyFill="1"/>
    <xf numFmtId="0" fontId="28" fillId="2" borderId="0" xfId="3" applyFont="1" applyFill="1"/>
    <xf numFmtId="2" fontId="28" fillId="2" borderId="0" xfId="3" applyNumberFormat="1" applyFont="1" applyFill="1" applyAlignment="1">
      <alignment horizontal="center"/>
    </xf>
    <xf numFmtId="164" fontId="28" fillId="2" borderId="0" xfId="3" applyNumberFormat="1" applyFont="1" applyFill="1" applyAlignment="1">
      <alignment horizontal="center"/>
    </xf>
    <xf numFmtId="0" fontId="28" fillId="2" borderId="1" xfId="3" applyFont="1" applyFill="1" applyBorder="1" applyAlignment="1">
      <alignment horizontal="center"/>
    </xf>
    <xf numFmtId="0" fontId="28" fillId="2" borderId="2" xfId="3" applyFont="1" applyFill="1" applyBorder="1" applyAlignment="1">
      <alignment horizontal="center"/>
    </xf>
    <xf numFmtId="0" fontId="29" fillId="2" borderId="3" xfId="3" applyFont="1" applyFill="1" applyBorder="1" applyAlignment="1">
      <alignment horizontal="center"/>
    </xf>
    <xf numFmtId="0" fontId="30" fillId="3" borderId="3" xfId="3" applyFont="1" applyFill="1" applyBorder="1" applyAlignment="1" applyProtection="1">
      <alignment horizontal="center"/>
      <protection locked="0"/>
    </xf>
    <xf numFmtId="2" fontId="30" fillId="3" borderId="3" xfId="3" applyNumberFormat="1" applyFont="1" applyFill="1" applyBorder="1" applyAlignment="1" applyProtection="1">
      <alignment horizontal="center"/>
      <protection locked="0"/>
    </xf>
    <xf numFmtId="2" fontId="30" fillId="3" borderId="4" xfId="3" applyNumberFormat="1" applyFont="1" applyFill="1" applyBorder="1" applyAlignment="1" applyProtection="1">
      <alignment horizontal="center"/>
      <protection locked="0"/>
    </xf>
    <xf numFmtId="0" fontId="30" fillId="3" borderId="5" xfId="3" applyFont="1" applyFill="1" applyBorder="1" applyAlignment="1" applyProtection="1">
      <alignment horizontal="center"/>
      <protection locked="0"/>
    </xf>
    <xf numFmtId="2" fontId="30" fillId="3" borderId="5" xfId="3" applyNumberFormat="1" applyFont="1" applyFill="1" applyBorder="1" applyAlignment="1" applyProtection="1">
      <alignment horizontal="center"/>
      <protection locked="0"/>
    </xf>
    <xf numFmtId="0" fontId="29" fillId="2" borderId="4" xfId="3" applyFont="1" applyFill="1" applyBorder="1"/>
    <xf numFmtId="1" fontId="28" fillId="4" borderId="2" xfId="3" applyNumberFormat="1" applyFont="1" applyFill="1" applyBorder="1" applyAlignment="1">
      <alignment horizontal="center"/>
    </xf>
    <xf numFmtId="1" fontId="28" fillId="4" borderId="1" xfId="3" applyNumberFormat="1" applyFont="1" applyFill="1" applyBorder="1" applyAlignment="1">
      <alignment horizontal="center"/>
    </xf>
    <xf numFmtId="2" fontId="28" fillId="4" borderId="1" xfId="3" applyNumberFormat="1" applyFont="1" applyFill="1" applyBorder="1" applyAlignment="1">
      <alignment horizontal="center"/>
    </xf>
    <xf numFmtId="0" fontId="29" fillId="2" borderId="3" xfId="3" applyFont="1" applyFill="1" applyBorder="1"/>
    <xf numFmtId="10" fontId="28" fillId="5" borderId="1" xfId="3" applyNumberFormat="1" applyFont="1" applyFill="1" applyBorder="1" applyAlignment="1">
      <alignment horizontal="center"/>
    </xf>
    <xf numFmtId="165" fontId="28" fillId="2" borderId="0" xfId="3" applyNumberFormat="1" applyFont="1" applyFill="1" applyAlignment="1">
      <alignment horizontal="center"/>
    </xf>
    <xf numFmtId="0" fontId="29" fillId="2" borderId="6" xfId="3" applyFont="1" applyFill="1" applyBorder="1"/>
    <xf numFmtId="0" fontId="29" fillId="2" borderId="5" xfId="3" applyFont="1" applyFill="1" applyBorder="1"/>
    <xf numFmtId="0" fontId="28" fillId="4" borderId="1" xfId="3" applyFont="1" applyFill="1" applyBorder="1" applyAlignment="1">
      <alignment horizontal="center"/>
    </xf>
    <xf numFmtId="0" fontId="28" fillId="2" borderId="7" xfId="3" applyFont="1" applyFill="1" applyBorder="1" applyAlignment="1">
      <alignment horizontal="center"/>
    </xf>
    <xf numFmtId="0" fontId="29" fillId="2" borderId="7" xfId="3" applyFont="1" applyFill="1" applyBorder="1"/>
    <xf numFmtId="0" fontId="29" fillId="2" borderId="8" xfId="3" applyFont="1" applyFill="1" applyBorder="1"/>
    <xf numFmtId="0" fontId="29" fillId="2" borderId="0" xfId="3" applyFont="1" applyFill="1" applyAlignment="1" applyProtection="1">
      <alignment horizontal="left"/>
      <protection locked="0"/>
    </xf>
    <xf numFmtId="0" fontId="29" fillId="2" borderId="0" xfId="3" applyFont="1" applyFill="1" applyProtection="1">
      <protection locked="0"/>
    </xf>
    <xf numFmtId="0" fontId="25" fillId="2" borderId="9" xfId="3" applyFont="1" applyFill="1" applyBorder="1"/>
    <xf numFmtId="0" fontId="25" fillId="2" borderId="0" xfId="3" applyFont="1" applyFill="1" applyAlignment="1">
      <alignment horizontal="center"/>
    </xf>
    <xf numFmtId="10" fontId="25" fillId="2" borderId="9" xfId="3" applyNumberFormat="1" applyFont="1" applyFill="1" applyBorder="1"/>
    <xf numFmtId="0" fontId="23" fillId="2" borderId="0" xfId="3" applyFill="1"/>
    <xf numFmtId="0" fontId="24" fillId="2" borderId="10" xfId="3" applyFont="1" applyFill="1" applyBorder="1" applyAlignment="1">
      <alignment horizontal="center"/>
    </xf>
    <xf numFmtId="0" fontId="25" fillId="2" borderId="10" xfId="3" applyFont="1" applyFill="1" applyBorder="1" applyAlignment="1">
      <alignment horizontal="center"/>
    </xf>
    <xf numFmtId="0" fontId="24" fillId="2" borderId="0" xfId="3" applyFont="1" applyFill="1" applyAlignment="1">
      <alignment horizontal="right"/>
    </xf>
    <xf numFmtId="0" fontId="25" fillId="2" borderId="7" xfId="3" applyFont="1" applyFill="1" applyBorder="1"/>
    <xf numFmtId="0" fontId="24" fillId="2" borderId="11" xfId="3" applyFont="1" applyFill="1" applyBorder="1"/>
    <xf numFmtId="0" fontId="25" fillId="2" borderId="11" xfId="3" applyFont="1" applyFill="1" applyBorder="1"/>
    <xf numFmtId="0" fontId="31" fillId="3" borderId="29" xfId="1" applyFont="1" applyFill="1" applyBorder="1" applyAlignment="1" applyProtection="1">
      <alignment horizontal="center"/>
      <protection locked="0"/>
    </xf>
    <xf numFmtId="0" fontId="31" fillId="3" borderId="23" xfId="1" applyFont="1" applyFill="1" applyBorder="1" applyAlignment="1" applyProtection="1">
      <alignment horizontal="center"/>
      <protection locked="0"/>
    </xf>
    <xf numFmtId="0" fontId="31" fillId="3" borderId="34" xfId="1" applyFont="1" applyFill="1" applyBorder="1" applyAlignment="1" applyProtection="1">
      <alignment horizontal="center"/>
      <protection locked="0"/>
    </xf>
    <xf numFmtId="0" fontId="31" fillId="3" borderId="29" xfId="2" applyFont="1" applyFill="1" applyBorder="1" applyAlignment="1" applyProtection="1">
      <alignment horizontal="center"/>
      <protection locked="0"/>
    </xf>
    <xf numFmtId="0" fontId="31" fillId="3" borderId="23" xfId="2" applyFont="1" applyFill="1" applyBorder="1" applyAlignment="1" applyProtection="1">
      <alignment horizontal="center"/>
      <protection locked="0"/>
    </xf>
    <xf numFmtId="171" fontId="31" fillId="3" borderId="34" xfId="2" applyNumberFormat="1" applyFont="1" applyFill="1" applyBorder="1" applyAlignment="1" applyProtection="1">
      <alignment horizontal="center"/>
      <protection locked="0"/>
    </xf>
    <xf numFmtId="0" fontId="31" fillId="3" borderId="29" xfId="3" applyFont="1" applyFill="1" applyBorder="1" applyAlignment="1" applyProtection="1">
      <alignment horizontal="center"/>
      <protection locked="0"/>
    </xf>
    <xf numFmtId="0" fontId="31" fillId="3" borderId="23" xfId="3" applyFont="1" applyFill="1" applyBorder="1" applyAlignment="1" applyProtection="1">
      <alignment horizontal="center"/>
      <protection locked="0"/>
    </xf>
    <xf numFmtId="0" fontId="31" fillId="3" borderId="34" xfId="3" applyFont="1" applyFill="1" applyBorder="1" applyAlignment="1" applyProtection="1">
      <alignment horizontal="center"/>
      <protection locked="0"/>
    </xf>
    <xf numFmtId="0" fontId="31" fillId="3" borderId="29" xfId="6" applyFont="1" applyFill="1" applyBorder="1" applyAlignment="1" applyProtection="1">
      <alignment horizontal="center"/>
      <protection locked="0"/>
    </xf>
    <xf numFmtId="0" fontId="31" fillId="3" borderId="23" xfId="6" applyFont="1" applyFill="1" applyBorder="1" applyAlignment="1" applyProtection="1">
      <alignment horizontal="center"/>
      <protection locked="0"/>
    </xf>
    <xf numFmtId="171" fontId="31" fillId="3" borderId="34" xfId="6" applyNumberFormat="1" applyFont="1" applyFill="1" applyBorder="1" applyAlignment="1" applyProtection="1">
      <alignment horizontal="center"/>
      <protection locked="0"/>
    </xf>
    <xf numFmtId="0" fontId="31" fillId="3" borderId="29" xfId="7" applyFont="1" applyFill="1" applyBorder="1" applyAlignment="1" applyProtection="1">
      <alignment horizontal="center"/>
      <protection locked="0"/>
    </xf>
    <xf numFmtId="0" fontId="31" fillId="3" borderId="23" xfId="7" applyFont="1" applyFill="1" applyBorder="1" applyAlignment="1" applyProtection="1">
      <alignment horizontal="center"/>
      <protection locked="0"/>
    </xf>
    <xf numFmtId="0" fontId="31" fillId="3" borderId="34" xfId="7" applyFont="1" applyFill="1" applyBorder="1" applyAlignment="1" applyProtection="1">
      <alignment horizontal="center"/>
      <protection locked="0"/>
    </xf>
    <xf numFmtId="0" fontId="31" fillId="3" borderId="29" xfId="8" applyFont="1" applyFill="1" applyBorder="1" applyAlignment="1" applyProtection="1">
      <alignment horizontal="center"/>
      <protection locked="0"/>
    </xf>
    <xf numFmtId="0" fontId="31" fillId="3" borderId="23" xfId="8" applyFont="1" applyFill="1" applyBorder="1" applyAlignment="1" applyProtection="1">
      <alignment horizontal="center"/>
      <protection locked="0"/>
    </xf>
    <xf numFmtId="171" fontId="31" fillId="3" borderId="34" xfId="8" applyNumberFormat="1" applyFont="1" applyFill="1" applyBorder="1" applyAlignment="1" applyProtection="1">
      <alignment horizontal="center"/>
      <protection locked="0"/>
    </xf>
    <xf numFmtId="0" fontId="26" fillId="2" borderId="0" xfId="1" applyFont="1" applyFill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26" fillId="2" borderId="0" xfId="2" applyFont="1" applyFill="1" applyAlignment="1">
      <alignment horizontal="center"/>
    </xf>
    <xf numFmtId="0" fontId="24" fillId="2" borderId="10" xfId="2" applyFont="1" applyFill="1" applyBorder="1" applyAlignment="1">
      <alignment horizontal="center"/>
    </xf>
    <xf numFmtId="0" fontId="26" fillId="2" borderId="0" xfId="3" applyFont="1" applyFill="1" applyAlignment="1">
      <alignment horizontal="center"/>
    </xf>
    <xf numFmtId="0" fontId="24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1" fillId="2" borderId="43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/>
      <protection locked="0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/>
    </xf>
    <xf numFmtId="173" fontId="28" fillId="4" borderId="1" xfId="3" applyNumberFormat="1" applyFont="1" applyFill="1" applyBorder="1" applyAlignment="1">
      <alignment horizontal="center"/>
    </xf>
  </cellXfs>
  <cellStyles count="15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2" xfId="1"/>
    <cellStyle name="Normal 3" xfId="2"/>
    <cellStyle name="Normal 4" xfId="3"/>
    <cellStyle name="Normal 5" xfId="6"/>
    <cellStyle name="Normal 6" xfId="7"/>
    <cellStyle name="Normal 7" xfId="8"/>
    <cellStyle name="Normal 8" xfId="4"/>
    <cellStyle name="Normal 9" xfId="5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1" workbookViewId="0">
      <selection activeCell="B51" sqref="B51"/>
    </sheetView>
  </sheetViews>
  <sheetFormatPr defaultRowHeight="13.5" x14ac:dyDescent="0.25"/>
  <cols>
    <col min="1" max="1" width="27.5703125" style="213" customWidth="1"/>
    <col min="2" max="2" width="20.42578125" style="213" customWidth="1"/>
    <col min="3" max="3" width="31.85546875" style="213" customWidth="1"/>
    <col min="4" max="4" width="25.85546875" style="213" customWidth="1"/>
    <col min="5" max="5" width="25.7109375" style="213" customWidth="1"/>
    <col min="6" max="6" width="23.140625" style="213" customWidth="1"/>
    <col min="7" max="7" width="28.42578125" style="213" customWidth="1"/>
    <col min="8" max="8" width="21.5703125" style="213" customWidth="1"/>
    <col min="9" max="9" width="9.140625" style="213" customWidth="1"/>
    <col min="10" max="16384" width="9.140625" style="249"/>
  </cols>
  <sheetData>
    <row r="14" spans="1:6" ht="15" customHeight="1" x14ac:dyDescent="0.3">
      <c r="A14" s="212"/>
      <c r="C14" s="214"/>
      <c r="F14" s="214"/>
    </row>
    <row r="15" spans="1:6" ht="18.75" customHeight="1" x14ac:dyDescent="0.3">
      <c r="A15" s="362" t="s">
        <v>0</v>
      </c>
      <c r="B15" s="362"/>
      <c r="C15" s="362"/>
      <c r="D15" s="362"/>
      <c r="E15" s="362"/>
    </row>
    <row r="16" spans="1:6" ht="16.5" customHeight="1" x14ac:dyDescent="0.3">
      <c r="A16" s="215" t="s">
        <v>1</v>
      </c>
      <c r="B16" s="216" t="s">
        <v>2</v>
      </c>
    </row>
    <row r="17" spans="1:5" ht="16.5" customHeight="1" x14ac:dyDescent="0.3">
      <c r="A17" s="217" t="s">
        <v>3</v>
      </c>
      <c r="B17" s="217" t="s">
        <v>5</v>
      </c>
      <c r="D17" s="218"/>
      <c r="E17" s="219"/>
    </row>
    <row r="18" spans="1:5" ht="16.5" customHeight="1" x14ac:dyDescent="0.3">
      <c r="A18" s="220" t="s">
        <v>4</v>
      </c>
      <c r="B18" s="217" t="s">
        <v>124</v>
      </c>
      <c r="C18" s="219"/>
      <c r="D18" s="219"/>
      <c r="E18" s="219"/>
    </row>
    <row r="19" spans="1:5" ht="16.5" customHeight="1" x14ac:dyDescent="0.3">
      <c r="A19" s="220" t="s">
        <v>6</v>
      </c>
      <c r="B19" s="221">
        <v>99.4</v>
      </c>
      <c r="C19" s="219"/>
      <c r="D19" s="219"/>
      <c r="E19" s="219"/>
    </row>
    <row r="20" spans="1:5" ht="16.5" customHeight="1" x14ac:dyDescent="0.3">
      <c r="A20" s="217" t="s">
        <v>8</v>
      </c>
      <c r="B20" s="221">
        <v>29.96</v>
      </c>
      <c r="C20" s="219"/>
      <c r="D20" s="219"/>
      <c r="E20" s="219"/>
    </row>
    <row r="21" spans="1:5" ht="16.5" customHeight="1" x14ac:dyDescent="0.3">
      <c r="A21" s="217" t="s">
        <v>10</v>
      </c>
      <c r="B21" s="222">
        <f>B20/'zidovudine (2)'!B45</f>
        <v>0.29960000000000003</v>
      </c>
      <c r="C21" s="219"/>
      <c r="D21" s="219"/>
      <c r="E21" s="219"/>
    </row>
    <row r="22" spans="1:5" ht="15.75" customHeight="1" x14ac:dyDescent="0.25">
      <c r="A22" s="219"/>
      <c r="B22" s="219"/>
      <c r="C22" s="219"/>
      <c r="D22" s="219"/>
      <c r="E22" s="219"/>
    </row>
    <row r="23" spans="1:5" ht="16.5" customHeight="1" x14ac:dyDescent="0.3">
      <c r="A23" s="223" t="s">
        <v>13</v>
      </c>
      <c r="B23" s="224" t="s">
        <v>14</v>
      </c>
      <c r="C23" s="223" t="s">
        <v>15</v>
      </c>
      <c r="D23" s="223" t="s">
        <v>16</v>
      </c>
      <c r="E23" s="223" t="s">
        <v>17</v>
      </c>
    </row>
    <row r="24" spans="1:5" ht="16.5" customHeight="1" x14ac:dyDescent="0.3">
      <c r="A24" s="225">
        <v>1</v>
      </c>
      <c r="B24" s="226">
        <v>226613820</v>
      </c>
      <c r="C24" s="226">
        <v>4350.5</v>
      </c>
      <c r="D24" s="227">
        <v>1.1000000000000001</v>
      </c>
      <c r="E24" s="228">
        <v>4.2</v>
      </c>
    </row>
    <row r="25" spans="1:5" ht="16.5" customHeight="1" x14ac:dyDescent="0.3">
      <c r="A25" s="225">
        <v>2</v>
      </c>
      <c r="B25" s="226">
        <v>226626513</v>
      </c>
      <c r="C25" s="226">
        <v>4351.5</v>
      </c>
      <c r="D25" s="227">
        <v>1.1000000000000001</v>
      </c>
      <c r="E25" s="227">
        <v>4.2</v>
      </c>
    </row>
    <row r="26" spans="1:5" ht="16.5" customHeight="1" x14ac:dyDescent="0.3">
      <c r="A26" s="225">
        <v>3</v>
      </c>
      <c r="B26" s="226">
        <v>227249907</v>
      </c>
      <c r="C26" s="226">
        <v>4362.3</v>
      </c>
      <c r="D26" s="227">
        <v>1.1000000000000001</v>
      </c>
      <c r="E26" s="227">
        <v>4.2</v>
      </c>
    </row>
    <row r="27" spans="1:5" ht="16.5" customHeight="1" x14ac:dyDescent="0.3">
      <c r="A27" s="225">
        <v>4</v>
      </c>
      <c r="B27" s="226">
        <v>227251305</v>
      </c>
      <c r="C27" s="226">
        <v>4378.7</v>
      </c>
      <c r="D27" s="227">
        <v>1.1000000000000001</v>
      </c>
      <c r="E27" s="227">
        <v>4.2</v>
      </c>
    </row>
    <row r="28" spans="1:5" ht="16.5" customHeight="1" x14ac:dyDescent="0.3">
      <c r="A28" s="225">
        <v>5</v>
      </c>
      <c r="B28" s="226">
        <v>227234223</v>
      </c>
      <c r="C28" s="226">
        <v>4377.7</v>
      </c>
      <c r="D28" s="227">
        <v>1.1000000000000001</v>
      </c>
      <c r="E28" s="227">
        <v>4.2</v>
      </c>
    </row>
    <row r="29" spans="1:5" ht="16.5" customHeight="1" x14ac:dyDescent="0.3">
      <c r="A29" s="225">
        <v>6</v>
      </c>
      <c r="B29" s="229">
        <v>226628620</v>
      </c>
      <c r="C29" s="229">
        <v>4388.7</v>
      </c>
      <c r="D29" s="230">
        <v>1.1000000000000001</v>
      </c>
      <c r="E29" s="230">
        <v>4.2</v>
      </c>
    </row>
    <row r="30" spans="1:5" ht="16.5" customHeight="1" x14ac:dyDescent="0.3">
      <c r="A30" s="231" t="s">
        <v>18</v>
      </c>
      <c r="B30" s="232">
        <f>AVERAGE(B24:B29)</f>
        <v>226934064.66666666</v>
      </c>
      <c r="C30" s="233">
        <f>AVERAGE(C24:C29)</f>
        <v>4368.2333333333336</v>
      </c>
      <c r="D30" s="234">
        <f>AVERAGE(D24:D29)</f>
        <v>1.0999999999999999</v>
      </c>
      <c r="E30" s="234">
        <f>AVERAGE(E24:E29)</f>
        <v>4.2</v>
      </c>
    </row>
    <row r="31" spans="1:5" ht="16.5" customHeight="1" x14ac:dyDescent="0.3">
      <c r="A31" s="235" t="s">
        <v>19</v>
      </c>
      <c r="B31" s="236">
        <f>(STDEV(B24:B29)/B30)</f>
        <v>1.5020302718727939E-3</v>
      </c>
      <c r="C31" s="237"/>
      <c r="D31" s="237"/>
      <c r="E31" s="238"/>
    </row>
    <row r="32" spans="1:5" s="213" customFormat="1" ht="16.5" customHeight="1" x14ac:dyDescent="0.3">
      <c r="A32" s="239" t="s">
        <v>20</v>
      </c>
      <c r="B32" s="240">
        <f>COUNT(B24:B29)</f>
        <v>6</v>
      </c>
      <c r="C32" s="241"/>
      <c r="D32" s="242"/>
      <c r="E32" s="243"/>
    </row>
    <row r="33" spans="1:5" s="213" customFormat="1" ht="15.75" customHeight="1" x14ac:dyDescent="0.25">
      <c r="A33" s="219"/>
      <c r="B33" s="219"/>
      <c r="C33" s="219"/>
      <c r="D33" s="219"/>
      <c r="E33" s="219"/>
    </row>
    <row r="34" spans="1:5" s="213" customFormat="1" ht="16.5" customHeight="1" x14ac:dyDescent="0.3">
      <c r="A34" s="220" t="s">
        <v>21</v>
      </c>
      <c r="B34" s="244" t="s">
        <v>125</v>
      </c>
      <c r="C34" s="245"/>
      <c r="D34" s="245"/>
      <c r="E34" s="245"/>
    </row>
    <row r="35" spans="1:5" ht="16.5" customHeight="1" x14ac:dyDescent="0.3">
      <c r="A35" s="220"/>
      <c r="B35" s="244" t="s">
        <v>126</v>
      </c>
      <c r="C35" s="245"/>
      <c r="D35" s="245"/>
      <c r="E35" s="245"/>
    </row>
    <row r="36" spans="1:5" ht="16.5" customHeight="1" x14ac:dyDescent="0.3">
      <c r="A36" s="220"/>
      <c r="B36" s="244" t="s">
        <v>127</v>
      </c>
      <c r="C36" s="245"/>
      <c r="D36" s="245"/>
      <c r="E36" s="245"/>
    </row>
    <row r="37" spans="1:5" ht="15.75" customHeight="1" x14ac:dyDescent="0.25">
      <c r="A37" s="219"/>
      <c r="B37" s="219"/>
      <c r="C37" s="219"/>
      <c r="D37" s="219"/>
      <c r="E37" s="219"/>
    </row>
    <row r="38" spans="1:5" ht="16.5" customHeight="1" x14ac:dyDescent="0.3">
      <c r="A38" s="215" t="s">
        <v>1</v>
      </c>
      <c r="B38" s="216" t="s">
        <v>22</v>
      </c>
    </row>
    <row r="39" spans="1:5" ht="16.5" customHeight="1" x14ac:dyDescent="0.3">
      <c r="A39" s="220" t="s">
        <v>4</v>
      </c>
      <c r="B39" s="217" t="s">
        <v>124</v>
      </c>
      <c r="C39" s="219"/>
      <c r="D39" s="219"/>
      <c r="E39" s="219"/>
    </row>
    <row r="40" spans="1:5" ht="16.5" customHeight="1" x14ac:dyDescent="0.3">
      <c r="A40" s="220" t="s">
        <v>6</v>
      </c>
      <c r="B40" s="221">
        <v>99.4</v>
      </c>
      <c r="C40" s="219"/>
      <c r="D40" s="219"/>
      <c r="E40" s="219"/>
    </row>
    <row r="41" spans="1:5" ht="16.5" customHeight="1" x14ac:dyDescent="0.3">
      <c r="A41" s="217" t="s">
        <v>8</v>
      </c>
      <c r="B41" s="221">
        <v>28.28</v>
      </c>
      <c r="C41" s="219"/>
      <c r="D41" s="219"/>
      <c r="E41" s="219"/>
    </row>
    <row r="42" spans="1:5" ht="16.5" customHeight="1" x14ac:dyDescent="0.3">
      <c r="A42" s="217" t="s">
        <v>10</v>
      </c>
      <c r="B42" s="222">
        <f>B41/'zidovudine (2)'!B98</f>
        <v>0.2828</v>
      </c>
      <c r="C42" s="219"/>
      <c r="D42" s="219"/>
      <c r="E42" s="219"/>
    </row>
    <row r="43" spans="1:5" ht="15.75" customHeight="1" x14ac:dyDescent="0.25">
      <c r="A43" s="219"/>
      <c r="B43" s="219"/>
      <c r="C43" s="219"/>
      <c r="D43" s="219"/>
      <c r="E43" s="219"/>
    </row>
    <row r="44" spans="1:5" ht="16.5" customHeight="1" x14ac:dyDescent="0.3">
      <c r="A44" s="223" t="s">
        <v>13</v>
      </c>
      <c r="B44" s="224" t="s">
        <v>14</v>
      </c>
      <c r="C44" s="223" t="s">
        <v>15</v>
      </c>
      <c r="D44" s="223" t="s">
        <v>16</v>
      </c>
      <c r="E44" s="223" t="s">
        <v>17</v>
      </c>
    </row>
    <row r="45" spans="1:5" ht="16.5" customHeight="1" x14ac:dyDescent="0.3">
      <c r="A45" s="225">
        <v>1</v>
      </c>
      <c r="B45" s="226">
        <v>209257329</v>
      </c>
      <c r="C45" s="226">
        <v>6578.1</v>
      </c>
      <c r="D45" s="227">
        <v>1.1000000000000001</v>
      </c>
      <c r="E45" s="228">
        <v>5</v>
      </c>
    </row>
    <row r="46" spans="1:5" ht="16.5" customHeight="1" x14ac:dyDescent="0.3">
      <c r="A46" s="225">
        <v>2</v>
      </c>
      <c r="B46" s="226">
        <v>209645092</v>
      </c>
      <c r="C46" s="226">
        <v>6535.2</v>
      </c>
      <c r="D46" s="227">
        <v>1.1000000000000001</v>
      </c>
      <c r="E46" s="227">
        <v>5</v>
      </c>
    </row>
    <row r="47" spans="1:5" ht="16.5" customHeight="1" x14ac:dyDescent="0.3">
      <c r="A47" s="225">
        <v>3</v>
      </c>
      <c r="B47" s="226">
        <v>209685188</v>
      </c>
      <c r="C47" s="226">
        <v>6525.6</v>
      </c>
      <c r="D47" s="227">
        <v>1.1000000000000001</v>
      </c>
      <c r="E47" s="227">
        <v>5</v>
      </c>
    </row>
    <row r="48" spans="1:5" ht="16.5" customHeight="1" x14ac:dyDescent="0.3">
      <c r="A48" s="225">
        <v>4</v>
      </c>
      <c r="B48" s="226">
        <v>209713116</v>
      </c>
      <c r="C48" s="226">
        <v>6513</v>
      </c>
      <c r="D48" s="227">
        <v>1.1000000000000001</v>
      </c>
      <c r="E48" s="227">
        <v>5</v>
      </c>
    </row>
    <row r="49" spans="1:7" ht="16.5" customHeight="1" x14ac:dyDescent="0.3">
      <c r="A49" s="225">
        <v>5</v>
      </c>
      <c r="B49" s="226">
        <v>209914590</v>
      </c>
      <c r="C49" s="226">
        <v>6517.6</v>
      </c>
      <c r="D49" s="227">
        <v>1.1000000000000001</v>
      </c>
      <c r="E49" s="227">
        <v>5</v>
      </c>
    </row>
    <row r="50" spans="1:7" ht="16.5" customHeight="1" x14ac:dyDescent="0.3">
      <c r="A50" s="225">
        <v>6</v>
      </c>
      <c r="B50" s="229">
        <v>209911601</v>
      </c>
      <c r="C50" s="229">
        <v>6501.7</v>
      </c>
      <c r="D50" s="230">
        <v>1.1000000000000001</v>
      </c>
      <c r="E50" s="230">
        <v>5</v>
      </c>
    </row>
    <row r="51" spans="1:7" ht="16.5" customHeight="1" x14ac:dyDescent="0.3">
      <c r="A51" s="231" t="s">
        <v>18</v>
      </c>
      <c r="B51" s="232">
        <f>AVERAGE(B45:B50)</f>
        <v>209687819.33333334</v>
      </c>
      <c r="C51" s="233">
        <f>AVERAGE(C45:C50)</f>
        <v>6528.5333333333328</v>
      </c>
      <c r="D51" s="234">
        <f>AVERAGE(D45:D50)</f>
        <v>1.0999999999999999</v>
      </c>
      <c r="E51" s="234">
        <f>AVERAGE(E45:E50)</f>
        <v>5</v>
      </c>
    </row>
    <row r="52" spans="1:7" ht="16.5" customHeight="1" x14ac:dyDescent="0.3">
      <c r="A52" s="235" t="s">
        <v>19</v>
      </c>
      <c r="B52" s="236">
        <f>(STDEV(B45:B50)/B51)</f>
        <v>1.1471340875412643E-3</v>
      </c>
      <c r="C52" s="237"/>
      <c r="D52" s="237"/>
      <c r="E52" s="238"/>
    </row>
    <row r="53" spans="1:7" s="213" customFormat="1" ht="16.5" customHeight="1" x14ac:dyDescent="0.3">
      <c r="A53" s="239" t="s">
        <v>20</v>
      </c>
      <c r="B53" s="240">
        <f>COUNT(B45:B50)</f>
        <v>6</v>
      </c>
      <c r="C53" s="241"/>
      <c r="D53" s="242"/>
      <c r="E53" s="243"/>
    </row>
    <row r="54" spans="1:7" s="213" customFormat="1" ht="15.75" customHeight="1" x14ac:dyDescent="0.25">
      <c r="A54" s="219"/>
      <c r="B54" s="219"/>
      <c r="C54" s="219"/>
      <c r="D54" s="219"/>
      <c r="E54" s="219"/>
    </row>
    <row r="55" spans="1:7" s="213" customFormat="1" ht="16.5" customHeight="1" x14ac:dyDescent="0.3">
      <c r="A55" s="220" t="s">
        <v>21</v>
      </c>
      <c r="B55" s="244" t="s">
        <v>125</v>
      </c>
      <c r="C55" s="245"/>
      <c r="D55" s="245"/>
      <c r="E55" s="245"/>
    </row>
    <row r="56" spans="1:7" ht="16.5" customHeight="1" x14ac:dyDescent="0.3">
      <c r="A56" s="220"/>
      <c r="B56" s="244" t="s">
        <v>126</v>
      </c>
      <c r="C56" s="245"/>
      <c r="D56" s="245"/>
      <c r="E56" s="245"/>
    </row>
    <row r="57" spans="1:7" ht="16.5" customHeight="1" x14ac:dyDescent="0.3">
      <c r="A57" s="220"/>
      <c r="B57" s="244" t="s">
        <v>127</v>
      </c>
      <c r="C57" s="245"/>
      <c r="D57" s="245"/>
      <c r="E57" s="245"/>
    </row>
    <row r="58" spans="1:7" ht="14.25" customHeight="1" thickBot="1" x14ac:dyDescent="0.3">
      <c r="A58" s="246"/>
      <c r="B58" s="247"/>
      <c r="D58" s="248"/>
      <c r="F58" s="249"/>
      <c r="G58" s="249"/>
    </row>
    <row r="59" spans="1:7" ht="15" customHeight="1" x14ac:dyDescent="0.3">
      <c r="B59" s="363" t="s">
        <v>23</v>
      </c>
      <c r="C59" s="363"/>
      <c r="E59" s="250" t="s">
        <v>24</v>
      </c>
      <c r="F59" s="251"/>
      <c r="G59" s="250" t="s">
        <v>25</v>
      </c>
    </row>
    <row r="60" spans="1:7" ht="15" customHeight="1" x14ac:dyDescent="0.3">
      <c r="A60" s="252" t="s">
        <v>26</v>
      </c>
      <c r="B60" s="253"/>
      <c r="C60" s="253"/>
      <c r="E60" s="253"/>
      <c r="G60" s="253"/>
    </row>
    <row r="61" spans="1:7" ht="15" customHeight="1" x14ac:dyDescent="0.3">
      <c r="A61" s="252" t="s">
        <v>27</v>
      </c>
      <c r="B61" s="254"/>
      <c r="C61" s="254"/>
      <c r="E61" s="254"/>
      <c r="G61" s="25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2" workbookViewId="0">
      <selection activeCell="B42" sqref="B42"/>
    </sheetView>
  </sheetViews>
  <sheetFormatPr defaultRowHeight="13.5" x14ac:dyDescent="0.25"/>
  <cols>
    <col min="1" max="1" width="27.5703125" style="257" customWidth="1"/>
    <col min="2" max="2" width="20.42578125" style="257" customWidth="1"/>
    <col min="3" max="3" width="31.85546875" style="257" customWidth="1"/>
    <col min="4" max="4" width="25.85546875" style="257" customWidth="1"/>
    <col min="5" max="5" width="25.7109375" style="257" customWidth="1"/>
    <col min="6" max="6" width="23.140625" style="257" customWidth="1"/>
    <col min="7" max="7" width="28.42578125" style="257" customWidth="1"/>
    <col min="8" max="8" width="21.5703125" style="257" customWidth="1"/>
    <col min="9" max="9" width="9.140625" style="257" customWidth="1"/>
    <col min="10" max="16384" width="9.140625" style="293"/>
  </cols>
  <sheetData>
    <row r="14" spans="1:6" ht="15" customHeight="1" x14ac:dyDescent="0.3">
      <c r="A14" s="256"/>
      <c r="C14" s="258"/>
      <c r="F14" s="258"/>
    </row>
    <row r="15" spans="1:6" ht="18.75" customHeight="1" x14ac:dyDescent="0.3">
      <c r="A15" s="364" t="s">
        <v>0</v>
      </c>
      <c r="B15" s="364"/>
      <c r="C15" s="364"/>
      <c r="D15" s="364"/>
      <c r="E15" s="364"/>
    </row>
    <row r="16" spans="1:6" ht="16.5" customHeight="1" x14ac:dyDescent="0.3">
      <c r="A16" s="259" t="s">
        <v>1</v>
      </c>
      <c r="B16" s="260" t="s">
        <v>2</v>
      </c>
    </row>
    <row r="17" spans="1:5" ht="16.5" customHeight="1" x14ac:dyDescent="0.3">
      <c r="A17" s="261" t="s">
        <v>3</v>
      </c>
      <c r="B17" s="261" t="s">
        <v>5</v>
      </c>
      <c r="D17" s="262"/>
      <c r="E17" s="263"/>
    </row>
    <row r="18" spans="1:5" ht="16.5" customHeight="1" x14ac:dyDescent="0.3">
      <c r="A18" s="264" t="s">
        <v>4</v>
      </c>
      <c r="B18" s="261" t="s">
        <v>123</v>
      </c>
      <c r="C18" s="263"/>
      <c r="D18" s="263"/>
      <c r="E18" s="263"/>
    </row>
    <row r="19" spans="1:5" ht="16.5" customHeight="1" x14ac:dyDescent="0.3">
      <c r="A19" s="264" t="s">
        <v>6</v>
      </c>
      <c r="B19" s="265">
        <v>98.8</v>
      </c>
      <c r="C19" s="263"/>
      <c r="D19" s="263"/>
      <c r="E19" s="263"/>
    </row>
    <row r="20" spans="1:5" ht="16.5" customHeight="1" x14ac:dyDescent="0.3">
      <c r="A20" s="261" t="s">
        <v>8</v>
      </c>
      <c r="B20" s="265">
        <v>20.27</v>
      </c>
      <c r="C20" s="263"/>
      <c r="D20" s="263"/>
      <c r="E20" s="263"/>
    </row>
    <row r="21" spans="1:5" ht="16.5" customHeight="1" x14ac:dyDescent="0.3">
      <c r="A21" s="261" t="s">
        <v>10</v>
      </c>
      <c r="B21" s="266">
        <f>B20/'Nevirapine (2)'!B45</f>
        <v>0.20269999999999999</v>
      </c>
      <c r="C21" s="263"/>
      <c r="D21" s="263"/>
      <c r="E21" s="263"/>
    </row>
    <row r="22" spans="1:5" ht="15.75" customHeight="1" x14ac:dyDescent="0.25">
      <c r="A22" s="263"/>
      <c r="B22" s="263"/>
      <c r="C22" s="263"/>
      <c r="D22" s="263"/>
      <c r="E22" s="263"/>
    </row>
    <row r="23" spans="1:5" ht="16.5" customHeight="1" x14ac:dyDescent="0.3">
      <c r="A23" s="267" t="s">
        <v>13</v>
      </c>
      <c r="B23" s="268" t="s">
        <v>14</v>
      </c>
      <c r="C23" s="267" t="s">
        <v>15</v>
      </c>
      <c r="D23" s="267" t="s">
        <v>16</v>
      </c>
      <c r="E23" s="267" t="s">
        <v>17</v>
      </c>
    </row>
    <row r="24" spans="1:5" ht="16.5" customHeight="1" x14ac:dyDescent="0.3">
      <c r="A24" s="269">
        <v>1</v>
      </c>
      <c r="B24" s="270">
        <v>104462782</v>
      </c>
      <c r="C24" s="270">
        <v>4054.1</v>
      </c>
      <c r="D24" s="271">
        <v>1.1000000000000001</v>
      </c>
      <c r="E24" s="272">
        <v>7.2</v>
      </c>
    </row>
    <row r="25" spans="1:5" ht="16.5" customHeight="1" x14ac:dyDescent="0.3">
      <c r="A25" s="269">
        <v>2</v>
      </c>
      <c r="B25" s="270">
        <v>104520921</v>
      </c>
      <c r="C25" s="270">
        <v>4089.8</v>
      </c>
      <c r="D25" s="271">
        <v>1.1000000000000001</v>
      </c>
      <c r="E25" s="271">
        <v>7.2</v>
      </c>
    </row>
    <row r="26" spans="1:5" ht="16.5" customHeight="1" x14ac:dyDescent="0.3">
      <c r="A26" s="269">
        <v>3</v>
      </c>
      <c r="B26" s="270">
        <v>104862814</v>
      </c>
      <c r="C26" s="270">
        <v>4091.1</v>
      </c>
      <c r="D26" s="271">
        <v>1.1000000000000001</v>
      </c>
      <c r="E26" s="271">
        <v>7.2</v>
      </c>
    </row>
    <row r="27" spans="1:5" ht="16.5" customHeight="1" x14ac:dyDescent="0.3">
      <c r="A27" s="269">
        <v>4</v>
      </c>
      <c r="B27" s="270">
        <v>104868880</v>
      </c>
      <c r="C27" s="270">
        <v>4102.7</v>
      </c>
      <c r="D27" s="271">
        <v>1.1000000000000001</v>
      </c>
      <c r="E27" s="271">
        <v>7.1</v>
      </c>
    </row>
    <row r="28" spans="1:5" ht="16.5" customHeight="1" x14ac:dyDescent="0.3">
      <c r="A28" s="269">
        <v>5</v>
      </c>
      <c r="B28" s="270">
        <v>104896992</v>
      </c>
      <c r="C28" s="270">
        <v>4093.3</v>
      </c>
      <c r="D28" s="271">
        <v>1.1000000000000001</v>
      </c>
      <c r="E28" s="271">
        <v>7.1</v>
      </c>
    </row>
    <row r="29" spans="1:5" ht="16.5" customHeight="1" x14ac:dyDescent="0.3">
      <c r="A29" s="269">
        <v>6</v>
      </c>
      <c r="B29" s="273">
        <v>104561877</v>
      </c>
      <c r="C29" s="273">
        <v>4102.3999999999996</v>
      </c>
      <c r="D29" s="274">
        <v>1.1000000000000001</v>
      </c>
      <c r="E29" s="274">
        <v>7.1</v>
      </c>
    </row>
    <row r="30" spans="1:5" ht="16.5" customHeight="1" x14ac:dyDescent="0.3">
      <c r="A30" s="275" t="s">
        <v>18</v>
      </c>
      <c r="B30" s="276">
        <f>AVERAGE(B24:B29)</f>
        <v>104695711</v>
      </c>
      <c r="C30" s="277">
        <f>AVERAGE(C24:C29)</f>
        <v>4088.9</v>
      </c>
      <c r="D30" s="278">
        <f>AVERAGE(D24:D29)</f>
        <v>1.0999999999999999</v>
      </c>
      <c r="E30" s="278">
        <f>AVERAGE(E24:E29)</f>
        <v>7.1500000000000012</v>
      </c>
    </row>
    <row r="31" spans="1:5" ht="16.5" customHeight="1" x14ac:dyDescent="0.3">
      <c r="A31" s="279" t="s">
        <v>19</v>
      </c>
      <c r="B31" s="280">
        <f>(STDEV(B24:B29)/B30)</f>
        <v>1.9157533955107219E-3</v>
      </c>
      <c r="C31" s="281"/>
      <c r="D31" s="281"/>
      <c r="E31" s="282"/>
    </row>
    <row r="32" spans="1:5" s="257" customFormat="1" ht="16.5" customHeight="1" x14ac:dyDescent="0.3">
      <c r="A32" s="283" t="s">
        <v>20</v>
      </c>
      <c r="B32" s="284">
        <f>COUNT(B24:B29)</f>
        <v>6</v>
      </c>
      <c r="C32" s="285"/>
      <c r="D32" s="286"/>
      <c r="E32" s="287"/>
    </row>
    <row r="33" spans="1:5" s="257" customFormat="1" ht="15.75" customHeight="1" x14ac:dyDescent="0.25">
      <c r="A33" s="263"/>
      <c r="B33" s="263"/>
      <c r="C33" s="263"/>
      <c r="D33" s="263"/>
      <c r="E33" s="263"/>
    </row>
    <row r="34" spans="1:5" s="257" customFormat="1" ht="16.5" customHeight="1" x14ac:dyDescent="0.3">
      <c r="A34" s="264" t="s">
        <v>21</v>
      </c>
      <c r="B34" s="288" t="s">
        <v>125</v>
      </c>
      <c r="C34" s="289"/>
      <c r="D34" s="289"/>
      <c r="E34" s="289"/>
    </row>
    <row r="35" spans="1:5" ht="16.5" customHeight="1" x14ac:dyDescent="0.3">
      <c r="A35" s="264"/>
      <c r="B35" s="288" t="s">
        <v>126</v>
      </c>
      <c r="C35" s="289"/>
      <c r="D35" s="289"/>
      <c r="E35" s="289"/>
    </row>
    <row r="36" spans="1:5" ht="16.5" customHeight="1" x14ac:dyDescent="0.3">
      <c r="A36" s="264"/>
      <c r="B36" s="288" t="s">
        <v>127</v>
      </c>
      <c r="C36" s="289"/>
      <c r="D36" s="289"/>
      <c r="E36" s="289"/>
    </row>
    <row r="37" spans="1:5" ht="15.75" customHeight="1" x14ac:dyDescent="0.25">
      <c r="A37" s="263"/>
      <c r="B37" s="263"/>
      <c r="C37" s="263"/>
      <c r="D37" s="263"/>
      <c r="E37" s="263"/>
    </row>
    <row r="38" spans="1:5" ht="16.5" customHeight="1" x14ac:dyDescent="0.3">
      <c r="A38" s="259" t="s">
        <v>1</v>
      </c>
      <c r="B38" s="260" t="s">
        <v>22</v>
      </c>
    </row>
    <row r="39" spans="1:5" ht="16.5" customHeight="1" x14ac:dyDescent="0.3">
      <c r="A39" s="264" t="s">
        <v>4</v>
      </c>
      <c r="B39" s="261" t="s">
        <v>123</v>
      </c>
      <c r="C39" s="263"/>
      <c r="D39" s="263"/>
      <c r="E39" s="263"/>
    </row>
    <row r="40" spans="1:5" ht="16.5" customHeight="1" x14ac:dyDescent="0.3">
      <c r="A40" s="264" t="s">
        <v>6</v>
      </c>
      <c r="B40" s="265">
        <f>B19</f>
        <v>98.8</v>
      </c>
      <c r="C40" s="263"/>
      <c r="D40" s="263"/>
      <c r="E40" s="263"/>
    </row>
    <row r="41" spans="1:5" ht="16.5" customHeight="1" x14ac:dyDescent="0.3">
      <c r="A41" s="261" t="s">
        <v>8</v>
      </c>
      <c r="B41" s="265">
        <f>'Nevirapine (2)'!D96</f>
        <v>19.87</v>
      </c>
      <c r="C41" s="263"/>
      <c r="D41" s="263"/>
      <c r="E41" s="263"/>
    </row>
    <row r="42" spans="1:5" ht="16.5" customHeight="1" x14ac:dyDescent="0.3">
      <c r="A42" s="261" t="s">
        <v>10</v>
      </c>
      <c r="B42" s="266">
        <v>0.2</v>
      </c>
      <c r="C42" s="263"/>
      <c r="D42" s="263"/>
      <c r="E42" s="263"/>
    </row>
    <row r="43" spans="1:5" ht="15.75" customHeight="1" x14ac:dyDescent="0.25">
      <c r="A43" s="263"/>
      <c r="B43" s="263"/>
      <c r="C43" s="263"/>
      <c r="D43" s="263"/>
      <c r="E43" s="263"/>
    </row>
    <row r="44" spans="1:5" ht="16.5" customHeight="1" x14ac:dyDescent="0.3">
      <c r="A44" s="267" t="s">
        <v>13</v>
      </c>
      <c r="B44" s="268" t="s">
        <v>14</v>
      </c>
      <c r="C44" s="267" t="s">
        <v>15</v>
      </c>
      <c r="D44" s="267" t="s">
        <v>16</v>
      </c>
      <c r="E44" s="267" t="s">
        <v>17</v>
      </c>
    </row>
    <row r="45" spans="1:5" ht="16.5" customHeight="1" x14ac:dyDescent="0.3">
      <c r="A45" s="269">
        <v>1</v>
      </c>
      <c r="B45" s="270">
        <v>102011754</v>
      </c>
      <c r="C45" s="270">
        <v>8162</v>
      </c>
      <c r="D45" s="271">
        <v>1.1000000000000001</v>
      </c>
      <c r="E45" s="272">
        <v>12.7</v>
      </c>
    </row>
    <row r="46" spans="1:5" ht="16.5" customHeight="1" x14ac:dyDescent="0.3">
      <c r="A46" s="269">
        <v>2</v>
      </c>
      <c r="B46" s="270">
        <v>102305881</v>
      </c>
      <c r="C46" s="270">
        <v>8099.9</v>
      </c>
      <c r="D46" s="271">
        <v>1.1000000000000001</v>
      </c>
      <c r="E46" s="271">
        <v>12.7</v>
      </c>
    </row>
    <row r="47" spans="1:5" ht="16.5" customHeight="1" x14ac:dyDescent="0.3">
      <c r="A47" s="269">
        <v>3</v>
      </c>
      <c r="B47" s="270">
        <v>102402903</v>
      </c>
      <c r="C47" s="270">
        <v>8126.3</v>
      </c>
      <c r="D47" s="271">
        <v>1.1000000000000001</v>
      </c>
      <c r="E47" s="271">
        <v>12.7</v>
      </c>
    </row>
    <row r="48" spans="1:5" ht="16.5" customHeight="1" x14ac:dyDescent="0.3">
      <c r="A48" s="269">
        <v>4</v>
      </c>
      <c r="B48" s="270">
        <v>102363506</v>
      </c>
      <c r="C48" s="270">
        <v>8084.2</v>
      </c>
      <c r="D48" s="271">
        <v>1.1000000000000001</v>
      </c>
      <c r="E48" s="271">
        <v>12.7</v>
      </c>
    </row>
    <row r="49" spans="1:7" ht="16.5" customHeight="1" x14ac:dyDescent="0.3">
      <c r="A49" s="269">
        <v>5</v>
      </c>
      <c r="B49" s="270">
        <v>102453988</v>
      </c>
      <c r="C49" s="270">
        <v>8100.3</v>
      </c>
      <c r="D49" s="271">
        <v>1.1000000000000001</v>
      </c>
      <c r="E49" s="271">
        <v>12.7</v>
      </c>
    </row>
    <row r="50" spans="1:7" ht="16.5" customHeight="1" x14ac:dyDescent="0.3">
      <c r="A50" s="269">
        <v>6</v>
      </c>
      <c r="B50" s="273">
        <v>102456925</v>
      </c>
      <c r="C50" s="273">
        <v>8072.9</v>
      </c>
      <c r="D50" s="274">
        <v>1.1000000000000001</v>
      </c>
      <c r="E50" s="274">
        <v>12.7</v>
      </c>
    </row>
    <row r="51" spans="1:7" ht="16.5" customHeight="1" x14ac:dyDescent="0.3">
      <c r="A51" s="275" t="s">
        <v>18</v>
      </c>
      <c r="B51" s="276">
        <f>AVERAGE(B45:B50)</f>
        <v>102332492.83333333</v>
      </c>
      <c r="C51" s="277">
        <f>AVERAGE(C45:C50)</f>
        <v>8107.6000000000013</v>
      </c>
      <c r="D51" s="278">
        <f>AVERAGE(D45:D50)</f>
        <v>1.0999999999999999</v>
      </c>
      <c r="E51" s="278">
        <f>AVERAGE(E45:E50)</f>
        <v>12.700000000000001</v>
      </c>
    </row>
    <row r="52" spans="1:7" ht="16.5" customHeight="1" x14ac:dyDescent="0.3">
      <c r="A52" s="279" t="s">
        <v>19</v>
      </c>
      <c r="B52" s="280">
        <f>(STDEV(B45:B50)/B51)</f>
        <v>1.633692297727889E-3</v>
      </c>
      <c r="C52" s="281"/>
      <c r="D52" s="281"/>
      <c r="E52" s="282"/>
    </row>
    <row r="53" spans="1:7" s="257" customFormat="1" ht="16.5" customHeight="1" x14ac:dyDescent="0.3">
      <c r="A53" s="283" t="s">
        <v>20</v>
      </c>
      <c r="B53" s="284">
        <f>COUNT(B45:B50)</f>
        <v>6</v>
      </c>
      <c r="C53" s="285"/>
      <c r="D53" s="286"/>
      <c r="E53" s="287"/>
    </row>
    <row r="54" spans="1:7" s="257" customFormat="1" ht="15.75" customHeight="1" x14ac:dyDescent="0.25">
      <c r="A54" s="263"/>
      <c r="B54" s="263"/>
      <c r="C54" s="263"/>
      <c r="D54" s="263"/>
      <c r="E54" s="263"/>
    </row>
    <row r="55" spans="1:7" s="257" customFormat="1" ht="16.5" customHeight="1" x14ac:dyDescent="0.3">
      <c r="A55" s="264" t="s">
        <v>21</v>
      </c>
      <c r="B55" s="288" t="s">
        <v>125</v>
      </c>
      <c r="C55" s="289"/>
      <c r="D55" s="289"/>
      <c r="E55" s="289"/>
    </row>
    <row r="56" spans="1:7" ht="16.5" customHeight="1" x14ac:dyDescent="0.3">
      <c r="A56" s="264"/>
      <c r="B56" s="288" t="s">
        <v>126</v>
      </c>
      <c r="C56" s="289"/>
      <c r="D56" s="289"/>
      <c r="E56" s="289"/>
    </row>
    <row r="57" spans="1:7" ht="16.5" customHeight="1" x14ac:dyDescent="0.3">
      <c r="A57" s="264"/>
      <c r="B57" s="288" t="s">
        <v>127</v>
      </c>
      <c r="C57" s="289"/>
      <c r="D57" s="289"/>
      <c r="E57" s="289"/>
    </row>
    <row r="58" spans="1:7" ht="14.25" customHeight="1" thickBot="1" x14ac:dyDescent="0.3">
      <c r="A58" s="290"/>
      <c r="B58" s="291"/>
      <c r="D58" s="292"/>
      <c r="F58" s="293"/>
      <c r="G58" s="293"/>
    </row>
    <row r="59" spans="1:7" ht="15" customHeight="1" x14ac:dyDescent="0.3">
      <c r="B59" s="365" t="s">
        <v>23</v>
      </c>
      <c r="C59" s="365"/>
      <c r="E59" s="294" t="s">
        <v>24</v>
      </c>
      <c r="F59" s="295"/>
      <c r="G59" s="294" t="s">
        <v>25</v>
      </c>
    </row>
    <row r="60" spans="1:7" ht="15" customHeight="1" x14ac:dyDescent="0.3">
      <c r="A60" s="296" t="s">
        <v>26</v>
      </c>
      <c r="B60" s="297"/>
      <c r="C60" s="297"/>
      <c r="E60" s="297"/>
      <c r="G60" s="297"/>
    </row>
    <row r="61" spans="1:7" ht="15" customHeight="1" x14ac:dyDescent="0.3">
      <c r="A61" s="296" t="s">
        <v>27</v>
      </c>
      <c r="B61" s="298"/>
      <c r="C61" s="298"/>
      <c r="E61" s="298"/>
      <c r="G61" s="29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C51" sqref="C51"/>
    </sheetView>
  </sheetViews>
  <sheetFormatPr defaultRowHeight="13.5" x14ac:dyDescent="0.25"/>
  <cols>
    <col min="1" max="1" width="27.5703125" style="301" customWidth="1"/>
    <col min="2" max="2" width="20.42578125" style="301" customWidth="1"/>
    <col min="3" max="3" width="31.85546875" style="301" customWidth="1"/>
    <col min="4" max="4" width="25.85546875" style="301" customWidth="1"/>
    <col min="5" max="5" width="25.7109375" style="301" customWidth="1"/>
    <col min="6" max="6" width="23.140625" style="301" customWidth="1"/>
    <col min="7" max="7" width="28.42578125" style="301" customWidth="1"/>
    <col min="8" max="8" width="21.5703125" style="301" customWidth="1"/>
    <col min="9" max="9" width="9.140625" style="301" customWidth="1"/>
    <col min="10" max="16384" width="9.140625" style="337"/>
  </cols>
  <sheetData>
    <row r="14" spans="1:6" ht="15" customHeight="1" x14ac:dyDescent="0.3">
      <c r="A14" s="300"/>
      <c r="C14" s="302"/>
      <c r="F14" s="302"/>
    </row>
    <row r="15" spans="1:6" ht="18.75" customHeight="1" x14ac:dyDescent="0.3">
      <c r="A15" s="366" t="s">
        <v>0</v>
      </c>
      <c r="B15" s="366"/>
      <c r="C15" s="366"/>
      <c r="D15" s="366"/>
      <c r="E15" s="366"/>
    </row>
    <row r="16" spans="1:6" ht="16.5" customHeight="1" x14ac:dyDescent="0.3">
      <c r="A16" s="303" t="s">
        <v>1</v>
      </c>
      <c r="B16" s="304" t="s">
        <v>2</v>
      </c>
    </row>
    <row r="17" spans="1:5" ht="16.5" customHeight="1" x14ac:dyDescent="0.3">
      <c r="A17" s="305" t="s">
        <v>3</v>
      </c>
      <c r="B17" s="305" t="s">
        <v>5</v>
      </c>
      <c r="D17" s="306"/>
      <c r="E17" s="307"/>
    </row>
    <row r="18" spans="1:5" ht="16.5" customHeight="1" x14ac:dyDescent="0.3">
      <c r="A18" s="308" t="s">
        <v>4</v>
      </c>
      <c r="B18" s="305" t="s">
        <v>122</v>
      </c>
      <c r="C18" s="307"/>
      <c r="D18" s="307"/>
      <c r="E18" s="307"/>
    </row>
    <row r="19" spans="1:5" ht="16.5" customHeight="1" x14ac:dyDescent="0.3">
      <c r="A19" s="308" t="s">
        <v>6</v>
      </c>
      <c r="B19" s="309">
        <f>'lamivudine (2)'!B30</f>
        <v>84.06</v>
      </c>
      <c r="C19" s="307"/>
      <c r="D19" s="307"/>
      <c r="E19" s="307"/>
    </row>
    <row r="20" spans="1:5" ht="16.5" customHeight="1" x14ac:dyDescent="0.3">
      <c r="A20" s="305" t="s">
        <v>8</v>
      </c>
      <c r="B20" s="309">
        <v>15.03</v>
      </c>
      <c r="C20" s="307"/>
      <c r="D20" s="307"/>
      <c r="E20" s="307"/>
    </row>
    <row r="21" spans="1:5" ht="16.5" customHeight="1" x14ac:dyDescent="0.3">
      <c r="A21" s="305" t="s">
        <v>10</v>
      </c>
      <c r="B21" s="310">
        <f>B20/'lamivudine (2)'!B45</f>
        <v>0.15029999999999999</v>
      </c>
      <c r="C21" s="307"/>
      <c r="D21" s="307"/>
      <c r="E21" s="307"/>
    </row>
    <row r="22" spans="1:5" ht="15.75" customHeight="1" x14ac:dyDescent="0.25">
      <c r="A22" s="307"/>
      <c r="B22" s="307"/>
      <c r="C22" s="307"/>
      <c r="D22" s="307"/>
      <c r="E22" s="307"/>
    </row>
    <row r="23" spans="1:5" ht="16.5" customHeight="1" x14ac:dyDescent="0.3">
      <c r="A23" s="311" t="s">
        <v>13</v>
      </c>
      <c r="B23" s="312" t="s">
        <v>14</v>
      </c>
      <c r="C23" s="311" t="s">
        <v>15</v>
      </c>
      <c r="D23" s="311" t="s">
        <v>16</v>
      </c>
      <c r="E23" s="311" t="s">
        <v>17</v>
      </c>
    </row>
    <row r="24" spans="1:5" ht="16.5" customHeight="1" x14ac:dyDescent="0.3">
      <c r="A24" s="313">
        <v>1</v>
      </c>
      <c r="B24" s="314">
        <v>115506147</v>
      </c>
      <c r="C24" s="314">
        <v>3863.1</v>
      </c>
      <c r="D24" s="315">
        <v>1.2</v>
      </c>
      <c r="E24" s="316">
        <v>3</v>
      </c>
    </row>
    <row r="25" spans="1:5" ht="16.5" customHeight="1" x14ac:dyDescent="0.3">
      <c r="A25" s="313">
        <v>2</v>
      </c>
      <c r="B25" s="314">
        <v>115593793</v>
      </c>
      <c r="C25" s="314">
        <v>3860.3</v>
      </c>
      <c r="D25" s="315">
        <v>1.1000000000000001</v>
      </c>
      <c r="E25" s="315">
        <v>3</v>
      </c>
    </row>
    <row r="26" spans="1:5" ht="16.5" customHeight="1" x14ac:dyDescent="0.3">
      <c r="A26" s="313">
        <v>3</v>
      </c>
      <c r="B26" s="314">
        <v>115837796</v>
      </c>
      <c r="C26" s="314">
        <v>3853.8</v>
      </c>
      <c r="D26" s="315">
        <v>1.2</v>
      </c>
      <c r="E26" s="315">
        <v>3</v>
      </c>
    </row>
    <row r="27" spans="1:5" ht="16.5" customHeight="1" x14ac:dyDescent="0.3">
      <c r="A27" s="313">
        <v>4</v>
      </c>
      <c r="B27" s="314">
        <v>115833536</v>
      </c>
      <c r="C27" s="314">
        <v>3869.6</v>
      </c>
      <c r="D27" s="315">
        <v>1.1000000000000001</v>
      </c>
      <c r="E27" s="315">
        <v>3</v>
      </c>
    </row>
    <row r="28" spans="1:5" ht="16.5" customHeight="1" x14ac:dyDescent="0.3">
      <c r="A28" s="313">
        <v>5</v>
      </c>
      <c r="B28" s="314">
        <v>115845247</v>
      </c>
      <c r="C28" s="314">
        <v>3882.3</v>
      </c>
      <c r="D28" s="315">
        <v>1.1000000000000001</v>
      </c>
      <c r="E28" s="315">
        <v>3</v>
      </c>
    </row>
    <row r="29" spans="1:5" ht="16.5" customHeight="1" x14ac:dyDescent="0.3">
      <c r="A29" s="313">
        <v>6</v>
      </c>
      <c r="B29" s="317">
        <v>115488855</v>
      </c>
      <c r="C29" s="317">
        <v>3899.5</v>
      </c>
      <c r="D29" s="318">
        <v>1.1000000000000001</v>
      </c>
      <c r="E29" s="318">
        <v>3</v>
      </c>
    </row>
    <row r="30" spans="1:5" ht="16.5" customHeight="1" x14ac:dyDescent="0.3">
      <c r="A30" s="319" t="s">
        <v>18</v>
      </c>
      <c r="B30" s="320">
        <f>AVERAGE(B24:B29)</f>
        <v>115684229</v>
      </c>
      <c r="C30" s="415">
        <f>AVERAGE(C24:C29)</f>
        <v>3871.4333333333338</v>
      </c>
      <c r="D30" s="322">
        <f>AVERAGE(D24:D29)</f>
        <v>1.1333333333333331</v>
      </c>
      <c r="E30" s="322">
        <f>AVERAGE(E24:E29)</f>
        <v>3</v>
      </c>
    </row>
    <row r="31" spans="1:5" ht="16.5" customHeight="1" x14ac:dyDescent="0.3">
      <c r="A31" s="323" t="s">
        <v>19</v>
      </c>
      <c r="B31" s="324">
        <f>(STDEV(B24:B29)/B30)</f>
        <v>1.4965493752908856E-3</v>
      </c>
      <c r="C31" s="325"/>
      <c r="D31" s="325"/>
      <c r="E31" s="326"/>
    </row>
    <row r="32" spans="1:5" s="301" customFormat="1" ht="16.5" customHeight="1" x14ac:dyDescent="0.3">
      <c r="A32" s="327" t="s">
        <v>20</v>
      </c>
      <c r="B32" s="328">
        <f>COUNT(B24:B29)</f>
        <v>6</v>
      </c>
      <c r="C32" s="329"/>
      <c r="D32" s="330"/>
      <c r="E32" s="331"/>
    </row>
    <row r="33" spans="1:5" s="301" customFormat="1" ht="15.75" customHeight="1" x14ac:dyDescent="0.25">
      <c r="A33" s="307"/>
      <c r="B33" s="307"/>
      <c r="C33" s="307"/>
      <c r="D33" s="307"/>
      <c r="E33" s="307"/>
    </row>
    <row r="34" spans="1:5" s="301" customFormat="1" ht="16.5" customHeight="1" x14ac:dyDescent="0.3">
      <c r="A34" s="308" t="s">
        <v>21</v>
      </c>
      <c r="B34" s="332" t="s">
        <v>125</v>
      </c>
      <c r="C34" s="333"/>
      <c r="D34" s="333"/>
      <c r="E34" s="333"/>
    </row>
    <row r="35" spans="1:5" ht="16.5" customHeight="1" x14ac:dyDescent="0.3">
      <c r="A35" s="308"/>
      <c r="B35" s="332" t="s">
        <v>126</v>
      </c>
      <c r="C35" s="333"/>
      <c r="D35" s="333"/>
      <c r="E35" s="333"/>
    </row>
    <row r="36" spans="1:5" ht="16.5" customHeight="1" x14ac:dyDescent="0.3">
      <c r="A36" s="308"/>
      <c r="B36" s="332" t="s">
        <v>127</v>
      </c>
      <c r="C36" s="333"/>
      <c r="D36" s="333"/>
      <c r="E36" s="333"/>
    </row>
    <row r="37" spans="1:5" ht="15.75" customHeight="1" x14ac:dyDescent="0.25">
      <c r="A37" s="307"/>
      <c r="B37" s="307"/>
      <c r="C37" s="307"/>
      <c r="D37" s="307"/>
      <c r="E37" s="307"/>
    </row>
    <row r="38" spans="1:5" ht="16.5" customHeight="1" x14ac:dyDescent="0.3">
      <c r="A38" s="303" t="s">
        <v>1</v>
      </c>
      <c r="B38" s="304" t="s">
        <v>22</v>
      </c>
    </row>
    <row r="39" spans="1:5" ht="16.5" customHeight="1" x14ac:dyDescent="0.3">
      <c r="A39" s="308" t="s">
        <v>4</v>
      </c>
      <c r="B39" s="305" t="s">
        <v>122</v>
      </c>
      <c r="C39" s="307"/>
      <c r="D39" s="307"/>
      <c r="E39" s="307"/>
    </row>
    <row r="40" spans="1:5" ht="16.5" customHeight="1" x14ac:dyDescent="0.3">
      <c r="A40" s="308" t="s">
        <v>6</v>
      </c>
      <c r="B40" s="309">
        <f>'lamivudine (2)'!B83</f>
        <v>84.06</v>
      </c>
      <c r="C40" s="307"/>
      <c r="D40" s="307"/>
      <c r="E40" s="307"/>
    </row>
    <row r="41" spans="1:5" ht="16.5" customHeight="1" x14ac:dyDescent="0.3">
      <c r="A41" s="305" t="s">
        <v>8</v>
      </c>
      <c r="B41" s="309">
        <f>'lamivudine (2)'!D96</f>
        <v>15.06</v>
      </c>
      <c r="C41" s="307"/>
      <c r="D41" s="307"/>
      <c r="E41" s="307"/>
    </row>
    <row r="42" spans="1:5" ht="16.5" customHeight="1" x14ac:dyDescent="0.3">
      <c r="A42" s="305" t="s">
        <v>10</v>
      </c>
      <c r="B42" s="310">
        <f>B41/'lamivudine (2)'!B98</f>
        <v>0.15060000000000001</v>
      </c>
      <c r="C42" s="307"/>
      <c r="D42" s="307"/>
      <c r="E42" s="307"/>
    </row>
    <row r="43" spans="1:5" ht="15.75" customHeight="1" x14ac:dyDescent="0.25">
      <c r="A43" s="307"/>
      <c r="B43" s="307"/>
      <c r="C43" s="307"/>
      <c r="D43" s="307"/>
      <c r="E43" s="307"/>
    </row>
    <row r="44" spans="1:5" ht="16.5" customHeight="1" x14ac:dyDescent="0.3">
      <c r="A44" s="311" t="s">
        <v>13</v>
      </c>
      <c r="B44" s="312" t="s">
        <v>14</v>
      </c>
      <c r="C44" s="311" t="s">
        <v>15</v>
      </c>
      <c r="D44" s="311" t="s">
        <v>16</v>
      </c>
      <c r="E44" s="311" t="s">
        <v>17</v>
      </c>
    </row>
    <row r="45" spans="1:5" ht="16.5" customHeight="1" x14ac:dyDescent="0.3">
      <c r="A45" s="313">
        <v>1</v>
      </c>
      <c r="B45" s="314">
        <v>99298625</v>
      </c>
      <c r="C45" s="314">
        <v>3995.9</v>
      </c>
      <c r="D45" s="315">
        <v>1.1000000000000001</v>
      </c>
      <c r="E45" s="316">
        <v>3.2</v>
      </c>
    </row>
    <row r="46" spans="1:5" ht="16.5" customHeight="1" x14ac:dyDescent="0.3">
      <c r="A46" s="313">
        <v>2</v>
      </c>
      <c r="B46" s="314">
        <v>99457965</v>
      </c>
      <c r="C46" s="314">
        <v>4008.7</v>
      </c>
      <c r="D46" s="315">
        <v>1.1000000000000001</v>
      </c>
      <c r="E46" s="315">
        <v>3.2</v>
      </c>
    </row>
    <row r="47" spans="1:5" ht="16.5" customHeight="1" x14ac:dyDescent="0.3">
      <c r="A47" s="313">
        <v>3</v>
      </c>
      <c r="B47" s="314">
        <v>99504397</v>
      </c>
      <c r="C47" s="314">
        <v>4007.7</v>
      </c>
      <c r="D47" s="315">
        <v>1.1000000000000001</v>
      </c>
      <c r="E47" s="315">
        <v>3.2</v>
      </c>
    </row>
    <row r="48" spans="1:5" ht="16.5" customHeight="1" x14ac:dyDescent="0.3">
      <c r="A48" s="313">
        <v>4</v>
      </c>
      <c r="B48" s="314">
        <v>99446441</v>
      </c>
      <c r="C48" s="314">
        <v>3999</v>
      </c>
      <c r="D48" s="315">
        <v>1.1000000000000001</v>
      </c>
      <c r="E48" s="315">
        <v>3.2</v>
      </c>
    </row>
    <row r="49" spans="1:7" ht="16.5" customHeight="1" x14ac:dyDescent="0.3">
      <c r="A49" s="313">
        <v>5</v>
      </c>
      <c r="B49" s="314">
        <v>99534394</v>
      </c>
      <c r="C49" s="314">
        <v>3991.7</v>
      </c>
      <c r="D49" s="315">
        <v>1.1000000000000001</v>
      </c>
      <c r="E49" s="315">
        <v>3.2</v>
      </c>
    </row>
    <row r="50" spans="1:7" ht="16.5" customHeight="1" x14ac:dyDescent="0.3">
      <c r="A50" s="313">
        <v>6</v>
      </c>
      <c r="B50" s="317">
        <v>99539801</v>
      </c>
      <c r="C50" s="317">
        <v>3964.3</v>
      </c>
      <c r="D50" s="318">
        <v>1.2</v>
      </c>
      <c r="E50" s="318">
        <v>3.2</v>
      </c>
    </row>
    <row r="51" spans="1:7" ht="16.5" customHeight="1" x14ac:dyDescent="0.3">
      <c r="A51" s="319" t="s">
        <v>18</v>
      </c>
      <c r="B51" s="320">
        <f>AVERAGE(B45:B50)</f>
        <v>99463603.833333328</v>
      </c>
      <c r="C51" s="321">
        <f>AVERAGE(C45:C50)</f>
        <v>3994.5499999999997</v>
      </c>
      <c r="D51" s="322">
        <f>AVERAGE(D45:D50)</f>
        <v>1.1166666666666667</v>
      </c>
      <c r="E51" s="322">
        <f>AVERAGE(E45:E50)</f>
        <v>3.1999999999999997</v>
      </c>
    </row>
    <row r="52" spans="1:7" ht="16.5" customHeight="1" x14ac:dyDescent="0.3">
      <c r="A52" s="323" t="s">
        <v>19</v>
      </c>
      <c r="B52" s="324">
        <f>(STDEV(B45:B50)/B51)</f>
        <v>8.9953972247631562E-4</v>
      </c>
      <c r="C52" s="325"/>
      <c r="D52" s="325"/>
      <c r="E52" s="326"/>
    </row>
    <row r="53" spans="1:7" s="301" customFormat="1" ht="16.5" customHeight="1" x14ac:dyDescent="0.3">
      <c r="A53" s="327" t="s">
        <v>20</v>
      </c>
      <c r="B53" s="328">
        <f>COUNT(B45:B50)</f>
        <v>6</v>
      </c>
      <c r="C53" s="329"/>
      <c r="D53" s="330"/>
      <c r="E53" s="331"/>
    </row>
    <row r="54" spans="1:7" s="301" customFormat="1" ht="15.75" customHeight="1" x14ac:dyDescent="0.25">
      <c r="A54" s="307"/>
      <c r="B54" s="307"/>
      <c r="C54" s="307"/>
      <c r="D54" s="307"/>
      <c r="E54" s="307"/>
    </row>
    <row r="55" spans="1:7" s="301" customFormat="1" ht="16.5" customHeight="1" x14ac:dyDescent="0.3">
      <c r="A55" s="308" t="s">
        <v>21</v>
      </c>
      <c r="B55" s="332" t="s">
        <v>125</v>
      </c>
      <c r="C55" s="333"/>
      <c r="D55" s="333"/>
      <c r="E55" s="333"/>
    </row>
    <row r="56" spans="1:7" ht="16.5" customHeight="1" x14ac:dyDescent="0.3">
      <c r="A56" s="308"/>
      <c r="B56" s="332" t="s">
        <v>126</v>
      </c>
      <c r="C56" s="333"/>
      <c r="D56" s="333"/>
      <c r="E56" s="333"/>
    </row>
    <row r="57" spans="1:7" ht="16.5" customHeight="1" x14ac:dyDescent="0.3">
      <c r="A57" s="308"/>
      <c r="B57" s="332" t="s">
        <v>127</v>
      </c>
      <c r="C57" s="333"/>
      <c r="D57" s="333"/>
      <c r="E57" s="333"/>
    </row>
    <row r="58" spans="1:7" ht="14.25" customHeight="1" thickBot="1" x14ac:dyDescent="0.3">
      <c r="A58" s="334"/>
      <c r="B58" s="335"/>
      <c r="D58" s="336"/>
      <c r="F58" s="337"/>
      <c r="G58" s="337"/>
    </row>
    <row r="59" spans="1:7" ht="15" customHeight="1" x14ac:dyDescent="0.3">
      <c r="B59" s="367" t="s">
        <v>23</v>
      </c>
      <c r="C59" s="367"/>
      <c r="E59" s="338" t="s">
        <v>24</v>
      </c>
      <c r="F59" s="339"/>
      <c r="G59" s="338" t="s">
        <v>25</v>
      </c>
    </row>
    <row r="60" spans="1:7" ht="15" customHeight="1" x14ac:dyDescent="0.3">
      <c r="A60" s="340" t="s">
        <v>26</v>
      </c>
      <c r="B60" s="341"/>
      <c r="C60" s="341"/>
      <c r="E60" s="341"/>
      <c r="G60" s="341"/>
    </row>
    <row r="61" spans="1:7" ht="15" customHeight="1" x14ac:dyDescent="0.3">
      <c r="A61" s="340" t="s">
        <v>27</v>
      </c>
      <c r="B61" s="342"/>
      <c r="C61" s="342"/>
      <c r="E61" s="342"/>
      <c r="G61" s="34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6" workbookViewId="0">
      <selection activeCell="E47" sqref="E4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71" t="s">
        <v>28</v>
      </c>
      <c r="B11" s="372"/>
      <c r="C11" s="372"/>
      <c r="D11" s="372"/>
      <c r="E11" s="372"/>
      <c r="F11" s="373"/>
      <c r="G11" s="42"/>
    </row>
    <row r="12" spans="1:7" ht="16.5" customHeight="1" x14ac:dyDescent="0.3">
      <c r="A12" s="370" t="s">
        <v>29</v>
      </c>
      <c r="B12" s="370"/>
      <c r="C12" s="370"/>
      <c r="D12" s="370"/>
      <c r="E12" s="370"/>
      <c r="F12" s="370"/>
      <c r="G12" s="41"/>
    </row>
    <row r="14" spans="1:7" ht="16.5" customHeight="1" x14ac:dyDescent="0.3">
      <c r="A14" s="375" t="s">
        <v>30</v>
      </c>
      <c r="B14" s="375"/>
      <c r="C14" s="11" t="s">
        <v>5</v>
      </c>
    </row>
    <row r="15" spans="1:7" ht="16.5" customHeight="1" x14ac:dyDescent="0.3">
      <c r="A15" s="375" t="s">
        <v>31</v>
      </c>
      <c r="B15" s="375"/>
      <c r="C15" s="11" t="s">
        <v>7</v>
      </c>
    </row>
    <row r="16" spans="1:7" ht="16.5" customHeight="1" x14ac:dyDescent="0.3">
      <c r="A16" s="375" t="s">
        <v>32</v>
      </c>
      <c r="B16" s="375"/>
      <c r="C16" s="11" t="s">
        <v>9</v>
      </c>
    </row>
    <row r="17" spans="1:5" ht="16.5" customHeight="1" x14ac:dyDescent="0.3">
      <c r="A17" s="375" t="s">
        <v>33</v>
      </c>
      <c r="B17" s="375"/>
      <c r="C17" s="11" t="s">
        <v>11</v>
      </c>
    </row>
    <row r="18" spans="1:5" ht="16.5" customHeight="1" x14ac:dyDescent="0.3">
      <c r="A18" s="375" t="s">
        <v>34</v>
      </c>
      <c r="B18" s="375"/>
      <c r="C18" s="48" t="s">
        <v>12</v>
      </c>
    </row>
    <row r="19" spans="1:5" ht="16.5" customHeight="1" x14ac:dyDescent="0.3">
      <c r="A19" s="375" t="s">
        <v>35</v>
      </c>
      <c r="B19" s="375"/>
      <c r="C19" s="48" t="e">
        <f>#REF!</f>
        <v>#REF!</v>
      </c>
    </row>
    <row r="20" spans="1:5" ht="16.5" customHeight="1" x14ac:dyDescent="0.3">
      <c r="A20" s="13"/>
      <c r="B20" s="13"/>
      <c r="C20" s="28"/>
    </row>
    <row r="21" spans="1:5" ht="16.5" customHeight="1" x14ac:dyDescent="0.3">
      <c r="A21" s="370" t="s">
        <v>1</v>
      </c>
      <c r="B21" s="370"/>
      <c r="C21" s="10" t="s">
        <v>36</v>
      </c>
      <c r="D21" s="17"/>
    </row>
    <row r="22" spans="1:5" ht="15.75" customHeight="1" x14ac:dyDescent="0.3">
      <c r="A22" s="374"/>
      <c r="B22" s="374"/>
      <c r="C22" s="8"/>
      <c r="D22" s="374"/>
      <c r="E22" s="374"/>
    </row>
    <row r="23" spans="1:5" ht="33.75" customHeight="1" x14ac:dyDescent="0.3">
      <c r="C23" s="37" t="s">
        <v>37</v>
      </c>
      <c r="D23" s="36" t="s">
        <v>38</v>
      </c>
      <c r="E23" s="3"/>
    </row>
    <row r="24" spans="1:5" ht="15.75" customHeight="1" x14ac:dyDescent="0.3">
      <c r="C24" s="46">
        <v>1123.04</v>
      </c>
      <c r="D24" s="38">
        <f t="shared" ref="D24:D43" si="0">(C24-$C$46)/$C$46</f>
        <v>-7.1464344963217408E-3</v>
      </c>
      <c r="E24" s="4"/>
    </row>
    <row r="25" spans="1:5" ht="15.75" customHeight="1" x14ac:dyDescent="0.3">
      <c r="C25" s="46">
        <v>1114.06</v>
      </c>
      <c r="D25" s="39">
        <f t="shared" si="0"/>
        <v>-1.5085443808744317E-2</v>
      </c>
      <c r="E25" s="4"/>
    </row>
    <row r="26" spans="1:5" ht="15.75" customHeight="1" x14ac:dyDescent="0.3">
      <c r="C26" s="46">
        <v>1138.22</v>
      </c>
      <c r="D26" s="39">
        <f t="shared" si="0"/>
        <v>6.2738507333636668E-3</v>
      </c>
      <c r="E26" s="4"/>
    </row>
    <row r="27" spans="1:5" ht="15.75" customHeight="1" x14ac:dyDescent="0.3">
      <c r="C27" s="46">
        <v>1131.04</v>
      </c>
      <c r="D27" s="39">
        <f t="shared" si="0"/>
        <v>-7.3820409531041953E-5</v>
      </c>
      <c r="E27" s="4"/>
    </row>
    <row r="28" spans="1:5" ht="15.75" customHeight="1" x14ac:dyDescent="0.3">
      <c r="C28" s="46">
        <v>1134.1400000000001</v>
      </c>
      <c r="D28" s="39">
        <f t="shared" si="0"/>
        <v>2.6668175491004744E-3</v>
      </c>
      <c r="E28" s="4"/>
    </row>
    <row r="29" spans="1:5" ht="15.75" customHeight="1" x14ac:dyDescent="0.3">
      <c r="C29" s="46">
        <v>1129.18</v>
      </c>
      <c r="D29" s="39">
        <f t="shared" si="0"/>
        <v>-1.718203184709791E-3</v>
      </c>
      <c r="E29" s="4"/>
    </row>
    <row r="30" spans="1:5" ht="15.75" customHeight="1" x14ac:dyDescent="0.3">
      <c r="C30" s="46">
        <v>1131.18</v>
      </c>
      <c r="D30" s="39">
        <f t="shared" si="0"/>
        <v>4.9950336987883725E-5</v>
      </c>
      <c r="E30" s="4"/>
    </row>
    <row r="31" spans="1:5" ht="15.75" customHeight="1" x14ac:dyDescent="0.3">
      <c r="C31" s="46">
        <v>1118.08</v>
      </c>
      <c r="D31" s="39">
        <f t="shared" si="0"/>
        <v>-1.1531455230132007E-2</v>
      </c>
      <c r="E31" s="4"/>
    </row>
    <row r="32" spans="1:5" ht="15.75" customHeight="1" x14ac:dyDescent="0.3">
      <c r="C32" s="46">
        <v>1129.8800000000001</v>
      </c>
      <c r="D32" s="39">
        <f t="shared" si="0"/>
        <v>-1.0993494521155647E-3</v>
      </c>
      <c r="E32" s="4"/>
    </row>
    <row r="33" spans="1:7" ht="15.75" customHeight="1" x14ac:dyDescent="0.3">
      <c r="C33" s="46">
        <v>1140.46</v>
      </c>
      <c r="D33" s="39">
        <f t="shared" si="0"/>
        <v>8.2541826776650704E-3</v>
      </c>
      <c r="E33" s="4"/>
    </row>
    <row r="34" spans="1:7" ht="15.75" customHeight="1" x14ac:dyDescent="0.3">
      <c r="C34" s="46">
        <v>1137.19</v>
      </c>
      <c r="D34" s="39">
        <f t="shared" si="0"/>
        <v>5.3632516696893884E-3</v>
      </c>
      <c r="E34" s="4"/>
    </row>
    <row r="35" spans="1:7" ht="15.75" customHeight="1" x14ac:dyDescent="0.3">
      <c r="C35" s="46">
        <v>1123.28</v>
      </c>
      <c r="D35" s="39">
        <f t="shared" si="0"/>
        <v>-6.9342560737180115E-3</v>
      </c>
      <c r="E35" s="4"/>
    </row>
    <row r="36" spans="1:7" ht="15.75" customHeight="1" x14ac:dyDescent="0.3">
      <c r="C36" s="46">
        <v>1146.28</v>
      </c>
      <c r="D36" s="39">
        <f t="shared" si="0"/>
        <v>1.3399509425805247E-2</v>
      </c>
      <c r="E36" s="4"/>
    </row>
    <row r="37" spans="1:7" ht="15.75" customHeight="1" x14ac:dyDescent="0.3">
      <c r="C37" s="46">
        <v>1155.44</v>
      </c>
      <c r="D37" s="39">
        <f t="shared" si="0"/>
        <v>2.1497652555180671E-2</v>
      </c>
      <c r="E37" s="4"/>
    </row>
    <row r="38" spans="1:7" ht="15.75" customHeight="1" x14ac:dyDescent="0.3">
      <c r="C38" s="46">
        <v>1130.1099999999999</v>
      </c>
      <c r="D38" s="39">
        <f t="shared" si="0"/>
        <v>-8.96011797120517E-4</v>
      </c>
      <c r="E38" s="4"/>
    </row>
    <row r="39" spans="1:7" ht="15.75" customHeight="1" x14ac:dyDescent="0.3">
      <c r="C39" s="46">
        <v>1122.1600000000001</v>
      </c>
      <c r="D39" s="39">
        <f t="shared" si="0"/>
        <v>-7.9244220458686131E-3</v>
      </c>
      <c r="E39" s="4"/>
    </row>
    <row r="40" spans="1:7" ht="15.75" customHeight="1" x14ac:dyDescent="0.3">
      <c r="C40" s="46">
        <v>1140.8</v>
      </c>
      <c r="D40" s="39">
        <f t="shared" si="0"/>
        <v>8.554768776353602E-3</v>
      </c>
      <c r="E40" s="4"/>
    </row>
    <row r="41" spans="1:7" ht="15.75" customHeight="1" x14ac:dyDescent="0.3">
      <c r="C41" s="46">
        <v>1114.53</v>
      </c>
      <c r="D41" s="39">
        <f t="shared" si="0"/>
        <v>-1.4669927731145338E-2</v>
      </c>
      <c r="E41" s="4"/>
    </row>
    <row r="42" spans="1:7" ht="15.75" customHeight="1" x14ac:dyDescent="0.3">
      <c r="C42" s="46">
        <v>1145.22</v>
      </c>
      <c r="D42" s="39">
        <f t="shared" si="0"/>
        <v>1.2462388059305527E-2</v>
      </c>
      <c r="E42" s="4"/>
    </row>
    <row r="43" spans="1:7" ht="16.5" customHeight="1" x14ac:dyDescent="0.3">
      <c r="C43" s="47">
        <v>1118.18</v>
      </c>
      <c r="D43" s="40">
        <f t="shared" si="0"/>
        <v>-1.1443047554047002E-2</v>
      </c>
      <c r="E43" s="4"/>
    </row>
    <row r="44" spans="1:7" ht="16.5" customHeight="1" x14ac:dyDescent="0.3">
      <c r="C44" s="5"/>
      <c r="D44" s="4"/>
      <c r="E44" s="6"/>
    </row>
    <row r="45" spans="1:7" ht="16.5" customHeight="1" x14ac:dyDescent="0.3">
      <c r="B45" s="33" t="s">
        <v>39</v>
      </c>
      <c r="C45" s="34">
        <f>SUM(C24:C44)</f>
        <v>22622.47</v>
      </c>
      <c r="D45" s="29"/>
      <c r="E45" s="5"/>
    </row>
    <row r="46" spans="1:7" ht="17.25" customHeight="1" x14ac:dyDescent="0.3">
      <c r="B46" s="33" t="s">
        <v>40</v>
      </c>
      <c r="C46" s="35">
        <f>AVERAGE(C24:C44)</f>
        <v>1131.1235000000001</v>
      </c>
      <c r="E46" s="7"/>
    </row>
    <row r="47" spans="1:7" ht="17.25" customHeight="1" x14ac:dyDescent="0.3">
      <c r="A47" s="11"/>
      <c r="B47" s="30"/>
      <c r="D47" s="9"/>
      <c r="E47" s="7"/>
    </row>
    <row r="48" spans="1:7" ht="33.75" customHeight="1" x14ac:dyDescent="0.3">
      <c r="B48" s="43" t="s">
        <v>40</v>
      </c>
      <c r="C48" s="36" t="s">
        <v>41</v>
      </c>
      <c r="D48" s="31"/>
      <c r="G48" s="9"/>
    </row>
    <row r="49" spans="1:6" ht="17.25" customHeight="1" x14ac:dyDescent="0.3">
      <c r="B49" s="368">
        <f>C46</f>
        <v>1131.1235000000001</v>
      </c>
      <c r="C49" s="44">
        <f>-IF(C46&lt;=80,10%,IF(C46&lt;250,7.5%,5%))</f>
        <v>-0.05</v>
      </c>
      <c r="D49" s="32">
        <f>IF(C46&lt;=80,C46*0.9,IF(C46&lt;250,C46*0.925,C46*0.95))</f>
        <v>1074.567325</v>
      </c>
    </row>
    <row r="50" spans="1:6" ht="17.25" customHeight="1" x14ac:dyDescent="0.3">
      <c r="B50" s="369"/>
      <c r="C50" s="45">
        <f>IF(C46&lt;=80, 10%, IF(C46&lt;250, 7.5%, 5%))</f>
        <v>0.05</v>
      </c>
      <c r="D50" s="32">
        <f>IF(C46&lt;=80, C46*1.1, IF(C46&lt;250, C46*1.075, C46*1.05))</f>
        <v>1187.6796750000003</v>
      </c>
    </row>
    <row r="51" spans="1:6" ht="16.5" customHeight="1" x14ac:dyDescent="0.3">
      <c r="A51" s="14"/>
      <c r="B51" s="15"/>
      <c r="C51" s="11"/>
      <c r="D51" s="16"/>
      <c r="E51" s="11"/>
      <c r="F51" s="17"/>
    </row>
    <row r="52" spans="1:6" ht="16.5" customHeight="1" x14ac:dyDescent="0.3">
      <c r="A52" s="11"/>
      <c r="B52" s="18" t="s">
        <v>23</v>
      </c>
      <c r="C52" s="18"/>
      <c r="D52" s="19" t="s">
        <v>24</v>
      </c>
      <c r="E52" s="20"/>
      <c r="F52" s="19" t="s">
        <v>25</v>
      </c>
    </row>
    <row r="53" spans="1:6" ht="34.5" customHeight="1" x14ac:dyDescent="0.3">
      <c r="A53" s="21" t="s">
        <v>26</v>
      </c>
      <c r="B53" s="22"/>
      <c r="C53" s="23"/>
      <c r="D53" s="22"/>
      <c r="E53" s="12"/>
      <c r="F53" s="24"/>
    </row>
    <row r="54" spans="1:6" ht="34.5" customHeight="1" x14ac:dyDescent="0.3">
      <c r="A54" s="21" t="s">
        <v>27</v>
      </c>
      <c r="B54" s="25"/>
      <c r="C54" s="26"/>
      <c r="D54" s="25"/>
      <c r="E54" s="12"/>
      <c r="F54" s="27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9" zoomScale="40" zoomScaleNormal="40" zoomScaleSheetLayoutView="40" zoomScalePageLayoutView="50" workbookViewId="0">
      <selection activeCell="N97" sqref="N97"/>
    </sheetView>
  </sheetViews>
  <sheetFormatPr defaultColWidth="9.140625" defaultRowHeight="13.5" x14ac:dyDescent="0.25"/>
  <cols>
    <col min="1" max="1" width="55.42578125" style="156" customWidth="1"/>
    <col min="2" max="2" width="33.7109375" style="156" customWidth="1"/>
    <col min="3" max="3" width="42.28515625" style="156" customWidth="1"/>
    <col min="4" max="4" width="30.5703125" style="156" customWidth="1"/>
    <col min="5" max="5" width="39.85546875" style="156" customWidth="1"/>
    <col min="6" max="6" width="30.7109375" style="156" customWidth="1"/>
    <col min="7" max="7" width="39.85546875" style="156" customWidth="1"/>
    <col min="8" max="8" width="30" style="156" customWidth="1"/>
    <col min="9" max="9" width="30.28515625" style="156" hidden="1" customWidth="1"/>
    <col min="10" max="10" width="30.42578125" style="156" customWidth="1"/>
    <col min="11" max="11" width="21.28515625" style="156" customWidth="1"/>
    <col min="12" max="12" width="9.140625" style="156"/>
  </cols>
  <sheetData>
    <row r="1" spans="1:9" ht="18.75" customHeight="1" x14ac:dyDescent="0.25">
      <c r="A1" s="379" t="s">
        <v>42</v>
      </c>
      <c r="B1" s="379"/>
      <c r="C1" s="379"/>
      <c r="D1" s="379"/>
      <c r="E1" s="379"/>
      <c r="F1" s="379"/>
      <c r="G1" s="379"/>
      <c r="H1" s="379"/>
      <c r="I1" s="379"/>
    </row>
    <row r="2" spans="1:9" ht="18.75" customHeight="1" x14ac:dyDescent="0.25">
      <c r="A2" s="379"/>
      <c r="B2" s="379"/>
      <c r="C2" s="379"/>
      <c r="D2" s="379"/>
      <c r="E2" s="379"/>
      <c r="F2" s="379"/>
      <c r="G2" s="379"/>
      <c r="H2" s="379"/>
      <c r="I2" s="379"/>
    </row>
    <row r="3" spans="1:9" ht="18.75" customHeight="1" x14ac:dyDescent="0.25">
      <c r="A3" s="379"/>
      <c r="B3" s="379"/>
      <c r="C3" s="379"/>
      <c r="D3" s="379"/>
      <c r="E3" s="379"/>
      <c r="F3" s="379"/>
      <c r="G3" s="379"/>
      <c r="H3" s="379"/>
      <c r="I3" s="379"/>
    </row>
    <row r="4" spans="1:9" ht="18.75" customHeight="1" x14ac:dyDescent="0.25">
      <c r="A4" s="379"/>
      <c r="B4" s="379"/>
      <c r="C4" s="379"/>
      <c r="D4" s="379"/>
      <c r="E4" s="379"/>
      <c r="F4" s="379"/>
      <c r="G4" s="379"/>
      <c r="H4" s="379"/>
      <c r="I4" s="379"/>
    </row>
    <row r="5" spans="1:9" ht="18.75" customHeight="1" x14ac:dyDescent="0.25">
      <c r="A5" s="379"/>
      <c r="B5" s="379"/>
      <c r="C5" s="379"/>
      <c r="D5" s="379"/>
      <c r="E5" s="379"/>
      <c r="F5" s="379"/>
      <c r="G5" s="379"/>
      <c r="H5" s="379"/>
      <c r="I5" s="379"/>
    </row>
    <row r="6" spans="1:9" ht="18.75" customHeight="1" x14ac:dyDescent="0.25">
      <c r="A6" s="379"/>
      <c r="B6" s="379"/>
      <c r="C6" s="379"/>
      <c r="D6" s="379"/>
      <c r="E6" s="379"/>
      <c r="F6" s="379"/>
      <c r="G6" s="379"/>
      <c r="H6" s="379"/>
      <c r="I6" s="379"/>
    </row>
    <row r="7" spans="1:9" ht="18.75" customHeight="1" x14ac:dyDescent="0.25">
      <c r="A7" s="379"/>
      <c r="B7" s="379"/>
      <c r="C7" s="379"/>
      <c r="D7" s="379"/>
      <c r="E7" s="379"/>
      <c r="F7" s="379"/>
      <c r="G7" s="379"/>
      <c r="H7" s="379"/>
      <c r="I7" s="379"/>
    </row>
    <row r="8" spans="1:9" x14ac:dyDescent="0.25">
      <c r="A8" s="380" t="s">
        <v>43</v>
      </c>
      <c r="B8" s="380"/>
      <c r="C8" s="380"/>
      <c r="D8" s="380"/>
      <c r="E8" s="380"/>
      <c r="F8" s="380"/>
      <c r="G8" s="380"/>
      <c r="H8" s="380"/>
      <c r="I8" s="380"/>
    </row>
    <row r="9" spans="1:9" x14ac:dyDescent="0.25">
      <c r="A9" s="380"/>
      <c r="B9" s="380"/>
      <c r="C9" s="380"/>
      <c r="D9" s="380"/>
      <c r="E9" s="380"/>
      <c r="F9" s="380"/>
      <c r="G9" s="380"/>
      <c r="H9" s="380"/>
      <c r="I9" s="380"/>
    </row>
    <row r="10" spans="1:9" x14ac:dyDescent="0.25">
      <c r="A10" s="380"/>
      <c r="B10" s="380"/>
      <c r="C10" s="380"/>
      <c r="D10" s="380"/>
      <c r="E10" s="380"/>
      <c r="F10" s="380"/>
      <c r="G10" s="380"/>
      <c r="H10" s="380"/>
      <c r="I10" s="380"/>
    </row>
    <row r="11" spans="1:9" x14ac:dyDescent="0.25">
      <c r="A11" s="380"/>
      <c r="B11" s="380"/>
      <c r="C11" s="380"/>
      <c r="D11" s="380"/>
      <c r="E11" s="380"/>
      <c r="F11" s="380"/>
      <c r="G11" s="380"/>
      <c r="H11" s="380"/>
      <c r="I11" s="380"/>
    </row>
    <row r="12" spans="1:9" x14ac:dyDescent="0.25">
      <c r="A12" s="380"/>
      <c r="B12" s="380"/>
      <c r="C12" s="380"/>
      <c r="D12" s="380"/>
      <c r="E12" s="380"/>
      <c r="F12" s="380"/>
      <c r="G12" s="380"/>
      <c r="H12" s="380"/>
      <c r="I12" s="380"/>
    </row>
    <row r="13" spans="1:9" x14ac:dyDescent="0.25">
      <c r="A13" s="380"/>
      <c r="B13" s="380"/>
      <c r="C13" s="380"/>
      <c r="D13" s="380"/>
      <c r="E13" s="380"/>
      <c r="F13" s="380"/>
      <c r="G13" s="380"/>
      <c r="H13" s="380"/>
      <c r="I13" s="380"/>
    </row>
    <row r="14" spans="1:9" x14ac:dyDescent="0.25">
      <c r="A14" s="380"/>
      <c r="B14" s="380"/>
      <c r="C14" s="380"/>
      <c r="D14" s="380"/>
      <c r="E14" s="380"/>
      <c r="F14" s="380"/>
      <c r="G14" s="380"/>
      <c r="H14" s="380"/>
      <c r="I14" s="380"/>
    </row>
    <row r="15" spans="1:9" ht="19.5" customHeight="1" thickBot="1" x14ac:dyDescent="0.35">
      <c r="A15" s="139"/>
    </row>
    <row r="16" spans="1:9" ht="19.5" customHeight="1" thickBot="1" x14ac:dyDescent="0.35">
      <c r="A16" s="381" t="s">
        <v>28</v>
      </c>
      <c r="B16" s="382"/>
      <c r="C16" s="382"/>
      <c r="D16" s="382"/>
      <c r="E16" s="382"/>
      <c r="F16" s="382"/>
      <c r="G16" s="382"/>
      <c r="H16" s="383"/>
    </row>
    <row r="17" spans="1:14" ht="20.25" customHeight="1" x14ac:dyDescent="0.25">
      <c r="A17" s="384" t="s">
        <v>44</v>
      </c>
      <c r="B17" s="384"/>
      <c r="C17" s="384"/>
      <c r="D17" s="384"/>
      <c r="E17" s="384"/>
      <c r="F17" s="384"/>
      <c r="G17" s="384"/>
      <c r="H17" s="384"/>
    </row>
    <row r="18" spans="1:14" ht="26.25" customHeight="1" x14ac:dyDescent="0.4">
      <c r="A18" s="49" t="s">
        <v>30</v>
      </c>
      <c r="B18" s="385" t="s">
        <v>5</v>
      </c>
      <c r="C18" s="385"/>
      <c r="D18" s="192"/>
      <c r="E18" s="50"/>
      <c r="F18" s="205"/>
      <c r="G18" s="205"/>
      <c r="H18" s="205"/>
    </row>
    <row r="19" spans="1:14" ht="26.25" customHeight="1" x14ac:dyDescent="0.4">
      <c r="A19" s="49" t="s">
        <v>31</v>
      </c>
      <c r="B19" s="206" t="s">
        <v>7</v>
      </c>
      <c r="C19" s="205">
        <v>29</v>
      </c>
      <c r="D19" s="205"/>
      <c r="E19" s="205"/>
      <c r="F19" s="205"/>
      <c r="G19" s="205"/>
      <c r="H19" s="205"/>
    </row>
    <row r="20" spans="1:14" ht="26.25" customHeight="1" x14ac:dyDescent="0.4">
      <c r="A20" s="49" t="s">
        <v>32</v>
      </c>
      <c r="B20" s="386" t="s">
        <v>9</v>
      </c>
      <c r="C20" s="386"/>
      <c r="D20" s="205"/>
      <c r="E20" s="205"/>
      <c r="F20" s="205"/>
      <c r="G20" s="205"/>
      <c r="H20" s="205"/>
    </row>
    <row r="21" spans="1:14" ht="26.25" customHeight="1" x14ac:dyDescent="0.4">
      <c r="A21" s="49" t="s">
        <v>33</v>
      </c>
      <c r="B21" s="386" t="s">
        <v>11</v>
      </c>
      <c r="C21" s="386"/>
      <c r="D21" s="386"/>
      <c r="E21" s="386"/>
      <c r="F21" s="386"/>
      <c r="G21" s="386"/>
      <c r="H21" s="386"/>
      <c r="I21" s="51"/>
    </row>
    <row r="22" spans="1:14" ht="26.25" customHeight="1" x14ac:dyDescent="0.4">
      <c r="A22" s="49" t="s">
        <v>34</v>
      </c>
      <c r="B22" s="52" t="s">
        <v>12</v>
      </c>
      <c r="C22" s="205"/>
      <c r="D22" s="205"/>
      <c r="E22" s="205"/>
      <c r="F22" s="205"/>
      <c r="G22" s="205"/>
      <c r="H22" s="205"/>
    </row>
    <row r="23" spans="1:14" ht="26.25" customHeight="1" x14ac:dyDescent="0.4">
      <c r="A23" s="49" t="s">
        <v>35</v>
      </c>
      <c r="B23" s="52"/>
      <c r="C23" s="205"/>
      <c r="D23" s="205"/>
      <c r="E23" s="205"/>
      <c r="F23" s="205"/>
      <c r="G23" s="205"/>
      <c r="H23" s="205"/>
    </row>
    <row r="24" spans="1:14" ht="18.75" x14ac:dyDescent="0.3">
      <c r="A24" s="49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187" t="s">
        <v>4</v>
      </c>
      <c r="B26" s="385" t="s">
        <v>122</v>
      </c>
      <c r="C26" s="385"/>
    </row>
    <row r="27" spans="1:14" ht="26.25" customHeight="1" x14ac:dyDescent="0.4">
      <c r="A27" s="145" t="s">
        <v>45</v>
      </c>
      <c r="B27" s="387"/>
      <c r="C27" s="387"/>
    </row>
    <row r="28" spans="1:14" ht="27" customHeight="1" thickBot="1" x14ac:dyDescent="0.45">
      <c r="A28" s="145" t="s">
        <v>6</v>
      </c>
      <c r="B28" s="141">
        <v>84.06</v>
      </c>
    </row>
    <row r="29" spans="1:14" s="2" customFormat="1" ht="27" customHeight="1" thickBot="1" x14ac:dyDescent="0.45">
      <c r="A29" s="145" t="s">
        <v>46</v>
      </c>
      <c r="B29" s="55"/>
      <c r="C29" s="388" t="s">
        <v>47</v>
      </c>
      <c r="D29" s="389"/>
      <c r="E29" s="389"/>
      <c r="F29" s="389"/>
      <c r="G29" s="390"/>
      <c r="I29" s="56"/>
      <c r="J29" s="56"/>
      <c r="K29" s="56"/>
      <c r="L29" s="56"/>
    </row>
    <row r="30" spans="1:14" s="2" customFormat="1" ht="19.5" customHeight="1" thickBot="1" x14ac:dyDescent="0.35">
      <c r="A30" s="145" t="s">
        <v>48</v>
      </c>
      <c r="B30" s="209">
        <f>B28-B29</f>
        <v>84.06</v>
      </c>
      <c r="C30" s="57"/>
      <c r="D30" s="57"/>
      <c r="E30" s="57"/>
      <c r="F30" s="57"/>
      <c r="G30" s="58"/>
      <c r="I30" s="56"/>
      <c r="J30" s="56"/>
      <c r="K30" s="56"/>
      <c r="L30" s="56"/>
    </row>
    <row r="31" spans="1:14" s="2" customFormat="1" ht="27" customHeight="1" thickBot="1" x14ac:dyDescent="0.45">
      <c r="A31" s="145" t="s">
        <v>49</v>
      </c>
      <c r="B31" s="59">
        <v>1</v>
      </c>
      <c r="C31" s="376" t="s">
        <v>50</v>
      </c>
      <c r="D31" s="377"/>
      <c r="E31" s="377"/>
      <c r="F31" s="377"/>
      <c r="G31" s="377"/>
      <c r="H31" s="378"/>
      <c r="I31" s="56"/>
      <c r="J31" s="56"/>
      <c r="K31" s="56"/>
      <c r="L31" s="56"/>
    </row>
    <row r="32" spans="1:14" s="2" customFormat="1" ht="27" customHeight="1" thickBot="1" x14ac:dyDescent="0.45">
      <c r="A32" s="145" t="s">
        <v>51</v>
      </c>
      <c r="B32" s="59">
        <v>1</v>
      </c>
      <c r="C32" s="376" t="s">
        <v>52</v>
      </c>
      <c r="D32" s="377"/>
      <c r="E32" s="377"/>
      <c r="F32" s="377"/>
      <c r="G32" s="377"/>
      <c r="H32" s="378"/>
      <c r="I32" s="56"/>
      <c r="J32" s="56"/>
      <c r="K32" s="56"/>
      <c r="L32" s="60"/>
      <c r="M32" s="60"/>
      <c r="N32" s="61"/>
    </row>
    <row r="33" spans="1:14" s="2" customFormat="1" ht="17.25" customHeight="1" x14ac:dyDescent="0.3">
      <c r="A33" s="145"/>
      <c r="B33" s="62"/>
      <c r="C33" s="63"/>
      <c r="D33" s="63"/>
      <c r="E33" s="63"/>
      <c r="F33" s="63"/>
      <c r="G33" s="63"/>
      <c r="H33" s="63"/>
      <c r="I33" s="56"/>
      <c r="J33" s="56"/>
      <c r="K33" s="56"/>
      <c r="L33" s="60"/>
      <c r="M33" s="60"/>
      <c r="N33" s="61"/>
    </row>
    <row r="34" spans="1:14" s="2" customFormat="1" ht="18.75" x14ac:dyDescent="0.3">
      <c r="A34" s="145" t="s">
        <v>53</v>
      </c>
      <c r="B34" s="64">
        <f>B31/B32</f>
        <v>1</v>
      </c>
      <c r="C34" s="139" t="s">
        <v>54</v>
      </c>
      <c r="D34" s="139"/>
      <c r="E34" s="139"/>
      <c r="F34" s="139"/>
      <c r="G34" s="139"/>
      <c r="I34" s="56"/>
      <c r="J34" s="56"/>
      <c r="K34" s="56"/>
      <c r="L34" s="60"/>
      <c r="M34" s="60"/>
      <c r="N34" s="61"/>
    </row>
    <row r="35" spans="1:14" s="2" customFormat="1" ht="19.5" customHeight="1" thickBot="1" x14ac:dyDescent="0.35">
      <c r="A35" s="145"/>
      <c r="B35" s="209"/>
      <c r="G35" s="139"/>
      <c r="I35" s="56"/>
      <c r="J35" s="56"/>
      <c r="K35" s="56"/>
      <c r="L35" s="60"/>
      <c r="M35" s="60"/>
      <c r="N35" s="61"/>
    </row>
    <row r="36" spans="1:14" s="2" customFormat="1" ht="27" customHeight="1" thickBot="1" x14ac:dyDescent="0.45">
      <c r="A36" s="65" t="s">
        <v>55</v>
      </c>
      <c r="B36" s="66">
        <v>20</v>
      </c>
      <c r="C36" s="139"/>
      <c r="D36" s="396" t="s">
        <v>56</v>
      </c>
      <c r="E36" s="397"/>
      <c r="F36" s="396" t="s">
        <v>57</v>
      </c>
      <c r="G36" s="398"/>
      <c r="J36" s="56"/>
      <c r="K36" s="56"/>
      <c r="L36" s="60"/>
      <c r="M36" s="60"/>
      <c r="N36" s="61"/>
    </row>
    <row r="37" spans="1:14" s="2" customFormat="1" ht="27" customHeight="1" thickBot="1" x14ac:dyDescent="0.45">
      <c r="A37" s="67" t="s">
        <v>58</v>
      </c>
      <c r="B37" s="68">
        <v>4</v>
      </c>
      <c r="C37" s="69" t="s">
        <v>59</v>
      </c>
      <c r="D37" s="70" t="s">
        <v>60</v>
      </c>
      <c r="E37" s="71" t="s">
        <v>61</v>
      </c>
      <c r="F37" s="70" t="s">
        <v>60</v>
      </c>
      <c r="G37" s="72" t="s">
        <v>61</v>
      </c>
      <c r="I37" s="73" t="s">
        <v>62</v>
      </c>
      <c r="J37" s="56"/>
      <c r="K37" s="56"/>
      <c r="L37" s="60"/>
      <c r="M37" s="60"/>
      <c r="N37" s="61"/>
    </row>
    <row r="38" spans="1:14" s="2" customFormat="1" ht="26.25" customHeight="1" x14ac:dyDescent="0.4">
      <c r="A38" s="67" t="s">
        <v>63</v>
      </c>
      <c r="B38" s="68">
        <v>20</v>
      </c>
      <c r="C38" s="74">
        <v>1</v>
      </c>
      <c r="D38" s="75">
        <v>115942040</v>
      </c>
      <c r="E38" s="76">
        <f>IF(ISBLANK(D38),"-",$D$48/$D$45*D38)</f>
        <v>18353655.129268784</v>
      </c>
      <c r="F38" s="75">
        <v>100670575</v>
      </c>
      <c r="G38" s="77">
        <f>IF(ISBLANK(F38),"-",$D$48/$F$45*F38)</f>
        <v>18410511.835640259</v>
      </c>
      <c r="I38" s="78"/>
      <c r="J38" s="56"/>
      <c r="K38" s="56"/>
      <c r="L38" s="60"/>
      <c r="M38" s="60"/>
      <c r="N38" s="61"/>
    </row>
    <row r="39" spans="1:14" s="2" customFormat="1" ht="26.25" customHeight="1" x14ac:dyDescent="0.4">
      <c r="A39" s="67" t="s">
        <v>64</v>
      </c>
      <c r="B39" s="68">
        <v>1</v>
      </c>
      <c r="C39" s="96">
        <v>2</v>
      </c>
      <c r="D39" s="79">
        <v>115884130</v>
      </c>
      <c r="E39" s="80">
        <f>IF(ISBLANK(D39),"-",$D$48/$D$45*D39)</f>
        <v>18344487.96118604</v>
      </c>
      <c r="F39" s="79">
        <v>100465863</v>
      </c>
      <c r="G39" s="81">
        <f>IF(ISBLANK(F39),"-",$D$48/$F$45*F39)</f>
        <v>18373074.355036836</v>
      </c>
      <c r="I39" s="399">
        <f>ABS((F43/D43*D42)-F42)/D42</f>
        <v>1.4195115482365398E-3</v>
      </c>
      <c r="J39" s="56"/>
      <c r="K39" s="56"/>
      <c r="L39" s="60"/>
      <c r="M39" s="60"/>
      <c r="N39" s="61"/>
    </row>
    <row r="40" spans="1:14" ht="26.25" customHeight="1" x14ac:dyDescent="0.4">
      <c r="A40" s="67" t="s">
        <v>65</v>
      </c>
      <c r="B40" s="68">
        <v>1</v>
      </c>
      <c r="C40" s="96">
        <v>3</v>
      </c>
      <c r="D40" s="79">
        <v>115923285</v>
      </c>
      <c r="E40" s="80">
        <f>IF(ISBLANK(D40),"-",$D$48/$D$45*D40)</f>
        <v>18350686.207884017</v>
      </c>
      <c r="F40" s="79">
        <v>100369865</v>
      </c>
      <c r="G40" s="81">
        <f>IF(ISBLANK(F40),"-",$D$48/$F$45*F40)</f>
        <v>18355518.358011909</v>
      </c>
      <c r="I40" s="399"/>
      <c r="L40" s="60"/>
      <c r="M40" s="60"/>
      <c r="N40" s="139"/>
    </row>
    <row r="41" spans="1:14" ht="27" customHeight="1" thickBot="1" x14ac:dyDescent="0.45">
      <c r="A41" s="67" t="s">
        <v>66</v>
      </c>
      <c r="B41" s="68">
        <v>1</v>
      </c>
      <c r="C41" s="82">
        <v>4</v>
      </c>
      <c r="D41" s="83"/>
      <c r="E41" s="84" t="str">
        <f>IF(ISBLANK(D41),"-",$D$48/$D$45*D41)</f>
        <v>-</v>
      </c>
      <c r="F41" s="83"/>
      <c r="G41" s="85" t="str">
        <f>IF(ISBLANK(F41),"-",$D$48/$F$45*F41)</f>
        <v>-</v>
      </c>
      <c r="I41" s="86"/>
      <c r="L41" s="60"/>
      <c r="M41" s="60"/>
      <c r="N41" s="139"/>
    </row>
    <row r="42" spans="1:14" ht="27" customHeight="1" thickBot="1" x14ac:dyDescent="0.45">
      <c r="A42" s="67" t="s">
        <v>67</v>
      </c>
      <c r="B42" s="68">
        <v>1</v>
      </c>
      <c r="C42" s="87" t="s">
        <v>68</v>
      </c>
      <c r="D42" s="88">
        <f>AVERAGE(D38:D41)</f>
        <v>115916485</v>
      </c>
      <c r="E42" s="89">
        <f>AVERAGE(E38:E41)</f>
        <v>18349609.76611295</v>
      </c>
      <c r="F42" s="88">
        <f>AVERAGE(F38:F41)</f>
        <v>100502101</v>
      </c>
      <c r="G42" s="90">
        <f>AVERAGE(G38:G41)</f>
        <v>18379701.516229667</v>
      </c>
      <c r="H42" s="91"/>
    </row>
    <row r="43" spans="1:14" ht="26.25" customHeight="1" x14ac:dyDescent="0.4">
      <c r="A43" s="67" t="s">
        <v>69</v>
      </c>
      <c r="B43" s="68">
        <v>1</v>
      </c>
      <c r="C43" s="92" t="s">
        <v>70</v>
      </c>
      <c r="D43" s="93">
        <v>15.03</v>
      </c>
      <c r="E43" s="139"/>
      <c r="F43" s="93">
        <v>13.01</v>
      </c>
      <c r="H43" s="91"/>
    </row>
    <row r="44" spans="1:14" ht="26.25" customHeight="1" x14ac:dyDescent="0.4">
      <c r="A44" s="67" t="s">
        <v>71</v>
      </c>
      <c r="B44" s="68">
        <v>1</v>
      </c>
      <c r="C44" s="94" t="s">
        <v>72</v>
      </c>
      <c r="D44" s="95">
        <f>D43*$B$34</f>
        <v>15.03</v>
      </c>
      <c r="E44" s="153"/>
      <c r="F44" s="95">
        <f>F43*$B$34</f>
        <v>13.01</v>
      </c>
      <c r="H44" s="91"/>
    </row>
    <row r="45" spans="1:14" ht="19.5" customHeight="1" thickBot="1" x14ac:dyDescent="0.35">
      <c r="A45" s="67" t="s">
        <v>73</v>
      </c>
      <c r="B45" s="96">
        <f>(B44/B43)*(B42/B41)*(B40/B39)*(B38/B37)*B36</f>
        <v>100</v>
      </c>
      <c r="C45" s="94" t="s">
        <v>74</v>
      </c>
      <c r="D45" s="97">
        <f>D44*$B$30/100</f>
        <v>12.634218000000001</v>
      </c>
      <c r="E45" s="136"/>
      <c r="F45" s="97">
        <f>F44*$B$30/100</f>
        <v>10.936206</v>
      </c>
      <c r="H45" s="91"/>
    </row>
    <row r="46" spans="1:14" ht="19.5" customHeight="1" thickBot="1" x14ac:dyDescent="0.35">
      <c r="A46" s="400" t="s">
        <v>75</v>
      </c>
      <c r="B46" s="401"/>
      <c r="C46" s="94" t="s">
        <v>76</v>
      </c>
      <c r="D46" s="98">
        <f>D45/$B$45</f>
        <v>0.12634218</v>
      </c>
      <c r="E46" s="99"/>
      <c r="F46" s="100">
        <f>F45/$B$45</f>
        <v>0.10936206</v>
      </c>
      <c r="H46" s="91"/>
    </row>
    <row r="47" spans="1:14" ht="27" customHeight="1" thickBot="1" x14ac:dyDescent="0.45">
      <c r="A47" s="402"/>
      <c r="B47" s="403"/>
      <c r="C47" s="101" t="s">
        <v>77</v>
      </c>
      <c r="D47" s="102">
        <v>0.02</v>
      </c>
      <c r="E47" s="103"/>
      <c r="F47" s="99"/>
      <c r="H47" s="91"/>
    </row>
    <row r="48" spans="1:14" ht="18.75" x14ac:dyDescent="0.3">
      <c r="C48" s="104" t="s">
        <v>78</v>
      </c>
      <c r="D48" s="97">
        <f>D47*$B$45</f>
        <v>2</v>
      </c>
      <c r="F48" s="105"/>
      <c r="H48" s="91"/>
    </row>
    <row r="49" spans="1:12" ht="19.5" customHeight="1" thickBot="1" x14ac:dyDescent="0.35">
      <c r="C49" s="106" t="s">
        <v>79</v>
      </c>
      <c r="D49" s="107">
        <f>D48/B34</f>
        <v>2</v>
      </c>
      <c r="F49" s="105"/>
      <c r="H49" s="91"/>
    </row>
    <row r="50" spans="1:12" ht="18.75" x14ac:dyDescent="0.3">
      <c r="C50" s="65" t="s">
        <v>80</v>
      </c>
      <c r="D50" s="108">
        <f>AVERAGE(E38:E41,G38:G41)</f>
        <v>18364655.64117131</v>
      </c>
      <c r="F50" s="109"/>
      <c r="H50" s="91"/>
    </row>
    <row r="51" spans="1:12" ht="18.75" x14ac:dyDescent="0.3">
      <c r="C51" s="67" t="s">
        <v>81</v>
      </c>
      <c r="D51" s="110">
        <f>STDEV(E38:E41,G38:G41)/D50</f>
        <v>1.3293635245422448E-3</v>
      </c>
      <c r="F51" s="109"/>
      <c r="H51" s="91"/>
    </row>
    <row r="52" spans="1:12" ht="19.5" customHeight="1" thickBot="1" x14ac:dyDescent="0.35">
      <c r="C52" s="111" t="s">
        <v>20</v>
      </c>
      <c r="D52" s="112">
        <f>COUNT(E38:E41,G38:G41)</f>
        <v>6</v>
      </c>
      <c r="F52" s="109"/>
    </row>
    <row r="54" spans="1:12" ht="18.75" x14ac:dyDescent="0.3">
      <c r="A54" s="113" t="s">
        <v>1</v>
      </c>
      <c r="B54" s="114" t="s">
        <v>82</v>
      </c>
    </row>
    <row r="55" spans="1:12" ht="18.75" x14ac:dyDescent="0.3">
      <c r="A55" s="139" t="s">
        <v>83</v>
      </c>
      <c r="B55" s="115" t="str">
        <f>B21</f>
        <v xml:space="preserve">Lamivudine 150mg + Zidovudine 300mg + Nevirapine 200mg </v>
      </c>
    </row>
    <row r="56" spans="1:12" ht="26.25" customHeight="1" x14ac:dyDescent="0.4">
      <c r="A56" s="115" t="s">
        <v>84</v>
      </c>
      <c r="B56" s="116">
        <v>150</v>
      </c>
      <c r="C56" s="139" t="str">
        <f>B20</f>
        <v>Lamivudine     Nevirapine and Zidovudine</v>
      </c>
      <c r="H56" s="153"/>
    </row>
    <row r="57" spans="1:12" ht="18.75" x14ac:dyDescent="0.3">
      <c r="A57" s="115" t="s">
        <v>85</v>
      </c>
      <c r="B57" s="193">
        <f>Uniformity!C46</f>
        <v>1131.1235000000001</v>
      </c>
      <c r="H57" s="153"/>
    </row>
    <row r="58" spans="1:12" ht="19.5" customHeight="1" thickBot="1" x14ac:dyDescent="0.35">
      <c r="H58" s="153"/>
    </row>
    <row r="59" spans="1:12" s="2" customFormat="1" ht="27" customHeight="1" thickBot="1" x14ac:dyDescent="0.45">
      <c r="A59" s="65" t="s">
        <v>86</v>
      </c>
      <c r="B59" s="66">
        <v>100</v>
      </c>
      <c r="C59" s="139"/>
      <c r="D59" s="117" t="s">
        <v>87</v>
      </c>
      <c r="E59" s="118" t="s">
        <v>59</v>
      </c>
      <c r="F59" s="118" t="s">
        <v>60</v>
      </c>
      <c r="G59" s="118" t="s">
        <v>88</v>
      </c>
      <c r="H59" s="69" t="s">
        <v>89</v>
      </c>
      <c r="L59" s="56"/>
    </row>
    <row r="60" spans="1:12" s="2" customFormat="1" ht="26.25" customHeight="1" x14ac:dyDescent="0.4">
      <c r="A60" s="67" t="s">
        <v>90</v>
      </c>
      <c r="B60" s="68">
        <v>5</v>
      </c>
      <c r="C60" s="404" t="s">
        <v>91</v>
      </c>
      <c r="D60" s="407">
        <v>1145.96</v>
      </c>
      <c r="E60" s="119">
        <v>1</v>
      </c>
      <c r="F60" s="120">
        <v>125637462</v>
      </c>
      <c r="G60" s="194">
        <f>IF(ISBLANK(F60),"-",(F60/$D$50*$D$47*$B$68)*($B$57/$D$60))</f>
        <v>135.05383707342085</v>
      </c>
      <c r="H60" s="121">
        <f t="shared" ref="H60:H71" si="0">IF(ISBLANK(F60),"-",G60/$B$56)</f>
        <v>0.90035891382280564</v>
      </c>
      <c r="L60" s="56"/>
    </row>
    <row r="61" spans="1:12" s="2" customFormat="1" ht="26.25" customHeight="1" x14ac:dyDescent="0.4">
      <c r="A61" s="67" t="s">
        <v>92</v>
      </c>
      <c r="B61" s="68">
        <v>50</v>
      </c>
      <c r="C61" s="405"/>
      <c r="D61" s="408"/>
      <c r="E61" s="122">
        <v>2</v>
      </c>
      <c r="F61" s="79">
        <v>122262104</v>
      </c>
      <c r="G61" s="195">
        <f>IF(ISBLANK(F61),"-",(F61/$D$50*$D$47*$B$68)*($B$57/$D$60))</f>
        <v>131.42550009383061</v>
      </c>
      <c r="H61" s="123">
        <f t="shared" si="0"/>
        <v>0.8761700006255374</v>
      </c>
      <c r="L61" s="56"/>
    </row>
    <row r="62" spans="1:12" s="2" customFormat="1" ht="26.25" customHeight="1" x14ac:dyDescent="0.4">
      <c r="A62" s="67" t="s">
        <v>93</v>
      </c>
      <c r="B62" s="68">
        <v>1</v>
      </c>
      <c r="C62" s="405"/>
      <c r="D62" s="408"/>
      <c r="E62" s="122">
        <v>3</v>
      </c>
      <c r="F62" s="124">
        <v>126174386</v>
      </c>
      <c r="G62" s="195">
        <f>IF(ISBLANK(F62),"-",(F62/$D$50*$D$47*$B$68)*($B$57/$D$60))</f>
        <v>135.6310028746276</v>
      </c>
      <c r="H62" s="123">
        <f t="shared" si="0"/>
        <v>0.90420668583085062</v>
      </c>
      <c r="L62" s="56"/>
    </row>
    <row r="63" spans="1:12" ht="27" customHeight="1" thickBot="1" x14ac:dyDescent="0.45">
      <c r="A63" s="67" t="s">
        <v>94</v>
      </c>
      <c r="B63" s="68">
        <v>1</v>
      </c>
      <c r="C63" s="406"/>
      <c r="D63" s="409"/>
      <c r="E63" s="125">
        <v>4</v>
      </c>
      <c r="F63" s="126"/>
      <c r="G63" s="195" t="str">
        <f>IF(ISBLANK(F63),"-",(F63/$D$50*$D$47*$B$68)*($B$57/$D$60))</f>
        <v>-</v>
      </c>
      <c r="H63" s="123" t="str">
        <f t="shared" si="0"/>
        <v>-</v>
      </c>
    </row>
    <row r="64" spans="1:12" ht="26.25" customHeight="1" x14ac:dyDescent="0.4">
      <c r="A64" s="67" t="s">
        <v>95</v>
      </c>
      <c r="B64" s="68">
        <v>1</v>
      </c>
      <c r="C64" s="404" t="s">
        <v>96</v>
      </c>
      <c r="D64" s="407">
        <v>1137.73</v>
      </c>
      <c r="E64" s="119">
        <v>1</v>
      </c>
      <c r="F64" s="120">
        <v>125833243</v>
      </c>
      <c r="G64" s="196">
        <f>IF(ISBLANK(F64),"-",(F64/$D$50*$D$47*$B$68)*($B$57/$D$64))</f>
        <v>136.24275322481986</v>
      </c>
      <c r="H64" s="127">
        <f t="shared" si="0"/>
        <v>0.90828502149879908</v>
      </c>
    </row>
    <row r="65" spans="1:8" ht="26.25" customHeight="1" x14ac:dyDescent="0.4">
      <c r="A65" s="67" t="s">
        <v>97</v>
      </c>
      <c r="B65" s="68">
        <v>1</v>
      </c>
      <c r="C65" s="405"/>
      <c r="D65" s="408"/>
      <c r="E65" s="122">
        <v>2</v>
      </c>
      <c r="F65" s="79">
        <v>123379371</v>
      </c>
      <c r="G65" s="197">
        <f>IF(ISBLANK(F65),"-",(F65/$D$50*$D$47*$B$68)*($B$57/$D$64))</f>
        <v>133.58588553730985</v>
      </c>
      <c r="H65" s="128">
        <f t="shared" si="0"/>
        <v>0.89057257024873238</v>
      </c>
    </row>
    <row r="66" spans="1:8" ht="26.25" customHeight="1" x14ac:dyDescent="0.4">
      <c r="A66" s="67" t="s">
        <v>98</v>
      </c>
      <c r="B66" s="68">
        <v>1</v>
      </c>
      <c r="C66" s="405"/>
      <c r="D66" s="408"/>
      <c r="E66" s="122">
        <v>3</v>
      </c>
      <c r="F66" s="79">
        <v>127663628</v>
      </c>
      <c r="G66" s="197">
        <f>IF(ISBLANK(F66),"-",(F66/$D$50*$D$47*$B$68)*($B$57/$D$64))</f>
        <v>138.2245561722446</v>
      </c>
      <c r="H66" s="128">
        <f t="shared" si="0"/>
        <v>0.92149704114829734</v>
      </c>
    </row>
    <row r="67" spans="1:8" ht="27" customHeight="1" thickBot="1" x14ac:dyDescent="0.45">
      <c r="A67" s="67" t="s">
        <v>99</v>
      </c>
      <c r="B67" s="68">
        <v>1</v>
      </c>
      <c r="C67" s="406"/>
      <c r="D67" s="409"/>
      <c r="E67" s="125">
        <v>4</v>
      </c>
      <c r="F67" s="126"/>
      <c r="G67" s="198" t="str">
        <f>IF(ISBLANK(F67),"-",(F67/$D$50*$D$47*$B$68)*($B$57/$D$64))</f>
        <v>-</v>
      </c>
      <c r="H67" s="129" t="str">
        <f t="shared" si="0"/>
        <v>-</v>
      </c>
    </row>
    <row r="68" spans="1:8" ht="26.25" customHeight="1" x14ac:dyDescent="0.4">
      <c r="A68" s="67" t="s">
        <v>100</v>
      </c>
      <c r="B68" s="130">
        <f>(B67/B66)*(B65/B64)*(B63/B62)*(B61/B60)*B59</f>
        <v>1000</v>
      </c>
      <c r="C68" s="404" t="s">
        <v>101</v>
      </c>
      <c r="D68" s="407">
        <v>1155.96</v>
      </c>
      <c r="E68" s="119">
        <v>1</v>
      </c>
      <c r="F68" s="120">
        <v>126430328</v>
      </c>
      <c r="G68" s="196">
        <f>IF(ISBLANK(F68),"-",(F68/$D$50*$D$47*$B$68)*($B$57/$D$68))</f>
        <v>134.73042819314932</v>
      </c>
      <c r="H68" s="123">
        <f t="shared" si="0"/>
        <v>0.89820285462099547</v>
      </c>
    </row>
    <row r="69" spans="1:8" ht="27" customHeight="1" thickBot="1" x14ac:dyDescent="0.45">
      <c r="A69" s="111" t="s">
        <v>102</v>
      </c>
      <c r="B69" s="131">
        <f>(D47*B68)/B56*B57</f>
        <v>150.81646666666668</v>
      </c>
      <c r="C69" s="405"/>
      <c r="D69" s="408"/>
      <c r="E69" s="122">
        <v>2</v>
      </c>
      <c r="F69" s="79">
        <v>132100951</v>
      </c>
      <c r="G69" s="197">
        <f>IF(ISBLANK(F69),"-",(F69/$D$50*$D$47*$B$68)*($B$57/$D$68))</f>
        <v>140.77332531283349</v>
      </c>
      <c r="H69" s="123">
        <f t="shared" si="0"/>
        <v>0.93848883541888994</v>
      </c>
    </row>
    <row r="70" spans="1:8" ht="26.25" customHeight="1" x14ac:dyDescent="0.4">
      <c r="A70" s="391" t="s">
        <v>75</v>
      </c>
      <c r="B70" s="392"/>
      <c r="C70" s="405"/>
      <c r="D70" s="408"/>
      <c r="E70" s="122">
        <v>3</v>
      </c>
      <c r="F70" s="79">
        <v>127741831</v>
      </c>
      <c r="G70" s="197">
        <f>IF(ISBLANK(F70),"-",(F70/$D$50*$D$47*$B$68)*($B$57/$D$68))</f>
        <v>136.12803083771894</v>
      </c>
      <c r="H70" s="123">
        <f t="shared" si="0"/>
        <v>0.90752020558479296</v>
      </c>
    </row>
    <row r="71" spans="1:8" ht="27" customHeight="1" thickBot="1" x14ac:dyDescent="0.45">
      <c r="A71" s="393"/>
      <c r="B71" s="394"/>
      <c r="C71" s="410"/>
      <c r="D71" s="409"/>
      <c r="E71" s="125">
        <v>4</v>
      </c>
      <c r="F71" s="126"/>
      <c r="G71" s="198" t="str">
        <f>IF(ISBLANK(F71),"-",(F71/$D$50*$D$47*$B$68)*($B$57/$D$68))</f>
        <v>-</v>
      </c>
      <c r="H71" s="132" t="str">
        <f t="shared" si="0"/>
        <v>-</v>
      </c>
    </row>
    <row r="72" spans="1:8" ht="26.25" customHeight="1" x14ac:dyDescent="0.4">
      <c r="A72" s="153"/>
      <c r="B72" s="153"/>
      <c r="C72" s="153"/>
      <c r="D72" s="153"/>
      <c r="E72" s="153"/>
      <c r="F72" s="133" t="s">
        <v>68</v>
      </c>
      <c r="G72" s="203">
        <f>AVERAGE(G60:G71)</f>
        <v>135.755035479995</v>
      </c>
      <c r="H72" s="134">
        <f>AVERAGE(H60:H71)</f>
        <v>0.90503356986663341</v>
      </c>
    </row>
    <row r="73" spans="1:8" ht="26.25" customHeight="1" x14ac:dyDescent="0.4">
      <c r="C73" s="153"/>
      <c r="D73" s="153"/>
      <c r="E73" s="153"/>
      <c r="F73" s="135" t="s">
        <v>81</v>
      </c>
      <c r="G73" s="199">
        <f>STDEV(G60:G71)/G72</f>
        <v>1.9604659626755797E-2</v>
      </c>
      <c r="H73" s="199">
        <f>STDEV(H60:H71)/H72</f>
        <v>1.9604659626755786E-2</v>
      </c>
    </row>
    <row r="74" spans="1:8" ht="27" customHeight="1" thickBot="1" x14ac:dyDescent="0.45">
      <c r="A74" s="153"/>
      <c r="B74" s="153"/>
      <c r="C74" s="153"/>
      <c r="D74" s="153"/>
      <c r="E74" s="136"/>
      <c r="F74" s="137" t="s">
        <v>20</v>
      </c>
      <c r="G74" s="138">
        <f>COUNT(G60:G71)</f>
        <v>9</v>
      </c>
      <c r="H74" s="138">
        <f>COUNT(H60:H71)</f>
        <v>9</v>
      </c>
    </row>
    <row r="76" spans="1:8" ht="26.25" customHeight="1" x14ac:dyDescent="0.4">
      <c r="A76" s="187" t="s">
        <v>103</v>
      </c>
      <c r="B76" s="145" t="s">
        <v>104</v>
      </c>
      <c r="C76" s="395" t="str">
        <f>B20</f>
        <v>Lamivudine     Nevirapine and Zidovudine</v>
      </c>
      <c r="D76" s="395"/>
      <c r="E76" s="139" t="s">
        <v>105</v>
      </c>
      <c r="F76" s="139"/>
      <c r="G76" s="140">
        <f>H72</f>
        <v>0.90503356986663341</v>
      </c>
      <c r="H76" s="209"/>
    </row>
    <row r="77" spans="1:8" ht="18.75" x14ac:dyDescent="0.3">
      <c r="A77" s="54" t="s">
        <v>106</v>
      </c>
      <c r="B77" s="54" t="s">
        <v>107</v>
      </c>
    </row>
    <row r="78" spans="1:8" ht="18.75" x14ac:dyDescent="0.3">
      <c r="A78" s="54"/>
      <c r="B78" s="54"/>
    </row>
    <row r="79" spans="1:8" ht="26.25" customHeight="1" x14ac:dyDescent="0.4">
      <c r="A79" s="187" t="s">
        <v>4</v>
      </c>
      <c r="B79" s="411" t="str">
        <f>B26</f>
        <v>LAMIVUDINE</v>
      </c>
      <c r="C79" s="411"/>
    </row>
    <row r="80" spans="1:8" ht="26.25" customHeight="1" x14ac:dyDescent="0.4">
      <c r="A80" s="145" t="s">
        <v>45</v>
      </c>
      <c r="B80" s="411">
        <f>B27</f>
        <v>0</v>
      </c>
      <c r="C80" s="411"/>
    </row>
    <row r="81" spans="1:12" ht="27" customHeight="1" thickBot="1" x14ac:dyDescent="0.45">
      <c r="A81" s="145" t="s">
        <v>6</v>
      </c>
      <c r="B81" s="141">
        <f>B28</f>
        <v>84.06</v>
      </c>
    </row>
    <row r="82" spans="1:12" s="2" customFormat="1" ht="27" customHeight="1" thickBot="1" x14ac:dyDescent="0.45">
      <c r="A82" s="145" t="s">
        <v>46</v>
      </c>
      <c r="B82" s="55">
        <v>0</v>
      </c>
      <c r="C82" s="388" t="s">
        <v>47</v>
      </c>
      <c r="D82" s="389"/>
      <c r="E82" s="389"/>
      <c r="F82" s="389"/>
      <c r="G82" s="390"/>
      <c r="I82" s="56"/>
      <c r="J82" s="56"/>
      <c r="K82" s="56"/>
      <c r="L82" s="56"/>
    </row>
    <row r="83" spans="1:12" s="2" customFormat="1" ht="19.5" customHeight="1" thickBot="1" x14ac:dyDescent="0.35">
      <c r="A83" s="145" t="s">
        <v>48</v>
      </c>
      <c r="B83" s="209">
        <f>B81-B82</f>
        <v>84.06</v>
      </c>
      <c r="C83" s="57"/>
      <c r="D83" s="57"/>
      <c r="E83" s="57"/>
      <c r="F83" s="57"/>
      <c r="G83" s="58"/>
      <c r="I83" s="56"/>
      <c r="J83" s="56"/>
      <c r="K83" s="56"/>
      <c r="L83" s="56"/>
    </row>
    <row r="84" spans="1:12" s="2" customFormat="1" ht="27" customHeight="1" thickBot="1" x14ac:dyDescent="0.45">
      <c r="A84" s="145" t="s">
        <v>49</v>
      </c>
      <c r="B84" s="59">
        <v>1</v>
      </c>
      <c r="C84" s="376" t="s">
        <v>108</v>
      </c>
      <c r="D84" s="377"/>
      <c r="E84" s="377"/>
      <c r="F84" s="377"/>
      <c r="G84" s="377"/>
      <c r="H84" s="378"/>
      <c r="I84" s="56"/>
      <c r="J84" s="56"/>
      <c r="K84" s="56"/>
      <c r="L84" s="56"/>
    </row>
    <row r="85" spans="1:12" s="2" customFormat="1" ht="27" customHeight="1" thickBot="1" x14ac:dyDescent="0.45">
      <c r="A85" s="145" t="s">
        <v>51</v>
      </c>
      <c r="B85" s="59">
        <v>1</v>
      </c>
      <c r="C85" s="376" t="s">
        <v>109</v>
      </c>
      <c r="D85" s="377"/>
      <c r="E85" s="377"/>
      <c r="F85" s="377"/>
      <c r="G85" s="377"/>
      <c r="H85" s="378"/>
      <c r="I85" s="56"/>
      <c r="J85" s="56"/>
      <c r="K85" s="56"/>
      <c r="L85" s="56"/>
    </row>
    <row r="86" spans="1:12" s="2" customFormat="1" ht="18.75" x14ac:dyDescent="0.3">
      <c r="A86" s="145"/>
      <c r="B86" s="62"/>
      <c r="C86" s="63"/>
      <c r="D86" s="63"/>
      <c r="E86" s="63"/>
      <c r="F86" s="63"/>
      <c r="G86" s="63"/>
      <c r="H86" s="63"/>
      <c r="I86" s="56"/>
      <c r="J86" s="56"/>
      <c r="K86" s="56"/>
      <c r="L86" s="56"/>
    </row>
    <row r="87" spans="1:12" s="2" customFormat="1" ht="18.75" x14ac:dyDescent="0.3">
      <c r="A87" s="145" t="s">
        <v>53</v>
      </c>
      <c r="B87" s="64">
        <f>B84/B85</f>
        <v>1</v>
      </c>
      <c r="C87" s="139" t="s">
        <v>54</v>
      </c>
      <c r="D87" s="139"/>
      <c r="E87" s="139"/>
      <c r="F87" s="139"/>
      <c r="G87" s="139"/>
      <c r="I87" s="56"/>
      <c r="J87" s="56"/>
      <c r="K87" s="56"/>
      <c r="L87" s="56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5" t="s">
        <v>55</v>
      </c>
      <c r="B89" s="66">
        <v>20</v>
      </c>
      <c r="D89" s="207" t="s">
        <v>56</v>
      </c>
      <c r="E89" s="208"/>
      <c r="F89" s="396" t="s">
        <v>57</v>
      </c>
      <c r="G89" s="398"/>
    </row>
    <row r="90" spans="1:12" ht="27" customHeight="1" thickBot="1" x14ac:dyDescent="0.45">
      <c r="A90" s="67" t="s">
        <v>58</v>
      </c>
      <c r="B90" s="68">
        <v>4</v>
      </c>
      <c r="C90" s="210" t="s">
        <v>59</v>
      </c>
      <c r="D90" s="70" t="s">
        <v>60</v>
      </c>
      <c r="E90" s="71" t="s">
        <v>61</v>
      </c>
      <c r="F90" s="70" t="s">
        <v>60</v>
      </c>
      <c r="G90" s="142" t="s">
        <v>61</v>
      </c>
      <c r="I90" s="73" t="s">
        <v>62</v>
      </c>
    </row>
    <row r="91" spans="1:12" ht="26.25" customHeight="1" x14ac:dyDescent="0.4">
      <c r="A91" s="67" t="s">
        <v>63</v>
      </c>
      <c r="B91" s="68">
        <v>20</v>
      </c>
      <c r="C91" s="143">
        <v>1</v>
      </c>
      <c r="D91" s="344">
        <v>99527502</v>
      </c>
      <c r="E91" s="76">
        <f>IF(ISBLANK(D91),"-",$D$101/$D$98*D91)</f>
        <v>131032038.07815763</v>
      </c>
      <c r="F91" s="347">
        <v>114978695</v>
      </c>
      <c r="G91" s="77">
        <f>IF(ISBLANK(F91),"-",$D$101/$F$98*F91)</f>
        <v>133471601.87056454</v>
      </c>
      <c r="I91" s="78"/>
    </row>
    <row r="92" spans="1:12" ht="26.25" customHeight="1" x14ac:dyDescent="0.4">
      <c r="A92" s="67" t="s">
        <v>64</v>
      </c>
      <c r="B92" s="68">
        <v>1</v>
      </c>
      <c r="C92" s="153">
        <v>2</v>
      </c>
      <c r="D92" s="345">
        <v>99702057</v>
      </c>
      <c r="E92" s="80">
        <f>IF(ISBLANK(D92),"-",$D$101/$D$98*D92)</f>
        <v>131261846.89428499</v>
      </c>
      <c r="F92" s="348">
        <v>115203506</v>
      </c>
      <c r="G92" s="81">
        <f>IF(ISBLANK(F92),"-",$D$101/$F$98*F92)</f>
        <v>133732570.95086348</v>
      </c>
      <c r="I92" s="399">
        <f>ABS((F96/D96*D95)-F95)/D95</f>
        <v>2.1628979319755173E-2</v>
      </c>
    </row>
    <row r="93" spans="1:12" ht="26.25" customHeight="1" x14ac:dyDescent="0.4">
      <c r="A93" s="67" t="s">
        <v>65</v>
      </c>
      <c r="B93" s="68">
        <v>1</v>
      </c>
      <c r="C93" s="153">
        <v>3</v>
      </c>
      <c r="D93" s="345">
        <v>99676530</v>
      </c>
      <c r="E93" s="80">
        <f>IF(ISBLANK(D93),"-",$D$101/$D$98*D93)</f>
        <v>131228239.55190417</v>
      </c>
      <c r="F93" s="348">
        <v>115281239</v>
      </c>
      <c r="G93" s="81">
        <f>IF(ISBLANK(F93),"-",$D$101/$F$98*F93)</f>
        <v>133822806.34645747</v>
      </c>
      <c r="I93" s="399"/>
    </row>
    <row r="94" spans="1:12" ht="27" customHeight="1" thickBot="1" x14ac:dyDescent="0.45">
      <c r="A94" s="67" t="s">
        <v>66</v>
      </c>
      <c r="B94" s="68">
        <v>1</v>
      </c>
      <c r="C94" s="144">
        <v>4</v>
      </c>
      <c r="D94" s="346"/>
      <c r="E94" s="84" t="str">
        <f>IF(ISBLANK(D94),"-",$D$101/$D$98*D94)</f>
        <v>-</v>
      </c>
      <c r="F94" s="349"/>
      <c r="G94" s="85" t="str">
        <f>IF(ISBLANK(F94),"-",$D$101/$F$98*F94)</f>
        <v>-</v>
      </c>
      <c r="I94" s="86"/>
    </row>
    <row r="95" spans="1:12" ht="27" customHeight="1" thickBot="1" x14ac:dyDescent="0.45">
      <c r="A95" s="67" t="s">
        <v>67</v>
      </c>
      <c r="B95" s="68">
        <v>1</v>
      </c>
      <c r="C95" s="145" t="s">
        <v>68</v>
      </c>
      <c r="D95" s="146">
        <f>AVERAGE(D91:D94)</f>
        <v>99635363</v>
      </c>
      <c r="E95" s="89">
        <f>AVERAGE(E91:E94)</f>
        <v>131174041.5081156</v>
      </c>
      <c r="F95" s="147">
        <f>AVERAGE(F91:F94)</f>
        <v>115154480</v>
      </c>
      <c r="G95" s="148">
        <f>AVERAGE(G91:G94)</f>
        <v>133675659.72262849</v>
      </c>
    </row>
    <row r="96" spans="1:12" ht="26.25" customHeight="1" x14ac:dyDescent="0.4">
      <c r="A96" s="67" t="s">
        <v>69</v>
      </c>
      <c r="B96" s="141">
        <v>1</v>
      </c>
      <c r="C96" s="149" t="s">
        <v>110</v>
      </c>
      <c r="D96" s="150">
        <v>15.06</v>
      </c>
      <c r="E96" s="139"/>
      <c r="F96" s="93">
        <v>17.079999999999998</v>
      </c>
    </row>
    <row r="97" spans="1:10" ht="26.25" customHeight="1" x14ac:dyDescent="0.4">
      <c r="A97" s="67" t="s">
        <v>71</v>
      </c>
      <c r="B97" s="141">
        <v>1</v>
      </c>
      <c r="C97" s="151" t="s">
        <v>111</v>
      </c>
      <c r="D97" s="152">
        <f>D96*$B$87</f>
        <v>15.06</v>
      </c>
      <c r="E97" s="153"/>
      <c r="F97" s="95">
        <f>F96*$B$87</f>
        <v>17.079999999999998</v>
      </c>
    </row>
    <row r="98" spans="1:10" ht="19.5" customHeight="1" thickBot="1" x14ac:dyDescent="0.35">
      <c r="A98" s="67" t="s">
        <v>73</v>
      </c>
      <c r="B98" s="153">
        <f>(B97/B96)*(B95/B94)*(B93/B92)*(B91/B90)*B89</f>
        <v>100</v>
      </c>
      <c r="C98" s="151" t="s">
        <v>112</v>
      </c>
      <c r="D98" s="154">
        <f>D97*$B$83/100</f>
        <v>12.659436000000001</v>
      </c>
      <c r="E98" s="136"/>
      <c r="F98" s="97">
        <f>F97*$B$83/100</f>
        <v>14.357448</v>
      </c>
    </row>
    <row r="99" spans="1:10" ht="19.5" customHeight="1" thickBot="1" x14ac:dyDescent="0.35">
      <c r="A99" s="400" t="s">
        <v>75</v>
      </c>
      <c r="B99" s="412"/>
      <c r="C99" s="151" t="s">
        <v>113</v>
      </c>
      <c r="D99" s="155">
        <f>D98/$B$98</f>
        <v>0.12659436000000002</v>
      </c>
      <c r="E99" s="136"/>
      <c r="F99" s="100">
        <f>F98/$B$98</f>
        <v>0.14357448</v>
      </c>
      <c r="H99" s="91"/>
    </row>
    <row r="100" spans="1:10" ht="19.5" customHeight="1" thickBot="1" x14ac:dyDescent="0.35">
      <c r="A100" s="402"/>
      <c r="B100" s="413"/>
      <c r="C100" s="151" t="s">
        <v>77</v>
      </c>
      <c r="D100" s="157">
        <f>$B$56/$B$116</f>
        <v>0.16666666666666666</v>
      </c>
      <c r="F100" s="105"/>
      <c r="G100" s="163"/>
      <c r="H100" s="91"/>
    </row>
    <row r="101" spans="1:10" ht="18.75" x14ac:dyDescent="0.3">
      <c r="C101" s="151" t="s">
        <v>78</v>
      </c>
      <c r="D101" s="152">
        <f>D100*$B$98</f>
        <v>16.666666666666664</v>
      </c>
      <c r="F101" s="105"/>
      <c r="H101" s="91"/>
    </row>
    <row r="102" spans="1:10" ht="19.5" customHeight="1" thickBot="1" x14ac:dyDescent="0.35">
      <c r="C102" s="158" t="s">
        <v>79</v>
      </c>
      <c r="D102" s="159">
        <f>D101/B34</f>
        <v>16.666666666666664</v>
      </c>
      <c r="F102" s="109"/>
      <c r="H102" s="91"/>
      <c r="J102" s="160"/>
    </row>
    <row r="103" spans="1:10" ht="18.75" x14ac:dyDescent="0.3">
      <c r="C103" s="161" t="s">
        <v>114</v>
      </c>
      <c r="D103" s="162">
        <f>AVERAGE(E91:E94,G91:G94)</f>
        <v>132424850.61537206</v>
      </c>
      <c r="F103" s="109"/>
      <c r="G103" s="163"/>
      <c r="H103" s="91"/>
      <c r="J103" s="164"/>
    </row>
    <row r="104" spans="1:10" ht="18.75" x14ac:dyDescent="0.3">
      <c r="C104" s="135" t="s">
        <v>81</v>
      </c>
      <c r="D104" s="165">
        <f>STDEV(E91:E94,G91:G94)/D103</f>
        <v>1.040045514537608E-2</v>
      </c>
      <c r="F104" s="109"/>
      <c r="H104" s="91"/>
      <c r="J104" s="164"/>
    </row>
    <row r="105" spans="1:10" ht="19.5" customHeight="1" thickBot="1" x14ac:dyDescent="0.35">
      <c r="C105" s="137" t="s">
        <v>20</v>
      </c>
      <c r="D105" s="166">
        <f>COUNT(E91:E94,G91:G94)</f>
        <v>6</v>
      </c>
      <c r="F105" s="109"/>
      <c r="H105" s="91"/>
      <c r="J105" s="164"/>
    </row>
    <row r="106" spans="1:10" ht="19.5" customHeight="1" thickBot="1" x14ac:dyDescent="0.35">
      <c r="A106" s="113"/>
      <c r="B106" s="113"/>
      <c r="C106" s="113"/>
      <c r="D106" s="113"/>
      <c r="E106" s="113"/>
    </row>
    <row r="107" spans="1:10" ht="26.25" customHeight="1" x14ac:dyDescent="0.4">
      <c r="A107" s="65" t="s">
        <v>115</v>
      </c>
      <c r="B107" s="66">
        <v>900</v>
      </c>
      <c r="C107" s="207" t="s">
        <v>116</v>
      </c>
      <c r="D107" s="167" t="s">
        <v>60</v>
      </c>
      <c r="E107" s="168" t="s">
        <v>117</v>
      </c>
      <c r="F107" s="169" t="s">
        <v>118</v>
      </c>
    </row>
    <row r="108" spans="1:10" ht="26.25" customHeight="1" x14ac:dyDescent="0.4">
      <c r="A108" s="67" t="s">
        <v>119</v>
      </c>
      <c r="B108" s="68">
        <v>1</v>
      </c>
      <c r="C108" s="170">
        <v>1</v>
      </c>
      <c r="D108" s="171">
        <v>132825873</v>
      </c>
      <c r="E108" s="200">
        <f t="shared" ref="E108:E113" si="1">IF(ISBLANK(D108),"-",D108/$D$103*$D$100*$B$116)</f>
        <v>150.45424523731504</v>
      </c>
      <c r="F108" s="172">
        <f t="shared" ref="F108:F113" si="2">IF(ISBLANK(D108), "-", E108/$B$56)</f>
        <v>1.0030283015821002</v>
      </c>
    </row>
    <row r="109" spans="1:10" ht="26.25" customHeight="1" x14ac:dyDescent="0.4">
      <c r="A109" s="67" t="s">
        <v>92</v>
      </c>
      <c r="B109" s="68">
        <v>1</v>
      </c>
      <c r="C109" s="170">
        <v>2</v>
      </c>
      <c r="D109" s="171">
        <v>132468868</v>
      </c>
      <c r="E109" s="201">
        <f t="shared" si="1"/>
        <v>150.04985927991243</v>
      </c>
      <c r="F109" s="173">
        <f t="shared" si="2"/>
        <v>1.0003323951994161</v>
      </c>
    </row>
    <row r="110" spans="1:10" ht="26.25" customHeight="1" x14ac:dyDescent="0.4">
      <c r="A110" s="67" t="s">
        <v>93</v>
      </c>
      <c r="B110" s="68">
        <v>1</v>
      </c>
      <c r="C110" s="170">
        <v>3</v>
      </c>
      <c r="D110" s="171">
        <v>132680176</v>
      </c>
      <c r="E110" s="201">
        <f t="shared" si="1"/>
        <v>150.28921163600501</v>
      </c>
      <c r="F110" s="173">
        <f t="shared" si="2"/>
        <v>1.0019280775733668</v>
      </c>
    </row>
    <row r="111" spans="1:10" ht="26.25" customHeight="1" x14ac:dyDescent="0.4">
      <c r="A111" s="67" t="s">
        <v>94</v>
      </c>
      <c r="B111" s="68">
        <v>1</v>
      </c>
      <c r="C111" s="170">
        <v>4</v>
      </c>
      <c r="D111" s="171">
        <v>132978164</v>
      </c>
      <c r="E111" s="201">
        <f t="shared" si="1"/>
        <v>150.62674798052259</v>
      </c>
      <c r="F111" s="173">
        <f t="shared" si="2"/>
        <v>1.0041783198701506</v>
      </c>
    </row>
    <row r="112" spans="1:10" ht="26.25" customHeight="1" x14ac:dyDescent="0.4">
      <c r="A112" s="67" t="s">
        <v>95</v>
      </c>
      <c r="B112" s="68">
        <v>1</v>
      </c>
      <c r="C112" s="170">
        <v>5</v>
      </c>
      <c r="D112" s="171">
        <v>132947967</v>
      </c>
      <c r="E112" s="201">
        <f t="shared" si="1"/>
        <v>150.59254329779912</v>
      </c>
      <c r="F112" s="173">
        <f t="shared" si="2"/>
        <v>1.0039502886519942</v>
      </c>
    </row>
    <row r="113" spans="1:10" ht="26.25" customHeight="1" x14ac:dyDescent="0.4">
      <c r="A113" s="67" t="s">
        <v>97</v>
      </c>
      <c r="B113" s="68">
        <v>1</v>
      </c>
      <c r="C113" s="174">
        <v>6</v>
      </c>
      <c r="D113" s="175">
        <v>134817303</v>
      </c>
      <c r="E113" s="202">
        <f t="shared" si="1"/>
        <v>152.70997366450894</v>
      </c>
      <c r="F113" s="176">
        <f t="shared" si="2"/>
        <v>1.0180664910967263</v>
      </c>
    </row>
    <row r="114" spans="1:10" ht="26.25" customHeight="1" x14ac:dyDescent="0.4">
      <c r="A114" s="67" t="s">
        <v>98</v>
      </c>
      <c r="B114" s="68">
        <v>1</v>
      </c>
      <c r="C114" s="170"/>
      <c r="D114" s="153"/>
      <c r="E114" s="139"/>
      <c r="F114" s="177"/>
    </row>
    <row r="115" spans="1:10" ht="26.25" customHeight="1" x14ac:dyDescent="0.4">
      <c r="A115" s="67" t="s">
        <v>99</v>
      </c>
      <c r="B115" s="68">
        <v>1</v>
      </c>
      <c r="C115" s="170"/>
      <c r="D115" s="178" t="s">
        <v>68</v>
      </c>
      <c r="E115" s="204">
        <f>AVERAGE(E108:E113)</f>
        <v>150.78709684934384</v>
      </c>
      <c r="F115" s="179">
        <f>AVERAGE(F108:F113)</f>
        <v>1.0052473123289591</v>
      </c>
    </row>
    <row r="116" spans="1:10" ht="27" customHeight="1" thickBot="1" x14ac:dyDescent="0.45">
      <c r="A116" s="67" t="s">
        <v>100</v>
      </c>
      <c r="B116" s="96">
        <f>(B115/B114)*(B113/B112)*(B111/B110)*(B109/B108)*B107</f>
        <v>900</v>
      </c>
      <c r="C116" s="180"/>
      <c r="D116" s="145" t="s">
        <v>81</v>
      </c>
      <c r="E116" s="181">
        <f>STDEV(E108:E113)/E115</f>
        <v>6.404624030191485E-3</v>
      </c>
      <c r="F116" s="181">
        <f>STDEV(F108:F113)/F115</f>
        <v>6.4046240301915197E-3</v>
      </c>
      <c r="I116" s="139"/>
    </row>
    <row r="117" spans="1:10" ht="27" customHeight="1" thickBot="1" x14ac:dyDescent="0.45">
      <c r="A117" s="400" t="s">
        <v>75</v>
      </c>
      <c r="B117" s="401"/>
      <c r="C117" s="182"/>
      <c r="D117" s="183" t="s">
        <v>20</v>
      </c>
      <c r="E117" s="184">
        <f>COUNT(E108:E113)</f>
        <v>6</v>
      </c>
      <c r="F117" s="184">
        <f>COUNT(F108:F113)</f>
        <v>6</v>
      </c>
      <c r="I117" s="139"/>
      <c r="J117" s="164"/>
    </row>
    <row r="118" spans="1:10" ht="19.5" customHeight="1" thickBot="1" x14ac:dyDescent="0.35">
      <c r="A118" s="402"/>
      <c r="B118" s="403"/>
      <c r="C118" s="139"/>
      <c r="D118" s="139"/>
      <c r="E118" s="139"/>
      <c r="F118" s="153"/>
      <c r="G118" s="139"/>
      <c r="H118" s="139"/>
      <c r="I118" s="139"/>
    </row>
    <row r="119" spans="1:10" ht="18.75" x14ac:dyDescent="0.3">
      <c r="A119" s="191"/>
      <c r="B119" s="63"/>
      <c r="C119" s="139"/>
      <c r="D119" s="139"/>
      <c r="E119" s="139"/>
      <c r="F119" s="153"/>
      <c r="G119" s="139"/>
      <c r="H119" s="139"/>
      <c r="I119" s="139"/>
    </row>
    <row r="120" spans="1:10" ht="26.25" customHeight="1" x14ac:dyDescent="0.4">
      <c r="A120" s="187" t="s">
        <v>103</v>
      </c>
      <c r="B120" s="145" t="s">
        <v>120</v>
      </c>
      <c r="C120" s="395" t="str">
        <f>B20</f>
        <v>Lamivudine     Nevirapine and Zidovudine</v>
      </c>
      <c r="D120" s="395"/>
      <c r="E120" s="139" t="s">
        <v>121</v>
      </c>
      <c r="F120" s="139"/>
      <c r="G120" s="140">
        <f>F115</f>
        <v>1.0052473123289591</v>
      </c>
      <c r="H120" s="139"/>
      <c r="I120" s="139"/>
    </row>
    <row r="121" spans="1:10" ht="19.5" customHeight="1" thickBot="1" x14ac:dyDescent="0.35">
      <c r="A121" s="211"/>
      <c r="B121" s="211"/>
      <c r="C121" s="185"/>
      <c r="D121" s="185"/>
      <c r="E121" s="185"/>
      <c r="F121" s="185"/>
      <c r="G121" s="185"/>
      <c r="H121" s="185"/>
    </row>
    <row r="122" spans="1:10" ht="18.75" x14ac:dyDescent="0.3">
      <c r="B122" s="414" t="s">
        <v>23</v>
      </c>
      <c r="C122" s="414"/>
      <c r="E122" s="210" t="s">
        <v>24</v>
      </c>
      <c r="F122" s="186"/>
      <c r="G122" s="414" t="s">
        <v>25</v>
      </c>
      <c r="H122" s="414"/>
    </row>
    <row r="123" spans="1:10" ht="69.95" customHeight="1" x14ac:dyDescent="0.3">
      <c r="A123" s="187" t="s">
        <v>26</v>
      </c>
      <c r="B123" s="188"/>
      <c r="C123" s="188"/>
      <c r="E123" s="188"/>
      <c r="F123" s="139"/>
      <c r="G123" s="188"/>
      <c r="H123" s="188"/>
    </row>
    <row r="124" spans="1:10" ht="69.95" customHeight="1" x14ac:dyDescent="0.3">
      <c r="A124" s="187" t="s">
        <v>27</v>
      </c>
      <c r="B124" s="189"/>
      <c r="C124" s="189"/>
      <c r="E124" s="189"/>
      <c r="F124" s="139"/>
      <c r="G124" s="190"/>
      <c r="H124" s="190"/>
    </row>
    <row r="125" spans="1:10" ht="18.75" x14ac:dyDescent="0.3">
      <c r="A125" s="153"/>
      <c r="B125" s="153"/>
      <c r="C125" s="153"/>
      <c r="D125" s="153"/>
      <c r="E125" s="153"/>
      <c r="F125" s="136"/>
      <c r="G125" s="153"/>
      <c r="H125" s="153"/>
      <c r="I125" s="139"/>
    </row>
    <row r="126" spans="1:10" ht="18.75" x14ac:dyDescent="0.3">
      <c r="A126" s="153"/>
      <c r="B126" s="153"/>
      <c r="C126" s="153"/>
      <c r="D126" s="153"/>
      <c r="E126" s="153"/>
      <c r="F126" s="136"/>
      <c r="G126" s="153"/>
      <c r="H126" s="153"/>
      <c r="I126" s="139"/>
    </row>
    <row r="127" spans="1:10" ht="18.75" x14ac:dyDescent="0.3">
      <c r="A127" s="153"/>
      <c r="B127" s="153"/>
      <c r="C127" s="153"/>
      <c r="D127" s="153"/>
      <c r="E127" s="153"/>
      <c r="F127" s="136"/>
      <c r="G127" s="153"/>
      <c r="H127" s="153"/>
      <c r="I127" s="139"/>
    </row>
    <row r="128" spans="1:10" ht="18.75" x14ac:dyDescent="0.3">
      <c r="A128" s="153"/>
      <c r="B128" s="153"/>
      <c r="C128" s="153"/>
      <c r="D128" s="153"/>
      <c r="E128" s="153"/>
      <c r="F128" s="136"/>
      <c r="G128" s="153"/>
      <c r="H128" s="153"/>
      <c r="I128" s="139"/>
    </row>
    <row r="129" spans="1:9" ht="18.75" x14ac:dyDescent="0.3">
      <c r="A129" s="153"/>
      <c r="B129" s="153"/>
      <c r="C129" s="153"/>
      <c r="D129" s="153"/>
      <c r="E129" s="153"/>
      <c r="F129" s="136"/>
      <c r="G129" s="153"/>
      <c r="H129" s="153"/>
      <c r="I129" s="139"/>
    </row>
    <row r="130" spans="1:9" ht="18.75" x14ac:dyDescent="0.3">
      <c r="A130" s="153"/>
      <c r="B130" s="153"/>
      <c r="C130" s="153"/>
      <c r="D130" s="153"/>
      <c r="E130" s="153"/>
      <c r="F130" s="136"/>
      <c r="G130" s="153"/>
      <c r="H130" s="153"/>
      <c r="I130" s="139"/>
    </row>
    <row r="131" spans="1:9" ht="18.75" x14ac:dyDescent="0.3">
      <c r="A131" s="153"/>
      <c r="B131" s="153"/>
      <c r="C131" s="153"/>
      <c r="D131" s="153"/>
      <c r="E131" s="153"/>
      <c r="F131" s="136"/>
      <c r="G131" s="153"/>
      <c r="H131" s="153"/>
      <c r="I131" s="139"/>
    </row>
    <row r="132" spans="1:9" ht="18.75" x14ac:dyDescent="0.3">
      <c r="A132" s="153"/>
      <c r="B132" s="153"/>
      <c r="C132" s="153"/>
      <c r="D132" s="153"/>
      <c r="E132" s="153"/>
      <c r="F132" s="136"/>
      <c r="G132" s="153"/>
      <c r="H132" s="153"/>
      <c r="I132" s="139"/>
    </row>
    <row r="133" spans="1:9" ht="18.75" x14ac:dyDescent="0.3">
      <c r="A133" s="153"/>
      <c r="B133" s="153"/>
      <c r="C133" s="153"/>
      <c r="D133" s="153"/>
      <c r="E133" s="153"/>
      <c r="F133" s="136"/>
      <c r="G133" s="153"/>
      <c r="H133" s="153"/>
      <c r="I133" s="139"/>
    </row>
    <row r="250" spans="1:1" x14ac:dyDescent="0.25">
      <c r="A250" s="156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0" zoomScale="60" zoomScaleNormal="40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156" customWidth="1"/>
    <col min="2" max="2" width="33.7109375" style="156" customWidth="1"/>
    <col min="3" max="3" width="42.28515625" style="156" customWidth="1"/>
    <col min="4" max="4" width="30.5703125" style="156" customWidth="1"/>
    <col min="5" max="5" width="39.85546875" style="156" customWidth="1"/>
    <col min="6" max="6" width="30.7109375" style="156" customWidth="1"/>
    <col min="7" max="7" width="39.85546875" style="156" customWidth="1"/>
    <col min="8" max="8" width="30" style="156" customWidth="1"/>
    <col min="9" max="9" width="30.28515625" style="156" hidden="1" customWidth="1"/>
    <col min="10" max="10" width="30.42578125" style="156" customWidth="1"/>
    <col min="11" max="11" width="21.28515625" style="156" customWidth="1"/>
    <col min="12" max="12" width="9.140625" style="156"/>
  </cols>
  <sheetData>
    <row r="1" spans="1:9" ht="18.75" customHeight="1" x14ac:dyDescent="0.25">
      <c r="A1" s="379" t="s">
        <v>42</v>
      </c>
      <c r="B1" s="379"/>
      <c r="C1" s="379"/>
      <c r="D1" s="379"/>
      <c r="E1" s="379"/>
      <c r="F1" s="379"/>
      <c r="G1" s="379"/>
      <c r="H1" s="379"/>
      <c r="I1" s="379"/>
    </row>
    <row r="2" spans="1:9" ht="18.75" customHeight="1" x14ac:dyDescent="0.25">
      <c r="A2" s="379"/>
      <c r="B2" s="379"/>
      <c r="C2" s="379"/>
      <c r="D2" s="379"/>
      <c r="E2" s="379"/>
      <c r="F2" s="379"/>
      <c r="G2" s="379"/>
      <c r="H2" s="379"/>
      <c r="I2" s="379"/>
    </row>
    <row r="3" spans="1:9" ht="18.75" customHeight="1" x14ac:dyDescent="0.25">
      <c r="A3" s="379"/>
      <c r="B3" s="379"/>
      <c r="C3" s="379"/>
      <c r="D3" s="379"/>
      <c r="E3" s="379"/>
      <c r="F3" s="379"/>
      <c r="G3" s="379"/>
      <c r="H3" s="379"/>
      <c r="I3" s="379"/>
    </row>
    <row r="4" spans="1:9" ht="18.75" customHeight="1" x14ac:dyDescent="0.25">
      <c r="A4" s="379"/>
      <c r="B4" s="379"/>
      <c r="C4" s="379"/>
      <c r="D4" s="379"/>
      <c r="E4" s="379"/>
      <c r="F4" s="379"/>
      <c r="G4" s="379"/>
      <c r="H4" s="379"/>
      <c r="I4" s="379"/>
    </row>
    <row r="5" spans="1:9" ht="18.75" customHeight="1" x14ac:dyDescent="0.25">
      <c r="A5" s="379"/>
      <c r="B5" s="379"/>
      <c r="C5" s="379"/>
      <c r="D5" s="379"/>
      <c r="E5" s="379"/>
      <c r="F5" s="379"/>
      <c r="G5" s="379"/>
      <c r="H5" s="379"/>
      <c r="I5" s="379"/>
    </row>
    <row r="6" spans="1:9" ht="18.75" customHeight="1" x14ac:dyDescent="0.25">
      <c r="A6" s="379"/>
      <c r="B6" s="379"/>
      <c r="C6" s="379"/>
      <c r="D6" s="379"/>
      <c r="E6" s="379"/>
      <c r="F6" s="379"/>
      <c r="G6" s="379"/>
      <c r="H6" s="379"/>
      <c r="I6" s="379"/>
    </row>
    <row r="7" spans="1:9" ht="18.75" customHeight="1" x14ac:dyDescent="0.25">
      <c r="A7" s="379"/>
      <c r="B7" s="379"/>
      <c r="C7" s="379"/>
      <c r="D7" s="379"/>
      <c r="E7" s="379"/>
      <c r="F7" s="379"/>
      <c r="G7" s="379"/>
      <c r="H7" s="379"/>
      <c r="I7" s="379"/>
    </row>
    <row r="8" spans="1:9" x14ac:dyDescent="0.25">
      <c r="A8" s="380" t="s">
        <v>43</v>
      </c>
      <c r="B8" s="380"/>
      <c r="C8" s="380"/>
      <c r="D8" s="380"/>
      <c r="E8" s="380"/>
      <c r="F8" s="380"/>
      <c r="G8" s="380"/>
      <c r="H8" s="380"/>
      <c r="I8" s="380"/>
    </row>
    <row r="9" spans="1:9" x14ac:dyDescent="0.25">
      <c r="A9" s="380"/>
      <c r="B9" s="380"/>
      <c r="C9" s="380"/>
      <c r="D9" s="380"/>
      <c r="E9" s="380"/>
      <c r="F9" s="380"/>
      <c r="G9" s="380"/>
      <c r="H9" s="380"/>
      <c r="I9" s="380"/>
    </row>
    <row r="10" spans="1:9" x14ac:dyDescent="0.25">
      <c r="A10" s="380"/>
      <c r="B10" s="380"/>
      <c r="C10" s="380"/>
      <c r="D10" s="380"/>
      <c r="E10" s="380"/>
      <c r="F10" s="380"/>
      <c r="G10" s="380"/>
      <c r="H10" s="380"/>
      <c r="I10" s="380"/>
    </row>
    <row r="11" spans="1:9" x14ac:dyDescent="0.25">
      <c r="A11" s="380"/>
      <c r="B11" s="380"/>
      <c r="C11" s="380"/>
      <c r="D11" s="380"/>
      <c r="E11" s="380"/>
      <c r="F11" s="380"/>
      <c r="G11" s="380"/>
      <c r="H11" s="380"/>
      <c r="I11" s="380"/>
    </row>
    <row r="12" spans="1:9" x14ac:dyDescent="0.25">
      <c r="A12" s="380"/>
      <c r="B12" s="380"/>
      <c r="C12" s="380"/>
      <c r="D12" s="380"/>
      <c r="E12" s="380"/>
      <c r="F12" s="380"/>
      <c r="G12" s="380"/>
      <c r="H12" s="380"/>
      <c r="I12" s="380"/>
    </row>
    <row r="13" spans="1:9" x14ac:dyDescent="0.25">
      <c r="A13" s="380"/>
      <c r="B13" s="380"/>
      <c r="C13" s="380"/>
      <c r="D13" s="380"/>
      <c r="E13" s="380"/>
      <c r="F13" s="380"/>
      <c r="G13" s="380"/>
      <c r="H13" s="380"/>
      <c r="I13" s="380"/>
    </row>
    <row r="14" spans="1:9" x14ac:dyDescent="0.25">
      <c r="A14" s="380"/>
      <c r="B14" s="380"/>
      <c r="C14" s="380"/>
      <c r="D14" s="380"/>
      <c r="E14" s="380"/>
      <c r="F14" s="380"/>
      <c r="G14" s="380"/>
      <c r="H14" s="380"/>
      <c r="I14" s="380"/>
    </row>
    <row r="15" spans="1:9" ht="19.5" customHeight="1" thickBot="1" x14ac:dyDescent="0.35">
      <c r="A15" s="139"/>
    </row>
    <row r="16" spans="1:9" ht="19.5" customHeight="1" thickBot="1" x14ac:dyDescent="0.35">
      <c r="A16" s="381" t="s">
        <v>28</v>
      </c>
      <c r="B16" s="382"/>
      <c r="C16" s="382"/>
      <c r="D16" s="382"/>
      <c r="E16" s="382"/>
      <c r="F16" s="382"/>
      <c r="G16" s="382"/>
      <c r="H16" s="383"/>
    </row>
    <row r="17" spans="1:14" ht="20.25" customHeight="1" x14ac:dyDescent="0.25">
      <c r="A17" s="384" t="s">
        <v>44</v>
      </c>
      <c r="B17" s="384"/>
      <c r="C17" s="384"/>
      <c r="D17" s="384"/>
      <c r="E17" s="384"/>
      <c r="F17" s="384"/>
      <c r="G17" s="384"/>
      <c r="H17" s="384"/>
    </row>
    <row r="18" spans="1:14" ht="26.25" customHeight="1" x14ac:dyDescent="0.4">
      <c r="A18" s="49" t="s">
        <v>30</v>
      </c>
      <c r="B18" s="385" t="s">
        <v>5</v>
      </c>
      <c r="C18" s="385"/>
      <c r="D18" s="192"/>
      <c r="E18" s="50"/>
      <c r="F18" s="205"/>
      <c r="G18" s="205"/>
      <c r="H18" s="205"/>
    </row>
    <row r="19" spans="1:14" ht="26.25" customHeight="1" x14ac:dyDescent="0.4">
      <c r="A19" s="49" t="s">
        <v>31</v>
      </c>
      <c r="B19" s="206" t="s">
        <v>7</v>
      </c>
      <c r="C19" s="205">
        <v>29</v>
      </c>
      <c r="D19" s="205"/>
      <c r="E19" s="205"/>
      <c r="F19" s="205"/>
      <c r="G19" s="205"/>
      <c r="H19" s="205"/>
    </row>
    <row r="20" spans="1:14" ht="26.25" customHeight="1" x14ac:dyDescent="0.4">
      <c r="A20" s="49" t="s">
        <v>32</v>
      </c>
      <c r="B20" s="386" t="s">
        <v>9</v>
      </c>
      <c r="C20" s="386"/>
      <c r="D20" s="205"/>
      <c r="E20" s="205"/>
      <c r="F20" s="205"/>
      <c r="G20" s="205"/>
      <c r="H20" s="205"/>
    </row>
    <row r="21" spans="1:14" ht="26.25" customHeight="1" x14ac:dyDescent="0.4">
      <c r="A21" s="49" t="s">
        <v>33</v>
      </c>
      <c r="B21" s="386" t="s">
        <v>11</v>
      </c>
      <c r="C21" s="386"/>
      <c r="D21" s="386"/>
      <c r="E21" s="386"/>
      <c r="F21" s="386"/>
      <c r="G21" s="386"/>
      <c r="H21" s="386"/>
      <c r="I21" s="51"/>
    </row>
    <row r="22" spans="1:14" ht="26.25" customHeight="1" x14ac:dyDescent="0.4">
      <c r="A22" s="49" t="s">
        <v>34</v>
      </c>
      <c r="B22" s="52" t="s">
        <v>12</v>
      </c>
      <c r="C22" s="205"/>
      <c r="D22" s="205"/>
      <c r="E22" s="205"/>
      <c r="F22" s="205"/>
      <c r="G22" s="205"/>
      <c r="H22" s="205"/>
    </row>
    <row r="23" spans="1:14" ht="26.25" customHeight="1" x14ac:dyDescent="0.4">
      <c r="A23" s="49" t="s">
        <v>35</v>
      </c>
      <c r="B23" s="52"/>
      <c r="C23" s="205"/>
      <c r="D23" s="205"/>
      <c r="E23" s="205"/>
      <c r="F23" s="205"/>
      <c r="G23" s="205"/>
      <c r="H23" s="205"/>
    </row>
    <row r="24" spans="1:14" ht="18.75" x14ac:dyDescent="0.3">
      <c r="A24" s="49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187" t="s">
        <v>4</v>
      </c>
      <c r="B26" s="385" t="s">
        <v>123</v>
      </c>
      <c r="C26" s="385"/>
    </row>
    <row r="27" spans="1:14" ht="26.25" customHeight="1" x14ac:dyDescent="0.4">
      <c r="A27" s="145" t="s">
        <v>45</v>
      </c>
      <c r="B27" s="387"/>
      <c r="C27" s="387"/>
    </row>
    <row r="28" spans="1:14" ht="27" customHeight="1" thickBot="1" x14ac:dyDescent="0.45">
      <c r="A28" s="145" t="s">
        <v>6</v>
      </c>
      <c r="B28" s="141">
        <v>99.15</v>
      </c>
    </row>
    <row r="29" spans="1:14" s="2" customFormat="1" ht="27" customHeight="1" thickBot="1" x14ac:dyDescent="0.45">
      <c r="A29" s="145" t="s">
        <v>46</v>
      </c>
      <c r="B29" s="55"/>
      <c r="C29" s="388" t="s">
        <v>47</v>
      </c>
      <c r="D29" s="389"/>
      <c r="E29" s="389"/>
      <c r="F29" s="389"/>
      <c r="G29" s="390"/>
      <c r="I29" s="56"/>
      <c r="J29" s="56"/>
      <c r="K29" s="56"/>
      <c r="L29" s="56"/>
    </row>
    <row r="30" spans="1:14" s="2" customFormat="1" ht="19.5" customHeight="1" thickBot="1" x14ac:dyDescent="0.35">
      <c r="A30" s="145" t="s">
        <v>48</v>
      </c>
      <c r="B30" s="209">
        <f>B28-B29</f>
        <v>99.15</v>
      </c>
      <c r="C30" s="57"/>
      <c r="D30" s="57"/>
      <c r="E30" s="57"/>
      <c r="F30" s="57"/>
      <c r="G30" s="58"/>
      <c r="I30" s="56"/>
      <c r="J30" s="56"/>
      <c r="K30" s="56"/>
      <c r="L30" s="56"/>
    </row>
    <row r="31" spans="1:14" s="2" customFormat="1" ht="27" customHeight="1" thickBot="1" x14ac:dyDescent="0.45">
      <c r="A31" s="145" t="s">
        <v>49</v>
      </c>
      <c r="B31" s="59">
        <v>1</v>
      </c>
      <c r="C31" s="376" t="s">
        <v>50</v>
      </c>
      <c r="D31" s="377"/>
      <c r="E31" s="377"/>
      <c r="F31" s="377"/>
      <c r="G31" s="377"/>
      <c r="H31" s="378"/>
      <c r="I31" s="56"/>
      <c r="J31" s="56"/>
      <c r="K31" s="56"/>
      <c r="L31" s="56"/>
    </row>
    <row r="32" spans="1:14" s="2" customFormat="1" ht="27" customHeight="1" thickBot="1" x14ac:dyDescent="0.45">
      <c r="A32" s="145" t="s">
        <v>51</v>
      </c>
      <c r="B32" s="59">
        <v>1</v>
      </c>
      <c r="C32" s="376" t="s">
        <v>52</v>
      </c>
      <c r="D32" s="377"/>
      <c r="E32" s="377"/>
      <c r="F32" s="377"/>
      <c r="G32" s="377"/>
      <c r="H32" s="378"/>
      <c r="I32" s="56"/>
      <c r="J32" s="56"/>
      <c r="K32" s="56"/>
      <c r="L32" s="60"/>
      <c r="M32" s="60"/>
      <c r="N32" s="61"/>
    </row>
    <row r="33" spans="1:14" s="2" customFormat="1" ht="17.25" customHeight="1" x14ac:dyDescent="0.3">
      <c r="A33" s="145"/>
      <c r="B33" s="62"/>
      <c r="C33" s="63"/>
      <c r="D33" s="63"/>
      <c r="E33" s="63"/>
      <c r="F33" s="63"/>
      <c r="G33" s="63"/>
      <c r="H33" s="63"/>
      <c r="I33" s="56"/>
      <c r="J33" s="56"/>
      <c r="K33" s="56"/>
      <c r="L33" s="60"/>
      <c r="M33" s="60"/>
      <c r="N33" s="61"/>
    </row>
    <row r="34" spans="1:14" s="2" customFormat="1" ht="18.75" x14ac:dyDescent="0.3">
      <c r="A34" s="145" t="s">
        <v>53</v>
      </c>
      <c r="B34" s="64">
        <f>B31/B32</f>
        <v>1</v>
      </c>
      <c r="C34" s="139" t="s">
        <v>54</v>
      </c>
      <c r="D34" s="139"/>
      <c r="E34" s="139"/>
      <c r="F34" s="139"/>
      <c r="G34" s="139"/>
      <c r="I34" s="56"/>
      <c r="J34" s="56"/>
      <c r="K34" s="56"/>
      <c r="L34" s="60"/>
      <c r="M34" s="60"/>
      <c r="N34" s="61"/>
    </row>
    <row r="35" spans="1:14" s="2" customFormat="1" ht="19.5" customHeight="1" thickBot="1" x14ac:dyDescent="0.35">
      <c r="A35" s="145"/>
      <c r="B35" s="209"/>
      <c r="G35" s="139"/>
      <c r="I35" s="56"/>
      <c r="J35" s="56"/>
      <c r="K35" s="56"/>
      <c r="L35" s="60"/>
      <c r="M35" s="60"/>
      <c r="N35" s="61"/>
    </row>
    <row r="36" spans="1:14" s="2" customFormat="1" ht="27" customHeight="1" thickBot="1" x14ac:dyDescent="0.45">
      <c r="A36" s="65" t="s">
        <v>55</v>
      </c>
      <c r="B36" s="66">
        <v>20</v>
      </c>
      <c r="C36" s="139"/>
      <c r="D36" s="396" t="s">
        <v>56</v>
      </c>
      <c r="E36" s="397"/>
      <c r="F36" s="396" t="s">
        <v>57</v>
      </c>
      <c r="G36" s="398"/>
      <c r="J36" s="56"/>
      <c r="K36" s="56"/>
      <c r="L36" s="60"/>
      <c r="M36" s="60"/>
      <c r="N36" s="61"/>
    </row>
    <row r="37" spans="1:14" s="2" customFormat="1" ht="27" customHeight="1" thickBot="1" x14ac:dyDescent="0.45">
      <c r="A37" s="67" t="s">
        <v>58</v>
      </c>
      <c r="B37" s="68">
        <v>4</v>
      </c>
      <c r="C37" s="69" t="s">
        <v>59</v>
      </c>
      <c r="D37" s="70" t="s">
        <v>60</v>
      </c>
      <c r="E37" s="71" t="s">
        <v>61</v>
      </c>
      <c r="F37" s="70" t="s">
        <v>60</v>
      </c>
      <c r="G37" s="72" t="s">
        <v>61</v>
      </c>
      <c r="I37" s="73" t="s">
        <v>62</v>
      </c>
      <c r="J37" s="56"/>
      <c r="K37" s="56"/>
      <c r="L37" s="60"/>
      <c r="M37" s="60"/>
      <c r="N37" s="61"/>
    </row>
    <row r="38" spans="1:14" s="2" customFormat="1" ht="26.25" customHeight="1" x14ac:dyDescent="0.4">
      <c r="A38" s="67" t="s">
        <v>63</v>
      </c>
      <c r="B38" s="68">
        <v>20</v>
      </c>
      <c r="C38" s="74">
        <v>1</v>
      </c>
      <c r="D38" s="75">
        <v>104982067</v>
      </c>
      <c r="E38" s="76">
        <f>IF(ISBLANK(D38),"-",$D$48/$D$45*D38)</f>
        <v>104471696.64397004</v>
      </c>
      <c r="F38" s="75">
        <v>96508795</v>
      </c>
      <c r="G38" s="77">
        <f>IF(ISBLANK(F38),"-",$D$48/$F$45*F38)</f>
        <v>105570664.09382133</v>
      </c>
      <c r="I38" s="78"/>
      <c r="J38" s="56"/>
      <c r="K38" s="56"/>
      <c r="L38" s="60"/>
      <c r="M38" s="60"/>
      <c r="N38" s="61"/>
    </row>
    <row r="39" spans="1:14" s="2" customFormat="1" ht="26.25" customHeight="1" x14ac:dyDescent="0.4">
      <c r="A39" s="67" t="s">
        <v>64</v>
      </c>
      <c r="B39" s="68">
        <v>1</v>
      </c>
      <c r="C39" s="96">
        <v>2</v>
      </c>
      <c r="D39" s="79">
        <v>104965288</v>
      </c>
      <c r="E39" s="80">
        <f>IF(ISBLANK(D39),"-",$D$48/$D$45*D39)</f>
        <v>104454999.21508451</v>
      </c>
      <c r="F39" s="79">
        <v>96508795</v>
      </c>
      <c r="G39" s="81">
        <f>IF(ISBLANK(F39),"-",$D$48/$F$45*F39)</f>
        <v>105570664.09382133</v>
      </c>
      <c r="I39" s="399">
        <f>ABS((F43/D43*D42)-F42)/D42</f>
        <v>9.0093780779455877E-3</v>
      </c>
      <c r="J39" s="56"/>
      <c r="K39" s="56"/>
      <c r="L39" s="60"/>
      <c r="M39" s="60"/>
      <c r="N39" s="61"/>
    </row>
    <row r="40" spans="1:14" ht="26.25" customHeight="1" x14ac:dyDescent="0.4">
      <c r="A40" s="67" t="s">
        <v>65</v>
      </c>
      <c r="B40" s="68">
        <v>1</v>
      </c>
      <c r="C40" s="96">
        <v>3</v>
      </c>
      <c r="D40" s="79">
        <v>104977378</v>
      </c>
      <c r="E40" s="80">
        <f>IF(ISBLANK(D40),"-",$D$48/$D$45*D40)</f>
        <v>104467030.4395452</v>
      </c>
      <c r="F40" s="79">
        <v>96312635</v>
      </c>
      <c r="G40" s="81">
        <f>IF(ISBLANK(F40),"-",$D$48/$F$45*F40)</f>
        <v>105356085.29332295</v>
      </c>
      <c r="I40" s="399"/>
      <c r="L40" s="60"/>
      <c r="M40" s="60"/>
      <c r="N40" s="139"/>
    </row>
    <row r="41" spans="1:14" ht="27" customHeight="1" thickBot="1" x14ac:dyDescent="0.45">
      <c r="A41" s="67" t="s">
        <v>66</v>
      </c>
      <c r="B41" s="68">
        <v>1</v>
      </c>
      <c r="C41" s="82">
        <v>4</v>
      </c>
      <c r="D41" s="83"/>
      <c r="E41" s="84" t="str">
        <f>IF(ISBLANK(D41),"-",$D$48/$D$45*D41)</f>
        <v>-</v>
      </c>
      <c r="F41" s="83"/>
      <c r="G41" s="85" t="str">
        <f>IF(ISBLANK(F41),"-",$D$48/$F$45*F41)</f>
        <v>-</v>
      </c>
      <c r="I41" s="86"/>
      <c r="L41" s="60"/>
      <c r="M41" s="60"/>
      <c r="N41" s="139"/>
    </row>
    <row r="42" spans="1:14" ht="27" customHeight="1" thickBot="1" x14ac:dyDescent="0.45">
      <c r="A42" s="67" t="s">
        <v>67</v>
      </c>
      <c r="B42" s="68">
        <v>1</v>
      </c>
      <c r="C42" s="87" t="s">
        <v>68</v>
      </c>
      <c r="D42" s="88">
        <f>AVERAGE(D38:D41)</f>
        <v>104974911</v>
      </c>
      <c r="E42" s="89">
        <f>AVERAGE(E38:E41)</f>
        <v>104464575.43286659</v>
      </c>
      <c r="F42" s="88">
        <f>AVERAGE(F38:F41)</f>
        <v>96443408.333333328</v>
      </c>
      <c r="G42" s="90">
        <f>AVERAGE(G38:G41)</f>
        <v>105499137.82698853</v>
      </c>
      <c r="H42" s="91"/>
    </row>
    <row r="43" spans="1:14" ht="26.25" customHeight="1" x14ac:dyDescent="0.4">
      <c r="A43" s="67" t="s">
        <v>69</v>
      </c>
      <c r="B43" s="68">
        <v>1</v>
      </c>
      <c r="C43" s="92" t="s">
        <v>70</v>
      </c>
      <c r="D43" s="93">
        <v>20.27</v>
      </c>
      <c r="E43" s="139"/>
      <c r="F43" s="93">
        <v>18.440000000000001</v>
      </c>
      <c r="H43" s="91"/>
    </row>
    <row r="44" spans="1:14" ht="26.25" customHeight="1" x14ac:dyDescent="0.4">
      <c r="A44" s="67" t="s">
        <v>71</v>
      </c>
      <c r="B44" s="68">
        <v>1</v>
      </c>
      <c r="C44" s="94" t="s">
        <v>72</v>
      </c>
      <c r="D44" s="95">
        <f>D43*$B$34</f>
        <v>20.27</v>
      </c>
      <c r="E44" s="153"/>
      <c r="F44" s="95">
        <f>F43*$B$34</f>
        <v>18.440000000000001</v>
      </c>
      <c r="H44" s="91"/>
    </row>
    <row r="45" spans="1:14" ht="19.5" customHeight="1" thickBot="1" x14ac:dyDescent="0.35">
      <c r="A45" s="67" t="s">
        <v>73</v>
      </c>
      <c r="B45" s="96">
        <f>(B44/B43)*(B42/B41)*(B40/B39)*(B38/B37)*B36</f>
        <v>100</v>
      </c>
      <c r="C45" s="94" t="s">
        <v>74</v>
      </c>
      <c r="D45" s="97">
        <f>D44*$B$30/100</f>
        <v>20.097705000000001</v>
      </c>
      <c r="E45" s="136"/>
      <c r="F45" s="97">
        <f>F44*$B$30/100</f>
        <v>18.283260000000002</v>
      </c>
      <c r="H45" s="91"/>
    </row>
    <row r="46" spans="1:14" ht="19.5" customHeight="1" thickBot="1" x14ac:dyDescent="0.35">
      <c r="A46" s="400" t="s">
        <v>75</v>
      </c>
      <c r="B46" s="401"/>
      <c r="C46" s="94" t="s">
        <v>76</v>
      </c>
      <c r="D46" s="98">
        <f>D45/$B$45</f>
        <v>0.20097705000000002</v>
      </c>
      <c r="E46" s="99"/>
      <c r="F46" s="100">
        <f>F45/$B$45</f>
        <v>0.18283260000000001</v>
      </c>
      <c r="H46" s="91"/>
    </row>
    <row r="47" spans="1:14" ht="27" customHeight="1" thickBot="1" x14ac:dyDescent="0.45">
      <c r="A47" s="402"/>
      <c r="B47" s="403"/>
      <c r="C47" s="101" t="s">
        <v>77</v>
      </c>
      <c r="D47" s="102">
        <v>0.2</v>
      </c>
      <c r="E47" s="103"/>
      <c r="F47" s="99"/>
      <c r="H47" s="91"/>
    </row>
    <row r="48" spans="1:14" ht="18.75" x14ac:dyDescent="0.3">
      <c r="C48" s="104" t="s">
        <v>78</v>
      </c>
      <c r="D48" s="97">
        <f>D47*$B$45</f>
        <v>20</v>
      </c>
      <c r="F48" s="105"/>
      <c r="H48" s="91"/>
    </row>
    <row r="49" spans="1:12" ht="19.5" customHeight="1" thickBot="1" x14ac:dyDescent="0.35">
      <c r="C49" s="106" t="s">
        <v>79</v>
      </c>
      <c r="D49" s="107">
        <f>D48/B34</f>
        <v>20</v>
      </c>
      <c r="F49" s="105"/>
      <c r="H49" s="91"/>
    </row>
    <row r="50" spans="1:12" ht="18.75" x14ac:dyDescent="0.3">
      <c r="C50" s="65" t="s">
        <v>80</v>
      </c>
      <c r="D50" s="108">
        <f>AVERAGE(E38:E41,G38:G41)</f>
        <v>104981856.62992758</v>
      </c>
      <c r="F50" s="109"/>
      <c r="H50" s="91"/>
    </row>
    <row r="51" spans="1:12" ht="18.75" x14ac:dyDescent="0.3">
      <c r="C51" s="67" t="s">
        <v>81</v>
      </c>
      <c r="D51" s="110">
        <f>STDEV(E38:E41,G38:G41)/D50</f>
        <v>5.4492324369199993E-3</v>
      </c>
      <c r="F51" s="109"/>
      <c r="H51" s="91"/>
    </row>
    <row r="52" spans="1:12" ht="19.5" customHeight="1" thickBot="1" x14ac:dyDescent="0.35">
      <c r="C52" s="111" t="s">
        <v>20</v>
      </c>
      <c r="D52" s="112">
        <f>COUNT(E38:E41,G38:G41)</f>
        <v>6</v>
      </c>
      <c r="F52" s="109"/>
    </row>
    <row r="54" spans="1:12" ht="18.75" x14ac:dyDescent="0.3">
      <c r="A54" s="113" t="s">
        <v>1</v>
      </c>
      <c r="B54" s="114" t="s">
        <v>82</v>
      </c>
    </row>
    <row r="55" spans="1:12" ht="18.75" x14ac:dyDescent="0.3">
      <c r="A55" s="139" t="s">
        <v>83</v>
      </c>
      <c r="B55" s="115" t="str">
        <f>B21</f>
        <v xml:space="preserve">Lamivudine 150mg + Zidovudine 300mg + Nevirapine 200mg </v>
      </c>
    </row>
    <row r="56" spans="1:12" ht="26.25" customHeight="1" x14ac:dyDescent="0.4">
      <c r="A56" s="115" t="s">
        <v>84</v>
      </c>
      <c r="B56" s="116">
        <v>200</v>
      </c>
      <c r="C56" s="139" t="str">
        <f>B20</f>
        <v>Lamivudine     Nevirapine and Zidovudine</v>
      </c>
      <c r="H56" s="153"/>
    </row>
    <row r="57" spans="1:12" ht="18.75" x14ac:dyDescent="0.3">
      <c r="A57" s="115" t="s">
        <v>85</v>
      </c>
      <c r="B57" s="193">
        <f>Uniformity!C46</f>
        <v>1131.1235000000001</v>
      </c>
      <c r="H57" s="153"/>
    </row>
    <row r="58" spans="1:12" ht="19.5" customHeight="1" thickBot="1" x14ac:dyDescent="0.35">
      <c r="H58" s="153"/>
    </row>
    <row r="59" spans="1:12" s="2" customFormat="1" ht="27" customHeight="1" thickBot="1" x14ac:dyDescent="0.45">
      <c r="A59" s="65" t="s">
        <v>86</v>
      </c>
      <c r="B59" s="66">
        <v>100</v>
      </c>
      <c r="C59" s="139"/>
      <c r="D59" s="117" t="s">
        <v>87</v>
      </c>
      <c r="E59" s="118" t="s">
        <v>59</v>
      </c>
      <c r="F59" s="118" t="s">
        <v>60</v>
      </c>
      <c r="G59" s="118" t="s">
        <v>88</v>
      </c>
      <c r="H59" s="69" t="s">
        <v>89</v>
      </c>
      <c r="L59" s="56"/>
    </row>
    <row r="60" spans="1:12" s="2" customFormat="1" ht="26.25" customHeight="1" x14ac:dyDescent="0.4">
      <c r="A60" s="67" t="s">
        <v>90</v>
      </c>
      <c r="B60" s="68">
        <v>5</v>
      </c>
      <c r="C60" s="404" t="s">
        <v>91</v>
      </c>
      <c r="D60" s="407">
        <v>1145.96</v>
      </c>
      <c r="E60" s="119">
        <v>1</v>
      </c>
      <c r="F60" s="120">
        <v>105669677</v>
      </c>
      <c r="G60" s="194">
        <f>IF(ISBLANK(F60),"-",(F60/$D$50*$D$47*$B$68)*($B$57/$D$60))</f>
        <v>198.70403810824362</v>
      </c>
      <c r="H60" s="121">
        <f t="shared" ref="H60:H71" si="0">IF(ISBLANK(F60),"-",G60/$B$56)</f>
        <v>0.9935201905412181</v>
      </c>
      <c r="L60" s="56"/>
    </row>
    <row r="61" spans="1:12" s="2" customFormat="1" ht="26.25" customHeight="1" x14ac:dyDescent="0.4">
      <c r="A61" s="67" t="s">
        <v>92</v>
      </c>
      <c r="B61" s="68">
        <v>50</v>
      </c>
      <c r="C61" s="405"/>
      <c r="D61" s="408"/>
      <c r="E61" s="122">
        <v>2</v>
      </c>
      <c r="F61" s="79">
        <v>102244309</v>
      </c>
      <c r="G61" s="195">
        <f>IF(ISBLANK(F61),"-",(F61/$D$50*$D$47*$B$68)*($B$57/$D$60))</f>
        <v>192.26288608686704</v>
      </c>
      <c r="H61" s="123">
        <f t="shared" si="0"/>
        <v>0.96131443043433518</v>
      </c>
      <c r="L61" s="56"/>
    </row>
    <row r="62" spans="1:12" s="2" customFormat="1" ht="26.25" customHeight="1" x14ac:dyDescent="0.4">
      <c r="A62" s="67" t="s">
        <v>93</v>
      </c>
      <c r="B62" s="68">
        <v>1</v>
      </c>
      <c r="C62" s="405"/>
      <c r="D62" s="408"/>
      <c r="E62" s="122">
        <v>3</v>
      </c>
      <c r="F62" s="124">
        <v>105340570</v>
      </c>
      <c r="G62" s="195">
        <f>IF(ISBLANK(F62),"-",(F62/$D$50*$D$47*$B$68)*($B$57/$D$60))</f>
        <v>198.08517665502188</v>
      </c>
      <c r="H62" s="123">
        <f t="shared" si="0"/>
        <v>0.99042588327510939</v>
      </c>
      <c r="L62" s="56"/>
    </row>
    <row r="63" spans="1:12" ht="27" customHeight="1" thickBot="1" x14ac:dyDescent="0.45">
      <c r="A63" s="67" t="s">
        <v>94</v>
      </c>
      <c r="B63" s="68">
        <v>1</v>
      </c>
      <c r="C63" s="406"/>
      <c r="D63" s="409"/>
      <c r="E63" s="125">
        <v>4</v>
      </c>
      <c r="F63" s="126"/>
      <c r="G63" s="195" t="str">
        <f>IF(ISBLANK(F63),"-",(F63/$D$50*$D$47*$B$68)*($B$57/$D$60))</f>
        <v>-</v>
      </c>
      <c r="H63" s="123" t="str">
        <f t="shared" si="0"/>
        <v>-</v>
      </c>
    </row>
    <row r="64" spans="1:12" ht="26.25" customHeight="1" x14ac:dyDescent="0.4">
      <c r="A64" s="67" t="s">
        <v>95</v>
      </c>
      <c r="B64" s="68">
        <v>1</v>
      </c>
      <c r="C64" s="404" t="s">
        <v>96</v>
      </c>
      <c r="D64" s="407">
        <v>1137.73</v>
      </c>
      <c r="E64" s="119">
        <v>1</v>
      </c>
      <c r="F64" s="120">
        <v>104256319</v>
      </c>
      <c r="G64" s="196">
        <f>IF(ISBLANK(F64),"-",(F64/$D$50*$D$47*$B$68)*($B$57/$D$64))</f>
        <v>197.46446328982429</v>
      </c>
      <c r="H64" s="127">
        <f t="shared" si="0"/>
        <v>0.9873223164491215</v>
      </c>
    </row>
    <row r="65" spans="1:8" ht="26.25" customHeight="1" x14ac:dyDescent="0.4">
      <c r="A65" s="67" t="s">
        <v>97</v>
      </c>
      <c r="B65" s="68">
        <v>1</v>
      </c>
      <c r="C65" s="405"/>
      <c r="D65" s="408"/>
      <c r="E65" s="122">
        <v>2</v>
      </c>
      <c r="F65" s="79">
        <v>102276028</v>
      </c>
      <c r="G65" s="197">
        <f>IF(ISBLANK(F65),"-",(F65/$D$50*$D$47*$B$68)*($B$57/$D$64))</f>
        <v>193.71373524548707</v>
      </c>
      <c r="H65" s="128">
        <f t="shared" si="0"/>
        <v>0.96856867622743537</v>
      </c>
    </row>
    <row r="66" spans="1:8" ht="26.25" customHeight="1" x14ac:dyDescent="0.4">
      <c r="A66" s="67" t="s">
        <v>98</v>
      </c>
      <c r="B66" s="68">
        <v>1</v>
      </c>
      <c r="C66" s="405"/>
      <c r="D66" s="408"/>
      <c r="E66" s="122">
        <v>3</v>
      </c>
      <c r="F66" s="79">
        <v>106208619</v>
      </c>
      <c r="G66" s="197">
        <f>IF(ISBLANK(F66),"-",(F66/$D$50*$D$47*$B$68)*($B$57/$D$64))</f>
        <v>201.16217557602849</v>
      </c>
      <c r="H66" s="128">
        <f t="shared" si="0"/>
        <v>1.0058108778801425</v>
      </c>
    </row>
    <row r="67" spans="1:8" ht="27" customHeight="1" thickBot="1" x14ac:dyDescent="0.45">
      <c r="A67" s="67" t="s">
        <v>99</v>
      </c>
      <c r="B67" s="68">
        <v>1</v>
      </c>
      <c r="C67" s="406"/>
      <c r="D67" s="409"/>
      <c r="E67" s="125">
        <v>4</v>
      </c>
      <c r="F67" s="126"/>
      <c r="G67" s="198" t="str">
        <f>IF(ISBLANK(F67),"-",(F67/$D$50*$D$47*$B$68)*($B$57/$D$64))</f>
        <v>-</v>
      </c>
      <c r="H67" s="129" t="str">
        <f t="shared" si="0"/>
        <v>-</v>
      </c>
    </row>
    <row r="68" spans="1:8" ht="26.25" customHeight="1" x14ac:dyDescent="0.4">
      <c r="A68" s="67" t="s">
        <v>100</v>
      </c>
      <c r="B68" s="130">
        <f>(B67/B66)*(B65/B64)*(B63/B62)*(B61/B60)*B59</f>
        <v>1000</v>
      </c>
      <c r="C68" s="404" t="s">
        <v>101</v>
      </c>
      <c r="D68" s="407">
        <v>1155.96</v>
      </c>
      <c r="E68" s="119">
        <v>1</v>
      </c>
      <c r="F68" s="120">
        <v>103095920</v>
      </c>
      <c r="G68" s="196">
        <f>IF(ISBLANK(F68),"-",(F68/$D$50*$D$47*$B$68)*($B$57/$D$68))</f>
        <v>192.18719314032001</v>
      </c>
      <c r="H68" s="123">
        <f t="shared" si="0"/>
        <v>0.9609359657016</v>
      </c>
    </row>
    <row r="69" spans="1:8" ht="27" customHeight="1" thickBot="1" x14ac:dyDescent="0.45">
      <c r="A69" s="111" t="s">
        <v>102</v>
      </c>
      <c r="B69" s="131">
        <f>(D47*B68)/B56*B57</f>
        <v>1131.1235000000001</v>
      </c>
      <c r="C69" s="405"/>
      <c r="D69" s="408"/>
      <c r="E69" s="122">
        <v>2</v>
      </c>
      <c r="F69" s="79">
        <v>105203552</v>
      </c>
      <c r="G69" s="197">
        <f>IF(ISBLANK(F69),"-",(F69/$D$50*$D$47*$B$68)*($B$57/$D$68))</f>
        <v>196.11615442465325</v>
      </c>
      <c r="H69" s="123">
        <f t="shared" si="0"/>
        <v>0.98058077212326622</v>
      </c>
    </row>
    <row r="70" spans="1:8" ht="26.25" customHeight="1" x14ac:dyDescent="0.4">
      <c r="A70" s="391" t="s">
        <v>75</v>
      </c>
      <c r="B70" s="392"/>
      <c r="C70" s="405"/>
      <c r="D70" s="408"/>
      <c r="E70" s="122">
        <v>3</v>
      </c>
      <c r="F70" s="79">
        <v>102395473</v>
      </c>
      <c r="G70" s="197">
        <f>IF(ISBLANK(F70),"-",(F70/$D$50*$D$47*$B$68)*($B$57/$D$68))</f>
        <v>190.8814485204208</v>
      </c>
      <c r="H70" s="123">
        <f t="shared" si="0"/>
        <v>0.95440724260210397</v>
      </c>
    </row>
    <row r="71" spans="1:8" ht="27" customHeight="1" thickBot="1" x14ac:dyDescent="0.45">
      <c r="A71" s="393"/>
      <c r="B71" s="394"/>
      <c r="C71" s="410"/>
      <c r="D71" s="409"/>
      <c r="E71" s="125">
        <v>4</v>
      </c>
      <c r="F71" s="126"/>
      <c r="G71" s="198" t="str">
        <f>IF(ISBLANK(F71),"-",(F71/$D$50*$D$47*$B$68)*($B$57/$D$68))</f>
        <v>-</v>
      </c>
      <c r="H71" s="132" t="str">
        <f t="shared" si="0"/>
        <v>-</v>
      </c>
    </row>
    <row r="72" spans="1:8" ht="26.25" customHeight="1" x14ac:dyDescent="0.4">
      <c r="A72" s="153"/>
      <c r="B72" s="153"/>
      <c r="C72" s="153"/>
      <c r="D72" s="153"/>
      <c r="E72" s="153"/>
      <c r="F72" s="133" t="s">
        <v>68</v>
      </c>
      <c r="G72" s="203">
        <f>AVERAGE(G60:G71)</f>
        <v>195.61969678298516</v>
      </c>
      <c r="H72" s="134">
        <f>AVERAGE(H60:H71)</f>
        <v>0.97809848391492571</v>
      </c>
    </row>
    <row r="73" spans="1:8" ht="26.25" customHeight="1" x14ac:dyDescent="0.4">
      <c r="C73" s="153"/>
      <c r="D73" s="153"/>
      <c r="E73" s="153"/>
      <c r="F73" s="135" t="s">
        <v>81</v>
      </c>
      <c r="G73" s="199">
        <f>STDEV(G60:G71)/G72</f>
        <v>1.799148399620976E-2</v>
      </c>
      <c r="H73" s="199">
        <f>STDEV(H60:H71)/H72</f>
        <v>1.7991483996209773E-2</v>
      </c>
    </row>
    <row r="74" spans="1:8" ht="27" customHeight="1" thickBot="1" x14ac:dyDescent="0.45">
      <c r="A74" s="153"/>
      <c r="B74" s="153"/>
      <c r="C74" s="153"/>
      <c r="D74" s="153"/>
      <c r="E74" s="136"/>
      <c r="F74" s="137" t="s">
        <v>20</v>
      </c>
      <c r="G74" s="138">
        <f>COUNT(G60:G71)</f>
        <v>9</v>
      </c>
      <c r="H74" s="138">
        <f>COUNT(H60:H71)</f>
        <v>9</v>
      </c>
    </row>
    <row r="76" spans="1:8" ht="26.25" customHeight="1" x14ac:dyDescent="0.4">
      <c r="A76" s="187" t="s">
        <v>103</v>
      </c>
      <c r="B76" s="145" t="s">
        <v>104</v>
      </c>
      <c r="C76" s="395" t="str">
        <f>B20</f>
        <v>Lamivudine     Nevirapine and Zidovudine</v>
      </c>
      <c r="D76" s="395"/>
      <c r="E76" s="139" t="s">
        <v>105</v>
      </c>
      <c r="F76" s="139"/>
      <c r="G76" s="140">
        <f>H72</f>
        <v>0.97809848391492571</v>
      </c>
      <c r="H76" s="209"/>
    </row>
    <row r="77" spans="1:8" ht="18.75" x14ac:dyDescent="0.3">
      <c r="A77" s="54" t="s">
        <v>106</v>
      </c>
      <c r="B77" s="54" t="s">
        <v>107</v>
      </c>
    </row>
    <row r="78" spans="1:8" ht="18.75" x14ac:dyDescent="0.3">
      <c r="A78" s="54"/>
      <c r="B78" s="54"/>
    </row>
    <row r="79" spans="1:8" ht="26.25" customHeight="1" x14ac:dyDescent="0.4">
      <c r="A79" s="187" t="s">
        <v>4</v>
      </c>
      <c r="B79" s="411" t="str">
        <f>B26</f>
        <v>NEVIRAPINE</v>
      </c>
      <c r="C79" s="411"/>
    </row>
    <row r="80" spans="1:8" ht="26.25" customHeight="1" x14ac:dyDescent="0.4">
      <c r="A80" s="145" t="s">
        <v>45</v>
      </c>
      <c r="B80" s="411">
        <f>B27</f>
        <v>0</v>
      </c>
      <c r="C80" s="411"/>
    </row>
    <row r="81" spans="1:12" ht="27" customHeight="1" thickBot="1" x14ac:dyDescent="0.45">
      <c r="A81" s="145" t="s">
        <v>6</v>
      </c>
      <c r="B81" s="141">
        <f>B28</f>
        <v>99.15</v>
      </c>
    </row>
    <row r="82" spans="1:12" s="2" customFormat="1" ht="27" customHeight="1" thickBot="1" x14ac:dyDescent="0.45">
      <c r="A82" s="145" t="s">
        <v>46</v>
      </c>
      <c r="B82" s="55">
        <v>0</v>
      </c>
      <c r="C82" s="388" t="s">
        <v>47</v>
      </c>
      <c r="D82" s="389"/>
      <c r="E82" s="389"/>
      <c r="F82" s="389"/>
      <c r="G82" s="390"/>
      <c r="I82" s="56"/>
      <c r="J82" s="56"/>
      <c r="K82" s="56"/>
      <c r="L82" s="56"/>
    </row>
    <row r="83" spans="1:12" s="2" customFormat="1" ht="19.5" customHeight="1" thickBot="1" x14ac:dyDescent="0.35">
      <c r="A83" s="145" t="s">
        <v>48</v>
      </c>
      <c r="B83" s="209">
        <f>B81-B82</f>
        <v>99.15</v>
      </c>
      <c r="C83" s="57"/>
      <c r="D83" s="57"/>
      <c r="E83" s="57"/>
      <c r="F83" s="57"/>
      <c r="G83" s="58"/>
      <c r="I83" s="56"/>
      <c r="J83" s="56"/>
      <c r="K83" s="56"/>
      <c r="L83" s="56"/>
    </row>
    <row r="84" spans="1:12" s="2" customFormat="1" ht="27" customHeight="1" thickBot="1" x14ac:dyDescent="0.45">
      <c r="A84" s="145" t="s">
        <v>49</v>
      </c>
      <c r="B84" s="59">
        <v>1</v>
      </c>
      <c r="C84" s="376" t="s">
        <v>108</v>
      </c>
      <c r="D84" s="377"/>
      <c r="E84" s="377"/>
      <c r="F84" s="377"/>
      <c r="G84" s="377"/>
      <c r="H84" s="378"/>
      <c r="I84" s="56"/>
      <c r="J84" s="56"/>
      <c r="K84" s="56"/>
      <c r="L84" s="56"/>
    </row>
    <row r="85" spans="1:12" s="2" customFormat="1" ht="27" customHeight="1" thickBot="1" x14ac:dyDescent="0.45">
      <c r="A85" s="145" t="s">
        <v>51</v>
      </c>
      <c r="B85" s="59">
        <v>1</v>
      </c>
      <c r="C85" s="376" t="s">
        <v>109</v>
      </c>
      <c r="D85" s="377"/>
      <c r="E85" s="377"/>
      <c r="F85" s="377"/>
      <c r="G85" s="377"/>
      <c r="H85" s="378"/>
      <c r="I85" s="56"/>
      <c r="J85" s="56"/>
      <c r="K85" s="56"/>
      <c r="L85" s="56"/>
    </row>
    <row r="86" spans="1:12" s="2" customFormat="1" ht="18.75" x14ac:dyDescent="0.3">
      <c r="A86" s="145"/>
      <c r="B86" s="62"/>
      <c r="C86" s="63"/>
      <c r="D86" s="63"/>
      <c r="E86" s="63"/>
      <c r="F86" s="63"/>
      <c r="G86" s="63"/>
      <c r="H86" s="63"/>
      <c r="I86" s="56"/>
      <c r="J86" s="56"/>
      <c r="K86" s="56"/>
      <c r="L86" s="56"/>
    </row>
    <row r="87" spans="1:12" s="2" customFormat="1" ht="18.75" x14ac:dyDescent="0.3">
      <c r="A87" s="145" t="s">
        <v>53</v>
      </c>
      <c r="B87" s="64">
        <f>B84/B85</f>
        <v>1</v>
      </c>
      <c r="C87" s="139" t="s">
        <v>54</v>
      </c>
      <c r="D87" s="139"/>
      <c r="E87" s="139"/>
      <c r="F87" s="139"/>
      <c r="G87" s="139"/>
      <c r="I87" s="56"/>
      <c r="J87" s="56"/>
      <c r="K87" s="56"/>
      <c r="L87" s="56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5" t="s">
        <v>55</v>
      </c>
      <c r="B89" s="66">
        <v>20</v>
      </c>
      <c r="D89" s="207" t="s">
        <v>56</v>
      </c>
      <c r="E89" s="208"/>
      <c r="F89" s="396" t="s">
        <v>57</v>
      </c>
      <c r="G89" s="398"/>
    </row>
    <row r="90" spans="1:12" ht="27" customHeight="1" thickBot="1" x14ac:dyDescent="0.45">
      <c r="A90" s="67" t="s">
        <v>58</v>
      </c>
      <c r="B90" s="68">
        <v>4</v>
      </c>
      <c r="C90" s="210" t="s">
        <v>59</v>
      </c>
      <c r="D90" s="70" t="s">
        <v>60</v>
      </c>
      <c r="E90" s="71" t="s">
        <v>61</v>
      </c>
      <c r="F90" s="70" t="s">
        <v>60</v>
      </c>
      <c r="G90" s="142" t="s">
        <v>61</v>
      </c>
      <c r="I90" s="73" t="s">
        <v>62</v>
      </c>
    </row>
    <row r="91" spans="1:12" ht="26.25" customHeight="1" x14ac:dyDescent="0.4">
      <c r="A91" s="67" t="s">
        <v>63</v>
      </c>
      <c r="B91" s="68">
        <v>20</v>
      </c>
      <c r="C91" s="143">
        <v>1</v>
      </c>
      <c r="D91" s="350">
        <v>102418550</v>
      </c>
      <c r="E91" s="76">
        <f>IF(ISBLANK(D91),"-",$D$101/$D$98*D91)</f>
        <v>115524879.3292446</v>
      </c>
      <c r="F91" s="353">
        <v>123131668</v>
      </c>
      <c r="G91" s="77">
        <f>IF(ISBLANK(F91),"-",$D$101/$F$98*F91)</f>
        <v>118088013.795002</v>
      </c>
      <c r="I91" s="78"/>
    </row>
    <row r="92" spans="1:12" ht="26.25" customHeight="1" x14ac:dyDescent="0.4">
      <c r="A92" s="67" t="s">
        <v>64</v>
      </c>
      <c r="B92" s="68">
        <v>1</v>
      </c>
      <c r="C92" s="153">
        <v>2</v>
      </c>
      <c r="D92" s="351">
        <v>102541895</v>
      </c>
      <c r="E92" s="80">
        <f>IF(ISBLANK(D92),"-",$D$101/$D$98*D92)</f>
        <v>115664008.58113174</v>
      </c>
      <c r="F92" s="354">
        <v>123317792</v>
      </c>
      <c r="G92" s="81">
        <f>IF(ISBLANK(F92),"-",$D$101/$F$98*F92)</f>
        <v>118266513.88223854</v>
      </c>
      <c r="I92" s="399">
        <f>ABS((F96/D96*D95)-F95)/D95</f>
        <v>2.6883354010718442E-2</v>
      </c>
    </row>
    <row r="93" spans="1:12" ht="26.25" customHeight="1" x14ac:dyDescent="0.4">
      <c r="A93" s="67" t="s">
        <v>65</v>
      </c>
      <c r="B93" s="68">
        <v>1</v>
      </c>
      <c r="C93" s="153">
        <v>3</v>
      </c>
      <c r="D93" s="351">
        <v>102529364</v>
      </c>
      <c r="E93" s="80">
        <f>IF(ISBLANK(D93),"-",$D$101/$D$98*D93)</f>
        <v>115649874.01016901</v>
      </c>
      <c r="F93" s="354">
        <v>123469481</v>
      </c>
      <c r="G93" s="81">
        <f>IF(ISBLANK(F93),"-",$D$101/$F$98*F93)</f>
        <v>118411989.47771695</v>
      </c>
      <c r="I93" s="399"/>
    </row>
    <row r="94" spans="1:12" ht="27" customHeight="1" thickBot="1" x14ac:dyDescent="0.45">
      <c r="A94" s="67" t="s">
        <v>66</v>
      </c>
      <c r="B94" s="68">
        <v>1</v>
      </c>
      <c r="C94" s="144">
        <v>4</v>
      </c>
      <c r="D94" s="352"/>
      <c r="E94" s="84" t="str">
        <f>IF(ISBLANK(D94),"-",$D$101/$D$98*D94)</f>
        <v>-</v>
      </c>
      <c r="F94" s="355"/>
      <c r="G94" s="85" t="str">
        <f>IF(ISBLANK(F94),"-",$D$101/$F$98*F94)</f>
        <v>-</v>
      </c>
      <c r="I94" s="86"/>
    </row>
    <row r="95" spans="1:12" ht="27" customHeight="1" thickBot="1" x14ac:dyDescent="0.45">
      <c r="A95" s="67" t="s">
        <v>67</v>
      </c>
      <c r="B95" s="68">
        <v>1</v>
      </c>
      <c r="C95" s="145" t="s">
        <v>68</v>
      </c>
      <c r="D95" s="146">
        <f>AVERAGE(D91:D94)</f>
        <v>102496603</v>
      </c>
      <c r="E95" s="89">
        <f>AVERAGE(E91:E94)</f>
        <v>115612920.64018178</v>
      </c>
      <c r="F95" s="147">
        <f>AVERAGE(F91:F94)</f>
        <v>123306313.66666667</v>
      </c>
      <c r="G95" s="148">
        <f>AVERAGE(G91:G94)</f>
        <v>118255505.71831918</v>
      </c>
    </row>
    <row r="96" spans="1:12" ht="26.25" customHeight="1" x14ac:dyDescent="0.4">
      <c r="A96" s="67" t="s">
        <v>69</v>
      </c>
      <c r="B96" s="141">
        <v>1</v>
      </c>
      <c r="C96" s="149" t="s">
        <v>110</v>
      </c>
      <c r="D96" s="150">
        <v>19.87</v>
      </c>
      <c r="E96" s="139"/>
      <c r="F96" s="93">
        <v>23.37</v>
      </c>
    </row>
    <row r="97" spans="1:10" ht="26.25" customHeight="1" x14ac:dyDescent="0.4">
      <c r="A97" s="67" t="s">
        <v>71</v>
      </c>
      <c r="B97" s="141">
        <v>1</v>
      </c>
      <c r="C97" s="151" t="s">
        <v>111</v>
      </c>
      <c r="D97" s="152">
        <f>D96*$B$87</f>
        <v>19.87</v>
      </c>
      <c r="E97" s="153"/>
      <c r="F97" s="95">
        <f>F96*$B$87</f>
        <v>23.37</v>
      </c>
    </row>
    <row r="98" spans="1:10" ht="19.5" customHeight="1" thickBot="1" x14ac:dyDescent="0.35">
      <c r="A98" s="67" t="s">
        <v>73</v>
      </c>
      <c r="B98" s="153">
        <f>(B97/B96)*(B95/B94)*(B93/B92)*(B91/B90)*B89</f>
        <v>100</v>
      </c>
      <c r="C98" s="151" t="s">
        <v>112</v>
      </c>
      <c r="D98" s="154">
        <f>D97*$B$83/100</f>
        <v>19.701105000000002</v>
      </c>
      <c r="E98" s="136"/>
      <c r="F98" s="97">
        <f>F97*$B$83/100</f>
        <v>23.171355000000002</v>
      </c>
    </row>
    <row r="99" spans="1:10" ht="19.5" customHeight="1" thickBot="1" x14ac:dyDescent="0.35">
      <c r="A99" s="400" t="s">
        <v>75</v>
      </c>
      <c r="B99" s="412"/>
      <c r="C99" s="151" t="s">
        <v>113</v>
      </c>
      <c r="D99" s="155">
        <f>D98/$B$98</f>
        <v>0.19701105000000002</v>
      </c>
      <c r="E99" s="136"/>
      <c r="F99" s="100">
        <f>F98/$B$98</f>
        <v>0.23171355000000002</v>
      </c>
      <c r="H99" s="91"/>
    </row>
    <row r="100" spans="1:10" ht="19.5" customHeight="1" thickBot="1" x14ac:dyDescent="0.35">
      <c r="A100" s="402"/>
      <c r="B100" s="413"/>
      <c r="C100" s="151" t="s">
        <v>77</v>
      </c>
      <c r="D100" s="157">
        <f>$B$56/$B$116</f>
        <v>0.22222222222222221</v>
      </c>
      <c r="F100" s="105"/>
      <c r="G100" s="163"/>
      <c r="H100" s="91"/>
    </row>
    <row r="101" spans="1:10" ht="18.75" x14ac:dyDescent="0.3">
      <c r="C101" s="151" t="s">
        <v>78</v>
      </c>
      <c r="D101" s="152">
        <f>D100*$B$98</f>
        <v>22.222222222222221</v>
      </c>
      <c r="F101" s="105"/>
      <c r="H101" s="91"/>
    </row>
    <row r="102" spans="1:10" ht="19.5" customHeight="1" thickBot="1" x14ac:dyDescent="0.35">
      <c r="C102" s="158" t="s">
        <v>79</v>
      </c>
      <c r="D102" s="159">
        <f>D101/B34</f>
        <v>22.222222222222221</v>
      </c>
      <c r="F102" s="109"/>
      <c r="H102" s="91"/>
      <c r="J102" s="160"/>
    </row>
    <row r="103" spans="1:10" ht="18.75" x14ac:dyDescent="0.3">
      <c r="C103" s="161" t="s">
        <v>114</v>
      </c>
      <c r="D103" s="162">
        <f>AVERAGE(E91:E94,G91:G94)</f>
        <v>116934213.17925046</v>
      </c>
      <c r="F103" s="109"/>
      <c r="G103" s="163"/>
      <c r="H103" s="91"/>
      <c r="J103" s="164"/>
    </row>
    <row r="104" spans="1:10" ht="18.75" x14ac:dyDescent="0.3">
      <c r="C104" s="135" t="s">
        <v>81</v>
      </c>
      <c r="D104" s="165">
        <f>STDEV(E91:E94,G91:G94)/D103</f>
        <v>1.2415914625999768E-2</v>
      </c>
      <c r="F104" s="109"/>
      <c r="H104" s="91"/>
      <c r="J104" s="164"/>
    </row>
    <row r="105" spans="1:10" ht="19.5" customHeight="1" thickBot="1" x14ac:dyDescent="0.35">
      <c r="C105" s="137" t="s">
        <v>20</v>
      </c>
      <c r="D105" s="166">
        <f>COUNT(E91:E94,G91:G94)</f>
        <v>6</v>
      </c>
      <c r="F105" s="109"/>
      <c r="H105" s="91"/>
      <c r="J105" s="164"/>
    </row>
    <row r="106" spans="1:10" ht="19.5" customHeight="1" thickBot="1" x14ac:dyDescent="0.35">
      <c r="A106" s="113"/>
      <c r="B106" s="113"/>
      <c r="C106" s="113"/>
      <c r="D106" s="113"/>
      <c r="E106" s="113"/>
    </row>
    <row r="107" spans="1:10" ht="26.25" customHeight="1" x14ac:dyDescent="0.4">
      <c r="A107" s="65" t="s">
        <v>115</v>
      </c>
      <c r="B107" s="66">
        <v>900</v>
      </c>
      <c r="C107" s="207" t="s">
        <v>116</v>
      </c>
      <c r="D107" s="167" t="s">
        <v>60</v>
      </c>
      <c r="E107" s="168" t="s">
        <v>117</v>
      </c>
      <c r="F107" s="169" t="s">
        <v>118</v>
      </c>
    </row>
    <row r="108" spans="1:10" ht="26.25" customHeight="1" x14ac:dyDescent="0.4">
      <c r="A108" s="67" t="s">
        <v>119</v>
      </c>
      <c r="B108" s="68">
        <v>1</v>
      </c>
      <c r="C108" s="170">
        <v>1</v>
      </c>
      <c r="D108" s="171">
        <v>114228539</v>
      </c>
      <c r="E108" s="200">
        <f t="shared" ref="E108:E113" si="1">IF(ISBLANK(D108),"-",D108/$D$103*$D$100*$B$116)</f>
        <v>195.37231387514808</v>
      </c>
      <c r="F108" s="172">
        <f t="shared" ref="F108:F113" si="2">IF(ISBLANK(D108), "-", E108/$B$56)</f>
        <v>0.97686156937574042</v>
      </c>
    </row>
    <row r="109" spans="1:10" ht="26.25" customHeight="1" x14ac:dyDescent="0.4">
      <c r="A109" s="67" t="s">
        <v>92</v>
      </c>
      <c r="B109" s="68">
        <v>1</v>
      </c>
      <c r="C109" s="170">
        <v>2</v>
      </c>
      <c r="D109" s="171">
        <v>115090533</v>
      </c>
      <c r="E109" s="201">
        <f t="shared" si="1"/>
        <v>196.84663687534416</v>
      </c>
      <c r="F109" s="173">
        <f t="shared" si="2"/>
        <v>0.9842331843767208</v>
      </c>
    </row>
    <row r="110" spans="1:10" ht="26.25" customHeight="1" x14ac:dyDescent="0.4">
      <c r="A110" s="67" t="s">
        <v>93</v>
      </c>
      <c r="B110" s="68">
        <v>1</v>
      </c>
      <c r="C110" s="170">
        <v>3</v>
      </c>
      <c r="D110" s="171">
        <v>115548102</v>
      </c>
      <c r="E110" s="201">
        <f t="shared" si="1"/>
        <v>197.62924615206384</v>
      </c>
      <c r="F110" s="173">
        <f t="shared" si="2"/>
        <v>0.98814623076031927</v>
      </c>
    </row>
    <row r="111" spans="1:10" ht="26.25" customHeight="1" x14ac:dyDescent="0.4">
      <c r="A111" s="67" t="s">
        <v>94</v>
      </c>
      <c r="B111" s="68">
        <v>1</v>
      </c>
      <c r="C111" s="170">
        <v>4</v>
      </c>
      <c r="D111" s="171">
        <v>114103798</v>
      </c>
      <c r="E111" s="201">
        <f t="shared" si="1"/>
        <v>195.15896143259343</v>
      </c>
      <c r="F111" s="173">
        <f t="shared" si="2"/>
        <v>0.97579480716296718</v>
      </c>
    </row>
    <row r="112" spans="1:10" ht="26.25" customHeight="1" x14ac:dyDescent="0.4">
      <c r="A112" s="67" t="s">
        <v>95</v>
      </c>
      <c r="B112" s="68">
        <v>1</v>
      </c>
      <c r="C112" s="170">
        <v>5</v>
      </c>
      <c r="D112" s="171">
        <v>115669031</v>
      </c>
      <c r="E112" s="201">
        <f t="shared" si="1"/>
        <v>197.83607868928652</v>
      </c>
      <c r="F112" s="173">
        <f t="shared" si="2"/>
        <v>0.9891803934464326</v>
      </c>
    </row>
    <row r="113" spans="1:10" ht="26.25" customHeight="1" x14ac:dyDescent="0.4">
      <c r="A113" s="67" t="s">
        <v>97</v>
      </c>
      <c r="B113" s="68">
        <v>1</v>
      </c>
      <c r="C113" s="174">
        <v>6</v>
      </c>
      <c r="D113" s="175">
        <v>113987853</v>
      </c>
      <c r="E113" s="202">
        <f t="shared" si="1"/>
        <v>194.9606533466233</v>
      </c>
      <c r="F113" s="176">
        <f t="shared" si="2"/>
        <v>0.97480326673311657</v>
      </c>
    </row>
    <row r="114" spans="1:10" ht="26.25" customHeight="1" x14ac:dyDescent="0.4">
      <c r="A114" s="67" t="s">
        <v>98</v>
      </c>
      <c r="B114" s="68">
        <v>1</v>
      </c>
      <c r="C114" s="170"/>
      <c r="D114" s="153"/>
      <c r="E114" s="139"/>
      <c r="F114" s="177"/>
    </row>
    <row r="115" spans="1:10" ht="26.25" customHeight="1" x14ac:dyDescent="0.4">
      <c r="A115" s="67" t="s">
        <v>99</v>
      </c>
      <c r="B115" s="68">
        <v>1</v>
      </c>
      <c r="C115" s="170"/>
      <c r="D115" s="178" t="s">
        <v>68</v>
      </c>
      <c r="E115" s="204">
        <f>AVERAGE(E108:E113)</f>
        <v>196.30064839517658</v>
      </c>
      <c r="F115" s="179">
        <f>AVERAGE(F108:F113)</f>
        <v>0.9815032419758829</v>
      </c>
    </row>
    <row r="116" spans="1:10" ht="27" customHeight="1" thickBot="1" x14ac:dyDescent="0.45">
      <c r="A116" s="67" t="s">
        <v>100</v>
      </c>
      <c r="B116" s="96">
        <f>(B115/B114)*(B113/B112)*(B111/B110)*(B109/B108)*B107</f>
        <v>900</v>
      </c>
      <c r="C116" s="180"/>
      <c r="D116" s="145" t="s">
        <v>81</v>
      </c>
      <c r="E116" s="181">
        <f>STDEV(E108:E113)/E115</f>
        <v>6.595661317568593E-3</v>
      </c>
      <c r="F116" s="181">
        <f>STDEV(F108:F113)/F115</f>
        <v>6.5956613175685809E-3</v>
      </c>
      <c r="I116" s="139"/>
    </row>
    <row r="117" spans="1:10" ht="27" customHeight="1" thickBot="1" x14ac:dyDescent="0.45">
      <c r="A117" s="400" t="s">
        <v>75</v>
      </c>
      <c r="B117" s="401"/>
      <c r="C117" s="182"/>
      <c r="D117" s="183" t="s">
        <v>20</v>
      </c>
      <c r="E117" s="184">
        <f>COUNT(E108:E113)</f>
        <v>6</v>
      </c>
      <c r="F117" s="184">
        <f>COUNT(F108:F113)</f>
        <v>6</v>
      </c>
      <c r="I117" s="139"/>
      <c r="J117" s="164"/>
    </row>
    <row r="118" spans="1:10" ht="19.5" customHeight="1" thickBot="1" x14ac:dyDescent="0.35">
      <c r="A118" s="402"/>
      <c r="B118" s="403"/>
      <c r="C118" s="139"/>
      <c r="D118" s="139"/>
      <c r="E118" s="139"/>
      <c r="F118" s="153"/>
      <c r="G118" s="139"/>
      <c r="H118" s="139"/>
      <c r="I118" s="139"/>
    </row>
    <row r="119" spans="1:10" ht="18.75" x14ac:dyDescent="0.3">
      <c r="A119" s="191"/>
      <c r="B119" s="63"/>
      <c r="C119" s="139"/>
      <c r="D119" s="139"/>
      <c r="E119" s="139"/>
      <c r="F119" s="153"/>
      <c r="G119" s="139"/>
      <c r="H119" s="139"/>
      <c r="I119" s="139"/>
    </row>
    <row r="120" spans="1:10" ht="26.25" customHeight="1" x14ac:dyDescent="0.4">
      <c r="A120" s="187" t="s">
        <v>103</v>
      </c>
      <c r="B120" s="145" t="s">
        <v>120</v>
      </c>
      <c r="C120" s="395" t="str">
        <f>B20</f>
        <v>Lamivudine     Nevirapine and Zidovudine</v>
      </c>
      <c r="D120" s="395"/>
      <c r="E120" s="139" t="s">
        <v>121</v>
      </c>
      <c r="F120" s="139"/>
      <c r="G120" s="140">
        <f>F115</f>
        <v>0.9815032419758829</v>
      </c>
      <c r="H120" s="139"/>
      <c r="I120" s="139"/>
    </row>
    <row r="121" spans="1:10" ht="19.5" customHeight="1" thickBot="1" x14ac:dyDescent="0.35">
      <c r="A121" s="211"/>
      <c r="B121" s="211"/>
      <c r="C121" s="185"/>
      <c r="D121" s="185"/>
      <c r="E121" s="185"/>
      <c r="F121" s="185"/>
      <c r="G121" s="185"/>
      <c r="H121" s="185"/>
    </row>
    <row r="122" spans="1:10" ht="18.75" x14ac:dyDescent="0.3">
      <c r="B122" s="414" t="s">
        <v>23</v>
      </c>
      <c r="C122" s="414"/>
      <c r="E122" s="210" t="s">
        <v>24</v>
      </c>
      <c r="F122" s="186"/>
      <c r="G122" s="414" t="s">
        <v>25</v>
      </c>
      <c r="H122" s="414"/>
    </row>
    <row r="123" spans="1:10" ht="69.95" customHeight="1" x14ac:dyDescent="0.3">
      <c r="A123" s="187" t="s">
        <v>26</v>
      </c>
      <c r="B123" s="188"/>
      <c r="C123" s="188"/>
      <c r="E123" s="188"/>
      <c r="F123" s="139"/>
      <c r="G123" s="188"/>
      <c r="H123" s="188"/>
    </row>
    <row r="124" spans="1:10" ht="69.95" customHeight="1" x14ac:dyDescent="0.3">
      <c r="A124" s="187" t="s">
        <v>27</v>
      </c>
      <c r="B124" s="189"/>
      <c r="C124" s="189"/>
      <c r="E124" s="189"/>
      <c r="F124" s="139"/>
      <c r="G124" s="190"/>
      <c r="H124" s="190"/>
    </row>
    <row r="125" spans="1:10" ht="18.75" x14ac:dyDescent="0.3">
      <c r="A125" s="153"/>
      <c r="B125" s="153"/>
      <c r="C125" s="153"/>
      <c r="D125" s="153"/>
      <c r="E125" s="153"/>
      <c r="F125" s="136"/>
      <c r="G125" s="153"/>
      <c r="H125" s="153"/>
      <c r="I125" s="139"/>
    </row>
    <row r="126" spans="1:10" ht="18.75" x14ac:dyDescent="0.3">
      <c r="A126" s="153"/>
      <c r="B126" s="153"/>
      <c r="C126" s="153"/>
      <c r="D126" s="153"/>
      <c r="E126" s="153"/>
      <c r="F126" s="136"/>
      <c r="G126" s="153"/>
      <c r="H126" s="153"/>
      <c r="I126" s="139"/>
    </row>
    <row r="127" spans="1:10" ht="18.75" x14ac:dyDescent="0.3">
      <c r="A127" s="153"/>
      <c r="B127" s="153"/>
      <c r="C127" s="153"/>
      <c r="D127" s="153"/>
      <c r="E127" s="153"/>
      <c r="F127" s="136"/>
      <c r="G127" s="153"/>
      <c r="H127" s="153"/>
      <c r="I127" s="139"/>
    </row>
    <row r="128" spans="1:10" ht="18.75" x14ac:dyDescent="0.3">
      <c r="A128" s="153"/>
      <c r="B128" s="153"/>
      <c r="C128" s="153"/>
      <c r="D128" s="153"/>
      <c r="E128" s="153"/>
      <c r="F128" s="136"/>
      <c r="G128" s="153"/>
      <c r="H128" s="153"/>
      <c r="I128" s="139"/>
    </row>
    <row r="129" spans="1:9" ht="18.75" x14ac:dyDescent="0.3">
      <c r="A129" s="153"/>
      <c r="B129" s="153"/>
      <c r="C129" s="153"/>
      <c r="D129" s="153"/>
      <c r="E129" s="153"/>
      <c r="F129" s="136"/>
      <c r="G129" s="153"/>
      <c r="H129" s="153"/>
      <c r="I129" s="139"/>
    </row>
    <row r="130" spans="1:9" ht="18.75" x14ac:dyDescent="0.3">
      <c r="A130" s="153"/>
      <c r="B130" s="153"/>
      <c r="C130" s="153"/>
      <c r="D130" s="153"/>
      <c r="E130" s="153"/>
      <c r="F130" s="136"/>
      <c r="G130" s="153"/>
      <c r="H130" s="153"/>
      <c r="I130" s="139"/>
    </row>
    <row r="131" spans="1:9" ht="18.75" x14ac:dyDescent="0.3">
      <c r="A131" s="153"/>
      <c r="B131" s="153"/>
      <c r="C131" s="153"/>
      <c r="D131" s="153"/>
      <c r="E131" s="153"/>
      <c r="F131" s="136"/>
      <c r="G131" s="153"/>
      <c r="H131" s="153"/>
      <c r="I131" s="139"/>
    </row>
    <row r="132" spans="1:9" ht="18.75" x14ac:dyDescent="0.3">
      <c r="A132" s="153"/>
      <c r="B132" s="153"/>
      <c r="C132" s="153"/>
      <c r="D132" s="153"/>
      <c r="E132" s="153"/>
      <c r="F132" s="136"/>
      <c r="G132" s="153"/>
      <c r="H132" s="153"/>
      <c r="I132" s="139"/>
    </row>
    <row r="133" spans="1:9" ht="18.75" x14ac:dyDescent="0.3">
      <c r="A133" s="153"/>
      <c r="B133" s="153"/>
      <c r="C133" s="153"/>
      <c r="D133" s="153"/>
      <c r="E133" s="153"/>
      <c r="F133" s="136"/>
      <c r="G133" s="153"/>
      <c r="H133" s="153"/>
      <c r="I133" s="139"/>
    </row>
    <row r="250" spans="1:1" x14ac:dyDescent="0.25">
      <c r="A250" s="156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9" zoomScale="60" zoomScaleNormal="40" zoomScalePageLayoutView="50" workbookViewId="0">
      <selection activeCell="E80" sqref="E80"/>
    </sheetView>
  </sheetViews>
  <sheetFormatPr defaultColWidth="9.140625" defaultRowHeight="13.5" x14ac:dyDescent="0.25"/>
  <cols>
    <col min="1" max="1" width="55.42578125" style="156" customWidth="1"/>
    <col min="2" max="2" width="33.7109375" style="156" customWidth="1"/>
    <col min="3" max="3" width="42.28515625" style="156" customWidth="1"/>
    <col min="4" max="4" width="30.5703125" style="156" customWidth="1"/>
    <col min="5" max="5" width="39.85546875" style="156" customWidth="1"/>
    <col min="6" max="6" width="30.7109375" style="156" customWidth="1"/>
    <col min="7" max="7" width="39.85546875" style="156" customWidth="1"/>
    <col min="8" max="8" width="30" style="156" customWidth="1"/>
    <col min="9" max="9" width="30.28515625" style="156" hidden="1" customWidth="1"/>
    <col min="10" max="10" width="30.42578125" style="156" customWidth="1"/>
    <col min="11" max="11" width="21.28515625" style="156" customWidth="1"/>
    <col min="12" max="12" width="9.140625" style="156"/>
  </cols>
  <sheetData>
    <row r="1" spans="1:9" ht="18.75" customHeight="1" x14ac:dyDescent="0.25">
      <c r="A1" s="379" t="s">
        <v>42</v>
      </c>
      <c r="B1" s="379"/>
      <c r="C1" s="379"/>
      <c r="D1" s="379"/>
      <c r="E1" s="379"/>
      <c r="F1" s="379"/>
      <c r="G1" s="379"/>
      <c r="H1" s="379"/>
      <c r="I1" s="379"/>
    </row>
    <row r="2" spans="1:9" ht="18.75" customHeight="1" x14ac:dyDescent="0.25">
      <c r="A2" s="379"/>
      <c r="B2" s="379"/>
      <c r="C2" s="379"/>
      <c r="D2" s="379"/>
      <c r="E2" s="379"/>
      <c r="F2" s="379"/>
      <c r="G2" s="379"/>
      <c r="H2" s="379"/>
      <c r="I2" s="379"/>
    </row>
    <row r="3" spans="1:9" ht="18.75" customHeight="1" x14ac:dyDescent="0.25">
      <c r="A3" s="379"/>
      <c r="B3" s="379"/>
      <c r="C3" s="379"/>
      <c r="D3" s="379"/>
      <c r="E3" s="379"/>
      <c r="F3" s="379"/>
      <c r="G3" s="379"/>
      <c r="H3" s="379"/>
      <c r="I3" s="379"/>
    </row>
    <row r="4" spans="1:9" ht="18.75" customHeight="1" x14ac:dyDescent="0.25">
      <c r="A4" s="379"/>
      <c r="B4" s="379"/>
      <c r="C4" s="379"/>
      <c r="D4" s="379"/>
      <c r="E4" s="379"/>
      <c r="F4" s="379"/>
      <c r="G4" s="379"/>
      <c r="H4" s="379"/>
      <c r="I4" s="379"/>
    </row>
    <row r="5" spans="1:9" ht="18.75" customHeight="1" x14ac:dyDescent="0.25">
      <c r="A5" s="379"/>
      <c r="B5" s="379"/>
      <c r="C5" s="379"/>
      <c r="D5" s="379"/>
      <c r="E5" s="379"/>
      <c r="F5" s="379"/>
      <c r="G5" s="379"/>
      <c r="H5" s="379"/>
      <c r="I5" s="379"/>
    </row>
    <row r="6" spans="1:9" ht="18.75" customHeight="1" x14ac:dyDescent="0.25">
      <c r="A6" s="379"/>
      <c r="B6" s="379"/>
      <c r="C6" s="379"/>
      <c r="D6" s="379"/>
      <c r="E6" s="379"/>
      <c r="F6" s="379"/>
      <c r="G6" s="379"/>
      <c r="H6" s="379"/>
      <c r="I6" s="379"/>
    </row>
    <row r="7" spans="1:9" ht="18.75" customHeight="1" x14ac:dyDescent="0.25">
      <c r="A7" s="379"/>
      <c r="B7" s="379"/>
      <c r="C7" s="379"/>
      <c r="D7" s="379"/>
      <c r="E7" s="379"/>
      <c r="F7" s="379"/>
      <c r="G7" s="379"/>
      <c r="H7" s="379"/>
      <c r="I7" s="379"/>
    </row>
    <row r="8" spans="1:9" x14ac:dyDescent="0.25">
      <c r="A8" s="380" t="s">
        <v>43</v>
      </c>
      <c r="B8" s="380"/>
      <c r="C8" s="380"/>
      <c r="D8" s="380"/>
      <c r="E8" s="380"/>
      <c r="F8" s="380"/>
      <c r="G8" s="380"/>
      <c r="H8" s="380"/>
      <c r="I8" s="380"/>
    </row>
    <row r="9" spans="1:9" x14ac:dyDescent="0.25">
      <c r="A9" s="380"/>
      <c r="B9" s="380"/>
      <c r="C9" s="380"/>
      <c r="D9" s="380"/>
      <c r="E9" s="380"/>
      <c r="F9" s="380"/>
      <c r="G9" s="380"/>
      <c r="H9" s="380"/>
      <c r="I9" s="380"/>
    </row>
    <row r="10" spans="1:9" x14ac:dyDescent="0.25">
      <c r="A10" s="380"/>
      <c r="B10" s="380"/>
      <c r="C10" s="380"/>
      <c r="D10" s="380"/>
      <c r="E10" s="380"/>
      <c r="F10" s="380"/>
      <c r="G10" s="380"/>
      <c r="H10" s="380"/>
      <c r="I10" s="380"/>
    </row>
    <row r="11" spans="1:9" x14ac:dyDescent="0.25">
      <c r="A11" s="380"/>
      <c r="B11" s="380"/>
      <c r="C11" s="380"/>
      <c r="D11" s="380"/>
      <c r="E11" s="380"/>
      <c r="F11" s="380"/>
      <c r="G11" s="380"/>
      <c r="H11" s="380"/>
      <c r="I11" s="380"/>
    </row>
    <row r="12" spans="1:9" x14ac:dyDescent="0.25">
      <c r="A12" s="380"/>
      <c r="B12" s="380"/>
      <c r="C12" s="380"/>
      <c r="D12" s="380"/>
      <c r="E12" s="380"/>
      <c r="F12" s="380"/>
      <c r="G12" s="380"/>
      <c r="H12" s="380"/>
      <c r="I12" s="380"/>
    </row>
    <row r="13" spans="1:9" x14ac:dyDescent="0.25">
      <c r="A13" s="380"/>
      <c r="B13" s="380"/>
      <c r="C13" s="380"/>
      <c r="D13" s="380"/>
      <c r="E13" s="380"/>
      <c r="F13" s="380"/>
      <c r="G13" s="380"/>
      <c r="H13" s="380"/>
      <c r="I13" s="380"/>
    </row>
    <row r="14" spans="1:9" x14ac:dyDescent="0.25">
      <c r="A14" s="380"/>
      <c r="B14" s="380"/>
      <c r="C14" s="380"/>
      <c r="D14" s="380"/>
      <c r="E14" s="380"/>
      <c r="F14" s="380"/>
      <c r="G14" s="380"/>
      <c r="H14" s="380"/>
      <c r="I14" s="380"/>
    </row>
    <row r="15" spans="1:9" ht="19.5" customHeight="1" thickBot="1" x14ac:dyDescent="0.35">
      <c r="A15" s="139"/>
    </row>
    <row r="16" spans="1:9" ht="19.5" customHeight="1" thickBot="1" x14ac:dyDescent="0.35">
      <c r="A16" s="381" t="s">
        <v>28</v>
      </c>
      <c r="B16" s="382"/>
      <c r="C16" s="382"/>
      <c r="D16" s="382"/>
      <c r="E16" s="382"/>
      <c r="F16" s="382"/>
      <c r="G16" s="382"/>
      <c r="H16" s="383"/>
    </row>
    <row r="17" spans="1:14" ht="20.25" customHeight="1" x14ac:dyDescent="0.25">
      <c r="A17" s="384" t="s">
        <v>44</v>
      </c>
      <c r="B17" s="384"/>
      <c r="C17" s="384"/>
      <c r="D17" s="384"/>
      <c r="E17" s="384"/>
      <c r="F17" s="384"/>
      <c r="G17" s="384"/>
      <c r="H17" s="384"/>
    </row>
    <row r="18" spans="1:14" ht="26.25" customHeight="1" x14ac:dyDescent="0.4">
      <c r="A18" s="49" t="s">
        <v>30</v>
      </c>
      <c r="B18" s="385" t="s">
        <v>5</v>
      </c>
      <c r="C18" s="385"/>
      <c r="D18" s="192"/>
      <c r="E18" s="50"/>
      <c r="F18" s="205"/>
      <c r="G18" s="205"/>
      <c r="H18" s="205"/>
    </row>
    <row r="19" spans="1:14" ht="26.25" customHeight="1" x14ac:dyDescent="0.4">
      <c r="A19" s="49" t="s">
        <v>31</v>
      </c>
      <c r="B19" s="206" t="s">
        <v>7</v>
      </c>
      <c r="C19" s="205">
        <v>29</v>
      </c>
      <c r="D19" s="205"/>
      <c r="E19" s="205"/>
      <c r="F19" s="205"/>
      <c r="G19" s="205"/>
      <c r="H19" s="205"/>
    </row>
    <row r="20" spans="1:14" ht="26.25" customHeight="1" x14ac:dyDescent="0.4">
      <c r="A20" s="49" t="s">
        <v>32</v>
      </c>
      <c r="B20" s="386" t="s">
        <v>9</v>
      </c>
      <c r="C20" s="386"/>
      <c r="D20" s="205"/>
      <c r="E20" s="205"/>
      <c r="F20" s="205"/>
      <c r="G20" s="205"/>
      <c r="H20" s="205"/>
    </row>
    <row r="21" spans="1:14" ht="26.25" customHeight="1" x14ac:dyDescent="0.4">
      <c r="A21" s="49" t="s">
        <v>33</v>
      </c>
      <c r="B21" s="386" t="s">
        <v>11</v>
      </c>
      <c r="C21" s="386"/>
      <c r="D21" s="386"/>
      <c r="E21" s="386"/>
      <c r="F21" s="386"/>
      <c r="G21" s="386"/>
      <c r="H21" s="386"/>
      <c r="I21" s="51"/>
    </row>
    <row r="22" spans="1:14" ht="26.25" customHeight="1" x14ac:dyDescent="0.4">
      <c r="A22" s="49" t="s">
        <v>34</v>
      </c>
      <c r="B22" s="52" t="s">
        <v>12</v>
      </c>
      <c r="C22" s="205"/>
      <c r="D22" s="205"/>
      <c r="E22" s="205"/>
      <c r="F22" s="205"/>
      <c r="G22" s="205"/>
      <c r="H22" s="205"/>
    </row>
    <row r="23" spans="1:14" ht="26.25" customHeight="1" x14ac:dyDescent="0.4">
      <c r="A23" s="49" t="s">
        <v>35</v>
      </c>
      <c r="B23" s="52"/>
      <c r="C23" s="205"/>
      <c r="D23" s="205"/>
      <c r="E23" s="205"/>
      <c r="F23" s="205"/>
      <c r="G23" s="205"/>
      <c r="H23" s="205"/>
    </row>
    <row r="24" spans="1:14" ht="18.75" x14ac:dyDescent="0.3">
      <c r="A24" s="49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187" t="s">
        <v>4</v>
      </c>
      <c r="B26" s="385" t="s">
        <v>124</v>
      </c>
      <c r="C26" s="385"/>
    </row>
    <row r="27" spans="1:14" ht="26.25" customHeight="1" x14ac:dyDescent="0.4">
      <c r="A27" s="145" t="s">
        <v>45</v>
      </c>
      <c r="B27" s="387"/>
      <c r="C27" s="387"/>
    </row>
    <row r="28" spans="1:14" ht="27" customHeight="1" thickBot="1" x14ac:dyDescent="0.45">
      <c r="A28" s="145" t="s">
        <v>6</v>
      </c>
      <c r="B28" s="141">
        <v>99.4</v>
      </c>
    </row>
    <row r="29" spans="1:14" s="2" customFormat="1" ht="27" customHeight="1" thickBot="1" x14ac:dyDescent="0.45">
      <c r="A29" s="145" t="s">
        <v>46</v>
      </c>
      <c r="B29" s="55">
        <v>0</v>
      </c>
      <c r="C29" s="388" t="s">
        <v>47</v>
      </c>
      <c r="D29" s="389"/>
      <c r="E29" s="389"/>
      <c r="F29" s="389"/>
      <c r="G29" s="390"/>
      <c r="I29" s="56"/>
      <c r="J29" s="56"/>
      <c r="K29" s="56"/>
      <c r="L29" s="56"/>
    </row>
    <row r="30" spans="1:14" s="2" customFormat="1" ht="19.5" customHeight="1" thickBot="1" x14ac:dyDescent="0.35">
      <c r="A30" s="145" t="s">
        <v>48</v>
      </c>
      <c r="B30" s="209">
        <f>B28-B29</f>
        <v>99.4</v>
      </c>
      <c r="C30" s="57"/>
      <c r="D30" s="57"/>
      <c r="E30" s="57"/>
      <c r="F30" s="57"/>
      <c r="G30" s="58"/>
      <c r="I30" s="56"/>
      <c r="J30" s="56"/>
      <c r="K30" s="56"/>
      <c r="L30" s="56"/>
    </row>
    <row r="31" spans="1:14" s="2" customFormat="1" ht="27" customHeight="1" thickBot="1" x14ac:dyDescent="0.45">
      <c r="A31" s="145" t="s">
        <v>49</v>
      </c>
      <c r="B31" s="59">
        <v>1</v>
      </c>
      <c r="C31" s="376" t="s">
        <v>50</v>
      </c>
      <c r="D31" s="377"/>
      <c r="E31" s="377"/>
      <c r="F31" s="377"/>
      <c r="G31" s="377"/>
      <c r="H31" s="378"/>
      <c r="I31" s="56"/>
      <c r="J31" s="56"/>
      <c r="K31" s="56"/>
      <c r="L31" s="56"/>
    </row>
    <row r="32" spans="1:14" s="2" customFormat="1" ht="27" customHeight="1" thickBot="1" x14ac:dyDescent="0.45">
      <c r="A32" s="145" t="s">
        <v>51</v>
      </c>
      <c r="B32" s="59">
        <v>1</v>
      </c>
      <c r="C32" s="376" t="s">
        <v>52</v>
      </c>
      <c r="D32" s="377"/>
      <c r="E32" s="377"/>
      <c r="F32" s="377"/>
      <c r="G32" s="377"/>
      <c r="H32" s="378"/>
      <c r="I32" s="56"/>
      <c r="J32" s="56"/>
      <c r="K32" s="56"/>
      <c r="L32" s="60"/>
      <c r="M32" s="60"/>
      <c r="N32" s="61"/>
    </row>
    <row r="33" spans="1:14" s="2" customFormat="1" ht="17.25" customHeight="1" x14ac:dyDescent="0.3">
      <c r="A33" s="145"/>
      <c r="B33" s="62"/>
      <c r="C33" s="63"/>
      <c r="D33" s="63"/>
      <c r="E33" s="63"/>
      <c r="F33" s="63"/>
      <c r="G33" s="63"/>
      <c r="H33" s="63"/>
      <c r="I33" s="56"/>
      <c r="J33" s="56"/>
      <c r="K33" s="56"/>
      <c r="L33" s="60"/>
      <c r="M33" s="60"/>
      <c r="N33" s="61"/>
    </row>
    <row r="34" spans="1:14" s="2" customFormat="1" ht="18.75" x14ac:dyDescent="0.3">
      <c r="A34" s="145" t="s">
        <v>53</v>
      </c>
      <c r="B34" s="64">
        <f>B31/B32</f>
        <v>1</v>
      </c>
      <c r="C34" s="139" t="s">
        <v>54</v>
      </c>
      <c r="D34" s="139"/>
      <c r="E34" s="139"/>
      <c r="F34" s="139"/>
      <c r="G34" s="139"/>
      <c r="I34" s="56"/>
      <c r="J34" s="56"/>
      <c r="K34" s="56"/>
      <c r="L34" s="60"/>
      <c r="M34" s="60"/>
      <c r="N34" s="61"/>
    </row>
    <row r="35" spans="1:14" s="2" customFormat="1" ht="19.5" customHeight="1" thickBot="1" x14ac:dyDescent="0.35">
      <c r="A35" s="145"/>
      <c r="B35" s="209"/>
      <c r="G35" s="139"/>
      <c r="I35" s="56"/>
      <c r="J35" s="56"/>
      <c r="K35" s="56"/>
      <c r="L35" s="60"/>
      <c r="M35" s="60"/>
      <c r="N35" s="61"/>
    </row>
    <row r="36" spans="1:14" s="2" customFormat="1" ht="27" customHeight="1" thickBot="1" x14ac:dyDescent="0.45">
      <c r="A36" s="65" t="s">
        <v>55</v>
      </c>
      <c r="B36" s="66">
        <v>20</v>
      </c>
      <c r="C36" s="139"/>
      <c r="D36" s="396" t="s">
        <v>56</v>
      </c>
      <c r="E36" s="397"/>
      <c r="F36" s="396" t="s">
        <v>57</v>
      </c>
      <c r="G36" s="398"/>
      <c r="J36" s="56"/>
      <c r="K36" s="56"/>
      <c r="L36" s="60"/>
      <c r="M36" s="60"/>
      <c r="N36" s="61"/>
    </row>
    <row r="37" spans="1:14" s="2" customFormat="1" ht="27" customHeight="1" thickBot="1" x14ac:dyDescent="0.45">
      <c r="A37" s="67" t="s">
        <v>58</v>
      </c>
      <c r="B37" s="68">
        <v>4</v>
      </c>
      <c r="C37" s="69" t="s">
        <v>59</v>
      </c>
      <c r="D37" s="70" t="s">
        <v>60</v>
      </c>
      <c r="E37" s="71" t="s">
        <v>61</v>
      </c>
      <c r="F37" s="70" t="s">
        <v>60</v>
      </c>
      <c r="G37" s="72" t="s">
        <v>61</v>
      </c>
      <c r="I37" s="73" t="s">
        <v>62</v>
      </c>
      <c r="J37" s="56"/>
      <c r="K37" s="56"/>
      <c r="L37" s="60"/>
      <c r="M37" s="60"/>
      <c r="N37" s="61"/>
    </row>
    <row r="38" spans="1:14" s="2" customFormat="1" ht="26.25" customHeight="1" x14ac:dyDescent="0.4">
      <c r="A38" s="67" t="s">
        <v>63</v>
      </c>
      <c r="B38" s="68">
        <v>20</v>
      </c>
      <c r="C38" s="74">
        <v>1</v>
      </c>
      <c r="D38" s="75">
        <v>227494779</v>
      </c>
      <c r="E38" s="76">
        <f>IF(ISBLANK(D38),"-",$D$48/$D$45*D38)</f>
        <v>15278236.777138127</v>
      </c>
      <c r="F38" s="75">
        <v>231455025</v>
      </c>
      <c r="G38" s="77">
        <f>IF(ISBLANK(F38),"-",$D$48/$F$45*F38)</f>
        <v>15076214.815601278</v>
      </c>
      <c r="I38" s="78"/>
      <c r="J38" s="56"/>
      <c r="K38" s="56"/>
      <c r="L38" s="60"/>
      <c r="M38" s="60"/>
      <c r="N38" s="61"/>
    </row>
    <row r="39" spans="1:14" s="2" customFormat="1" ht="26.25" customHeight="1" x14ac:dyDescent="0.4">
      <c r="A39" s="67" t="s">
        <v>64</v>
      </c>
      <c r="B39" s="68">
        <v>1</v>
      </c>
      <c r="C39" s="96">
        <v>2</v>
      </c>
      <c r="D39" s="79">
        <v>227331773</v>
      </c>
      <c r="E39" s="80">
        <f>IF(ISBLANK(D39),"-",$D$48/$D$45*D39)</f>
        <v>15267289.518150289</v>
      </c>
      <c r="F39" s="79">
        <v>230973127</v>
      </c>
      <c r="G39" s="81">
        <f>IF(ISBLANK(F39),"-",$D$48/$F$45*F39)</f>
        <v>15044825.573707704</v>
      </c>
      <c r="I39" s="399">
        <f>ABS((F43/D43*D42)-F42)/D42</f>
        <v>1.4840432318475094E-2</v>
      </c>
      <c r="J39" s="56"/>
      <c r="K39" s="56"/>
      <c r="L39" s="60"/>
      <c r="M39" s="60"/>
      <c r="N39" s="61"/>
    </row>
    <row r="40" spans="1:14" ht="26.25" customHeight="1" x14ac:dyDescent="0.4">
      <c r="A40" s="67" t="s">
        <v>65</v>
      </c>
      <c r="B40" s="68">
        <v>1</v>
      </c>
      <c r="C40" s="96">
        <v>3</v>
      </c>
      <c r="D40" s="79">
        <v>227389415</v>
      </c>
      <c r="E40" s="80">
        <f>IF(ISBLANK(D40),"-",$D$48/$D$45*D40)</f>
        <v>15271160.675669502</v>
      </c>
      <c r="F40" s="79">
        <v>230840366</v>
      </c>
      <c r="G40" s="81">
        <f>IF(ISBLANK(F40),"-",$D$48/$F$45*F40)</f>
        <v>15036177.961260602</v>
      </c>
      <c r="I40" s="399"/>
      <c r="L40" s="60"/>
      <c r="M40" s="60"/>
      <c r="N40" s="139"/>
    </row>
    <row r="41" spans="1:14" ht="27" customHeight="1" thickBot="1" x14ac:dyDescent="0.45">
      <c r="A41" s="67" t="s">
        <v>66</v>
      </c>
      <c r="B41" s="68">
        <v>1</v>
      </c>
      <c r="C41" s="82">
        <v>4</v>
      </c>
      <c r="D41" s="83"/>
      <c r="E41" s="84" t="str">
        <f>IF(ISBLANK(D41),"-",$D$48/$D$45*D41)</f>
        <v>-</v>
      </c>
      <c r="F41" s="83"/>
      <c r="G41" s="85" t="str">
        <f>IF(ISBLANK(F41),"-",$D$48/$F$45*F41)</f>
        <v>-</v>
      </c>
      <c r="I41" s="86"/>
      <c r="L41" s="60"/>
      <c r="M41" s="60"/>
      <c r="N41" s="139"/>
    </row>
    <row r="42" spans="1:14" ht="27" customHeight="1" thickBot="1" x14ac:dyDescent="0.45">
      <c r="A42" s="67" t="s">
        <v>67</v>
      </c>
      <c r="B42" s="68">
        <v>1</v>
      </c>
      <c r="C42" s="87" t="s">
        <v>68</v>
      </c>
      <c r="D42" s="88">
        <f>AVERAGE(D38:D41)</f>
        <v>227405322.33333334</v>
      </c>
      <c r="E42" s="89">
        <f>AVERAGE(E38:E41)</f>
        <v>15272228.990319306</v>
      </c>
      <c r="F42" s="88">
        <f>AVERAGE(F38:F41)</f>
        <v>231089506</v>
      </c>
      <c r="G42" s="90">
        <f>AVERAGE(G38:G41)</f>
        <v>15052406.116856528</v>
      </c>
      <c r="H42" s="91"/>
    </row>
    <row r="43" spans="1:14" ht="26.25" customHeight="1" x14ac:dyDescent="0.4">
      <c r="A43" s="67" t="s">
        <v>69</v>
      </c>
      <c r="B43" s="68">
        <v>1</v>
      </c>
      <c r="C43" s="92" t="s">
        <v>70</v>
      </c>
      <c r="D43" s="93">
        <v>29.96</v>
      </c>
      <c r="E43" s="139"/>
      <c r="F43" s="93">
        <v>30.89</v>
      </c>
      <c r="H43" s="91"/>
    </row>
    <row r="44" spans="1:14" ht="26.25" customHeight="1" x14ac:dyDescent="0.4">
      <c r="A44" s="67" t="s">
        <v>71</v>
      </c>
      <c r="B44" s="68">
        <v>1</v>
      </c>
      <c r="C44" s="94" t="s">
        <v>72</v>
      </c>
      <c r="D44" s="95">
        <f>D43*$B$34</f>
        <v>29.96</v>
      </c>
      <c r="E44" s="153"/>
      <c r="F44" s="95">
        <f>F43*$B$34</f>
        <v>30.89</v>
      </c>
      <c r="H44" s="91"/>
    </row>
    <row r="45" spans="1:14" ht="19.5" customHeight="1" thickBot="1" x14ac:dyDescent="0.35">
      <c r="A45" s="67" t="s">
        <v>73</v>
      </c>
      <c r="B45" s="96">
        <f>(B44/B43)*(B42/B41)*(B40/B39)*(B38/B37)*B36</f>
        <v>100</v>
      </c>
      <c r="C45" s="94" t="s">
        <v>74</v>
      </c>
      <c r="D45" s="97">
        <f>D44*$B$30/100</f>
        <v>29.780240000000003</v>
      </c>
      <c r="E45" s="136"/>
      <c r="F45" s="97">
        <f>F44*$B$30/100</f>
        <v>30.704660000000004</v>
      </c>
      <c r="H45" s="91"/>
    </row>
    <row r="46" spans="1:14" ht="19.5" customHeight="1" thickBot="1" x14ac:dyDescent="0.35">
      <c r="A46" s="400" t="s">
        <v>75</v>
      </c>
      <c r="B46" s="401"/>
      <c r="C46" s="94" t="s">
        <v>76</v>
      </c>
      <c r="D46" s="98">
        <f>D45/$B$45</f>
        <v>0.29780240000000002</v>
      </c>
      <c r="E46" s="99"/>
      <c r="F46" s="100">
        <f>F45/$B$45</f>
        <v>0.30704660000000006</v>
      </c>
      <c r="H46" s="91"/>
    </row>
    <row r="47" spans="1:14" ht="27" customHeight="1" thickBot="1" x14ac:dyDescent="0.45">
      <c r="A47" s="402"/>
      <c r="B47" s="403"/>
      <c r="C47" s="101" t="s">
        <v>77</v>
      </c>
      <c r="D47" s="102">
        <v>0.02</v>
      </c>
      <c r="E47" s="103"/>
      <c r="F47" s="99"/>
      <c r="H47" s="91"/>
    </row>
    <row r="48" spans="1:14" ht="18.75" x14ac:dyDescent="0.3">
      <c r="C48" s="104" t="s">
        <v>78</v>
      </c>
      <c r="D48" s="97">
        <f>D47*$B$45</f>
        <v>2</v>
      </c>
      <c r="F48" s="105"/>
      <c r="H48" s="91"/>
    </row>
    <row r="49" spans="1:12" ht="19.5" customHeight="1" thickBot="1" x14ac:dyDescent="0.35">
      <c r="C49" s="106" t="s">
        <v>79</v>
      </c>
      <c r="D49" s="107">
        <f>D48/B34</f>
        <v>2</v>
      </c>
      <c r="F49" s="105"/>
      <c r="H49" s="91"/>
    </row>
    <row r="50" spans="1:12" ht="18.75" x14ac:dyDescent="0.3">
      <c r="C50" s="65" t="s">
        <v>80</v>
      </c>
      <c r="D50" s="108">
        <f>AVERAGE(E38:E41,G38:G41)</f>
        <v>15162317.553587915</v>
      </c>
      <c r="F50" s="109"/>
      <c r="H50" s="91"/>
    </row>
    <row r="51" spans="1:12" ht="18.75" x14ac:dyDescent="0.3">
      <c r="C51" s="67" t="s">
        <v>81</v>
      </c>
      <c r="D51" s="110">
        <f>STDEV(E38:E41,G38:G41)/D50</f>
        <v>7.9926981996219382E-3</v>
      </c>
      <c r="F51" s="109"/>
      <c r="H51" s="91"/>
    </row>
    <row r="52" spans="1:12" ht="19.5" customHeight="1" thickBot="1" x14ac:dyDescent="0.35">
      <c r="C52" s="111" t="s">
        <v>20</v>
      </c>
      <c r="D52" s="112">
        <f>COUNT(E38:E41,G38:G41)</f>
        <v>6</v>
      </c>
      <c r="F52" s="109"/>
    </row>
    <row r="54" spans="1:12" ht="18.75" x14ac:dyDescent="0.3">
      <c r="A54" s="113" t="s">
        <v>1</v>
      </c>
      <c r="B54" s="114" t="s">
        <v>82</v>
      </c>
    </row>
    <row r="55" spans="1:12" ht="18.75" x14ac:dyDescent="0.3">
      <c r="A55" s="139" t="s">
        <v>83</v>
      </c>
      <c r="B55" s="115" t="str">
        <f>B21</f>
        <v xml:space="preserve">Lamivudine 150mg + Zidovudine 300mg + Nevirapine 200mg </v>
      </c>
    </row>
    <row r="56" spans="1:12" ht="26.25" customHeight="1" x14ac:dyDescent="0.4">
      <c r="A56" s="115" t="s">
        <v>84</v>
      </c>
      <c r="B56" s="116">
        <v>300</v>
      </c>
      <c r="C56" s="139" t="str">
        <f>B20</f>
        <v>Lamivudine     Nevirapine and Zidovudine</v>
      </c>
      <c r="H56" s="153"/>
    </row>
    <row r="57" spans="1:12" ht="18.75" x14ac:dyDescent="0.3">
      <c r="A57" s="115" t="s">
        <v>85</v>
      </c>
      <c r="B57" s="193">
        <f>Uniformity!C46</f>
        <v>1131.1235000000001</v>
      </c>
      <c r="H57" s="153"/>
    </row>
    <row r="58" spans="1:12" ht="19.5" customHeight="1" thickBot="1" x14ac:dyDescent="0.35">
      <c r="H58" s="153"/>
    </row>
    <row r="59" spans="1:12" s="2" customFormat="1" ht="27" customHeight="1" thickBot="1" x14ac:dyDescent="0.45">
      <c r="A59" s="65" t="s">
        <v>86</v>
      </c>
      <c r="B59" s="66">
        <v>100</v>
      </c>
      <c r="C59" s="139"/>
      <c r="D59" s="117" t="s">
        <v>87</v>
      </c>
      <c r="E59" s="118" t="s">
        <v>59</v>
      </c>
      <c r="F59" s="118" t="s">
        <v>60</v>
      </c>
      <c r="G59" s="118" t="s">
        <v>88</v>
      </c>
      <c r="H59" s="69" t="s">
        <v>89</v>
      </c>
      <c r="L59" s="56"/>
    </row>
    <row r="60" spans="1:12" s="2" customFormat="1" ht="26.25" customHeight="1" x14ac:dyDescent="0.4">
      <c r="A60" s="67" t="s">
        <v>90</v>
      </c>
      <c r="B60" s="68">
        <v>5</v>
      </c>
      <c r="C60" s="404" t="s">
        <v>91</v>
      </c>
      <c r="D60" s="407">
        <v>1145.96</v>
      </c>
      <c r="E60" s="119">
        <v>1</v>
      </c>
      <c r="F60" s="120">
        <v>221817146</v>
      </c>
      <c r="G60" s="194">
        <f>IF(ISBLANK(F60),"-",(F60/$D$50*$D$47*$B$68)*($B$57/$D$60))</f>
        <v>288.80192739649863</v>
      </c>
      <c r="H60" s="121">
        <f t="shared" ref="H60:H71" si="0">IF(ISBLANK(F60),"-",G60/$B$56)</f>
        <v>0.96267309132166212</v>
      </c>
      <c r="L60" s="56"/>
    </row>
    <row r="61" spans="1:12" s="2" customFormat="1" ht="26.25" customHeight="1" x14ac:dyDescent="0.4">
      <c r="A61" s="67" t="s">
        <v>92</v>
      </c>
      <c r="B61" s="68">
        <v>50</v>
      </c>
      <c r="C61" s="405"/>
      <c r="D61" s="408"/>
      <c r="E61" s="122">
        <v>2</v>
      </c>
      <c r="F61" s="79">
        <v>215923176</v>
      </c>
      <c r="G61" s="195">
        <f>IF(ISBLANK(F61),"-",(F61/$D$50*$D$47*$B$68)*($B$57/$D$60))</f>
        <v>281.12808465389509</v>
      </c>
      <c r="H61" s="123">
        <f t="shared" si="0"/>
        <v>0.93709361551298365</v>
      </c>
      <c r="L61" s="56"/>
    </row>
    <row r="62" spans="1:12" s="2" customFormat="1" ht="26.25" customHeight="1" x14ac:dyDescent="0.4">
      <c r="A62" s="67" t="s">
        <v>93</v>
      </c>
      <c r="B62" s="68">
        <v>1</v>
      </c>
      <c r="C62" s="405"/>
      <c r="D62" s="408"/>
      <c r="E62" s="122">
        <v>3</v>
      </c>
      <c r="F62" s="124">
        <v>222848355</v>
      </c>
      <c r="G62" s="195">
        <f>IF(ISBLANK(F62),"-",(F62/$D$50*$D$47*$B$68)*($B$57/$D$60))</f>
        <v>290.14454293420198</v>
      </c>
      <c r="H62" s="123">
        <f t="shared" si="0"/>
        <v>0.96714847644733992</v>
      </c>
      <c r="L62" s="56"/>
    </row>
    <row r="63" spans="1:12" ht="27" customHeight="1" thickBot="1" x14ac:dyDescent="0.45">
      <c r="A63" s="67" t="s">
        <v>94</v>
      </c>
      <c r="B63" s="68">
        <v>1</v>
      </c>
      <c r="C63" s="406"/>
      <c r="D63" s="409"/>
      <c r="E63" s="125">
        <v>4</v>
      </c>
      <c r="F63" s="126"/>
      <c r="G63" s="195" t="str">
        <f>IF(ISBLANK(F63),"-",(F63/$D$50*$D$47*$B$68)*($B$57/$D$60))</f>
        <v>-</v>
      </c>
      <c r="H63" s="123" t="str">
        <f t="shared" si="0"/>
        <v>-</v>
      </c>
    </row>
    <row r="64" spans="1:12" ht="26.25" customHeight="1" x14ac:dyDescent="0.4">
      <c r="A64" s="67" t="s">
        <v>95</v>
      </c>
      <c r="B64" s="68">
        <v>1</v>
      </c>
      <c r="C64" s="404" t="s">
        <v>96</v>
      </c>
      <c r="D64" s="407">
        <v>1137.73</v>
      </c>
      <c r="E64" s="119">
        <v>1</v>
      </c>
      <c r="F64" s="120">
        <v>218335001</v>
      </c>
      <c r="G64" s="196">
        <f>IF(ISBLANK(F64),"-",(F64/$D$50*$D$47*$B$68)*($B$57/$D$64))</f>
        <v>286.32454912058688</v>
      </c>
      <c r="H64" s="127">
        <f t="shared" si="0"/>
        <v>0.95441516373528956</v>
      </c>
    </row>
    <row r="65" spans="1:8" ht="26.25" customHeight="1" x14ac:dyDescent="0.4">
      <c r="A65" s="67" t="s">
        <v>97</v>
      </c>
      <c r="B65" s="68">
        <v>1</v>
      </c>
      <c r="C65" s="405"/>
      <c r="D65" s="408"/>
      <c r="E65" s="122">
        <v>2</v>
      </c>
      <c r="F65" s="79">
        <v>214082783</v>
      </c>
      <c r="G65" s="197">
        <f>IF(ISBLANK(F65),"-",(F65/$D$50*$D$47*$B$68)*($B$57/$D$64))</f>
        <v>280.74818987430899</v>
      </c>
      <c r="H65" s="128">
        <f t="shared" si="0"/>
        <v>0.93582729958102995</v>
      </c>
    </row>
    <row r="66" spans="1:8" ht="26.25" customHeight="1" x14ac:dyDescent="0.4">
      <c r="A66" s="67" t="s">
        <v>98</v>
      </c>
      <c r="B66" s="68">
        <v>1</v>
      </c>
      <c r="C66" s="405"/>
      <c r="D66" s="408"/>
      <c r="E66" s="122">
        <v>3</v>
      </c>
      <c r="F66" s="79">
        <v>221476934</v>
      </c>
      <c r="G66" s="197">
        <f>IF(ISBLANK(F66),"-",(F66/$D$50*$D$47*$B$68)*($B$57/$D$64))</f>
        <v>290.44488047136326</v>
      </c>
      <c r="H66" s="128">
        <f t="shared" si="0"/>
        <v>0.96814960157121088</v>
      </c>
    </row>
    <row r="67" spans="1:8" ht="27" customHeight="1" thickBot="1" x14ac:dyDescent="0.45">
      <c r="A67" s="67" t="s">
        <v>99</v>
      </c>
      <c r="B67" s="68">
        <v>1</v>
      </c>
      <c r="C67" s="406"/>
      <c r="D67" s="409"/>
      <c r="E67" s="125">
        <v>4</v>
      </c>
      <c r="F67" s="126"/>
      <c r="G67" s="198" t="str">
        <f>IF(ISBLANK(F67),"-",(F67/$D$50*$D$47*$B$68)*($B$57/$D$64))</f>
        <v>-</v>
      </c>
      <c r="H67" s="129" t="str">
        <f t="shared" si="0"/>
        <v>-</v>
      </c>
    </row>
    <row r="68" spans="1:8" ht="26.25" customHeight="1" x14ac:dyDescent="0.4">
      <c r="A68" s="67" t="s">
        <v>100</v>
      </c>
      <c r="B68" s="130">
        <f>(B67/B66)*(B65/B64)*(B63/B62)*(B61/B60)*B59</f>
        <v>1000</v>
      </c>
      <c r="C68" s="404" t="s">
        <v>101</v>
      </c>
      <c r="D68" s="407">
        <v>1155.96</v>
      </c>
      <c r="E68" s="119">
        <v>1</v>
      </c>
      <c r="F68" s="120">
        <v>225955133</v>
      </c>
      <c r="G68" s="196">
        <f>IF(ISBLANK(F68),"-",(F68/$D$50*$D$47*$B$68)*($B$57/$D$68))</f>
        <v>291.64453187920469</v>
      </c>
      <c r="H68" s="123">
        <f t="shared" si="0"/>
        <v>0.97214843959734898</v>
      </c>
    </row>
    <row r="69" spans="1:8" ht="27" customHeight="1" thickBot="1" x14ac:dyDescent="0.45">
      <c r="A69" s="111" t="s">
        <v>102</v>
      </c>
      <c r="B69" s="131">
        <f>(D47*B68)/B56*B57</f>
        <v>75.408233333333342</v>
      </c>
      <c r="C69" s="405"/>
      <c r="D69" s="408"/>
      <c r="E69" s="122">
        <v>2</v>
      </c>
      <c r="F69" s="79"/>
      <c r="G69" s="197" t="str">
        <f>IF(ISBLANK(F69),"-",(F69/$D$50*$D$47*$B$68)*($B$57/$D$68))</f>
        <v>-</v>
      </c>
      <c r="H69" s="123" t="str">
        <f t="shared" si="0"/>
        <v>-</v>
      </c>
    </row>
    <row r="70" spans="1:8" ht="26.25" customHeight="1" x14ac:dyDescent="0.4">
      <c r="A70" s="391" t="s">
        <v>75</v>
      </c>
      <c r="B70" s="392"/>
      <c r="C70" s="405"/>
      <c r="D70" s="408"/>
      <c r="E70" s="122">
        <v>3</v>
      </c>
      <c r="F70" s="79">
        <v>228482345</v>
      </c>
      <c r="G70" s="197">
        <f>IF(ISBLANK(F70),"-",(F70/$D$50*$D$47*$B$68)*($B$57/$D$68))</f>
        <v>294.90645184939416</v>
      </c>
      <c r="H70" s="123">
        <f t="shared" si="0"/>
        <v>0.98302150616464723</v>
      </c>
    </row>
    <row r="71" spans="1:8" ht="27" customHeight="1" thickBot="1" x14ac:dyDescent="0.45">
      <c r="A71" s="393"/>
      <c r="B71" s="394"/>
      <c r="C71" s="410"/>
      <c r="D71" s="409"/>
      <c r="E71" s="125">
        <v>4</v>
      </c>
      <c r="F71" s="126"/>
      <c r="G71" s="198" t="str">
        <f>IF(ISBLANK(F71),"-",(F71/$D$50*$D$47*$B$68)*($B$57/$D$68))</f>
        <v>-</v>
      </c>
      <c r="H71" s="132" t="str">
        <f t="shared" si="0"/>
        <v>-</v>
      </c>
    </row>
    <row r="72" spans="1:8" ht="26.25" customHeight="1" x14ac:dyDescent="0.4">
      <c r="A72" s="153"/>
      <c r="B72" s="153"/>
      <c r="C72" s="153"/>
      <c r="D72" s="153"/>
      <c r="E72" s="153"/>
      <c r="F72" s="133" t="s">
        <v>68</v>
      </c>
      <c r="G72" s="203">
        <f>AVERAGE(G60:G71)</f>
        <v>288.01789477243176</v>
      </c>
      <c r="H72" s="134">
        <f>AVERAGE(H60:H71)</f>
        <v>0.96005964924143905</v>
      </c>
    </row>
    <row r="73" spans="1:8" ht="26.25" customHeight="1" x14ac:dyDescent="0.4">
      <c r="C73" s="153"/>
      <c r="D73" s="153"/>
      <c r="E73" s="153"/>
      <c r="F73" s="135" t="s">
        <v>81</v>
      </c>
      <c r="G73" s="199">
        <f>STDEV(G60:G71)/G72</f>
        <v>1.7350994287680339E-2</v>
      </c>
      <c r="H73" s="199">
        <f>STDEV(H60:H71)/H72</f>
        <v>1.7350994287680353E-2</v>
      </c>
    </row>
    <row r="74" spans="1:8" ht="27" customHeight="1" thickBot="1" x14ac:dyDescent="0.45">
      <c r="A74" s="153"/>
      <c r="B74" s="153"/>
      <c r="C74" s="153"/>
      <c r="D74" s="153"/>
      <c r="E74" s="136"/>
      <c r="F74" s="137" t="s">
        <v>20</v>
      </c>
      <c r="G74" s="138">
        <f>COUNT(G60:G71)</f>
        <v>8</v>
      </c>
      <c r="H74" s="138">
        <f>COUNT(H60:H71)</f>
        <v>8</v>
      </c>
    </row>
    <row r="76" spans="1:8" ht="26.25" customHeight="1" x14ac:dyDescent="0.4">
      <c r="A76" s="187" t="s">
        <v>103</v>
      </c>
      <c r="B76" s="145" t="s">
        <v>104</v>
      </c>
      <c r="C76" s="395" t="str">
        <f>B20</f>
        <v>Lamivudine     Nevirapine and Zidovudine</v>
      </c>
      <c r="D76" s="395"/>
      <c r="E76" s="139" t="s">
        <v>105</v>
      </c>
      <c r="F76" s="139"/>
      <c r="G76" s="140">
        <f>H72</f>
        <v>0.96005964924143905</v>
      </c>
      <c r="H76" s="209"/>
    </row>
    <row r="77" spans="1:8" ht="18.75" x14ac:dyDescent="0.3">
      <c r="A77" s="54" t="s">
        <v>106</v>
      </c>
      <c r="B77" s="54" t="s">
        <v>107</v>
      </c>
    </row>
    <row r="78" spans="1:8" ht="18.75" x14ac:dyDescent="0.3">
      <c r="A78" s="54"/>
      <c r="B78" s="54"/>
    </row>
    <row r="79" spans="1:8" ht="26.25" customHeight="1" x14ac:dyDescent="0.4">
      <c r="A79" s="187" t="s">
        <v>4</v>
      </c>
      <c r="B79" s="411" t="str">
        <f>B26</f>
        <v>ZIDOVUDINE</v>
      </c>
      <c r="C79" s="411"/>
    </row>
    <row r="80" spans="1:8" ht="26.25" customHeight="1" x14ac:dyDescent="0.4">
      <c r="A80" s="145" t="s">
        <v>45</v>
      </c>
      <c r="B80" s="411">
        <f>B27</f>
        <v>0</v>
      </c>
      <c r="C80" s="411"/>
    </row>
    <row r="81" spans="1:12" ht="27" customHeight="1" thickBot="1" x14ac:dyDescent="0.45">
      <c r="A81" s="145" t="s">
        <v>6</v>
      </c>
      <c r="B81" s="141">
        <f>B28</f>
        <v>99.4</v>
      </c>
    </row>
    <row r="82" spans="1:12" s="2" customFormat="1" ht="27" customHeight="1" thickBot="1" x14ac:dyDescent="0.45">
      <c r="A82" s="145" t="s">
        <v>46</v>
      </c>
      <c r="B82" s="55">
        <v>0</v>
      </c>
      <c r="C82" s="388" t="s">
        <v>47</v>
      </c>
      <c r="D82" s="389"/>
      <c r="E82" s="389"/>
      <c r="F82" s="389"/>
      <c r="G82" s="390"/>
      <c r="I82" s="56"/>
      <c r="J82" s="56"/>
      <c r="K82" s="56"/>
      <c r="L82" s="56"/>
    </row>
    <row r="83" spans="1:12" s="2" customFormat="1" ht="19.5" customHeight="1" thickBot="1" x14ac:dyDescent="0.35">
      <c r="A83" s="145" t="s">
        <v>48</v>
      </c>
      <c r="B83" s="209">
        <f>B81-B82</f>
        <v>99.4</v>
      </c>
      <c r="C83" s="57"/>
      <c r="D83" s="57"/>
      <c r="E83" s="57"/>
      <c r="F83" s="57"/>
      <c r="G83" s="58"/>
      <c r="I83" s="56"/>
      <c r="J83" s="56"/>
      <c r="K83" s="56"/>
      <c r="L83" s="56"/>
    </row>
    <row r="84" spans="1:12" s="2" customFormat="1" ht="27" customHeight="1" thickBot="1" x14ac:dyDescent="0.45">
      <c r="A84" s="145" t="s">
        <v>49</v>
      </c>
      <c r="B84" s="59">
        <v>1</v>
      </c>
      <c r="C84" s="376" t="s">
        <v>108</v>
      </c>
      <c r="D84" s="377"/>
      <c r="E84" s="377"/>
      <c r="F84" s="377"/>
      <c r="G84" s="377"/>
      <c r="H84" s="378"/>
      <c r="I84" s="56"/>
      <c r="J84" s="56"/>
      <c r="K84" s="56"/>
      <c r="L84" s="56"/>
    </row>
    <row r="85" spans="1:12" s="2" customFormat="1" ht="27" customHeight="1" thickBot="1" x14ac:dyDescent="0.45">
      <c r="A85" s="145" t="s">
        <v>51</v>
      </c>
      <c r="B85" s="59">
        <v>1</v>
      </c>
      <c r="C85" s="376" t="s">
        <v>109</v>
      </c>
      <c r="D85" s="377"/>
      <c r="E85" s="377"/>
      <c r="F85" s="377"/>
      <c r="G85" s="377"/>
      <c r="H85" s="378"/>
      <c r="I85" s="56"/>
      <c r="J85" s="56"/>
      <c r="K85" s="56"/>
      <c r="L85" s="56"/>
    </row>
    <row r="86" spans="1:12" s="2" customFormat="1" ht="18.75" x14ac:dyDescent="0.3">
      <c r="A86" s="145"/>
      <c r="B86" s="62"/>
      <c r="C86" s="63"/>
      <c r="D86" s="63"/>
      <c r="E86" s="63"/>
      <c r="F86" s="63"/>
      <c r="G86" s="63"/>
      <c r="H86" s="63"/>
      <c r="I86" s="56"/>
      <c r="J86" s="56"/>
      <c r="K86" s="56"/>
      <c r="L86" s="56"/>
    </row>
    <row r="87" spans="1:12" s="2" customFormat="1" ht="18.75" x14ac:dyDescent="0.3">
      <c r="A87" s="145" t="s">
        <v>53</v>
      </c>
      <c r="B87" s="64">
        <f>B84/B85</f>
        <v>1</v>
      </c>
      <c r="C87" s="139" t="s">
        <v>54</v>
      </c>
      <c r="D87" s="139"/>
      <c r="E87" s="139"/>
      <c r="F87" s="139"/>
      <c r="G87" s="139"/>
      <c r="I87" s="56"/>
      <c r="J87" s="56"/>
      <c r="K87" s="56"/>
      <c r="L87" s="56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5" t="s">
        <v>55</v>
      </c>
      <c r="B89" s="66">
        <v>20</v>
      </c>
      <c r="D89" s="207" t="s">
        <v>56</v>
      </c>
      <c r="E89" s="208"/>
      <c r="F89" s="396" t="s">
        <v>57</v>
      </c>
      <c r="G89" s="398"/>
    </row>
    <row r="90" spans="1:12" ht="27" customHeight="1" thickBot="1" x14ac:dyDescent="0.45">
      <c r="A90" s="67" t="s">
        <v>58</v>
      </c>
      <c r="B90" s="68">
        <v>4</v>
      </c>
      <c r="C90" s="210" t="s">
        <v>59</v>
      </c>
      <c r="D90" s="70" t="s">
        <v>60</v>
      </c>
      <c r="E90" s="71" t="s">
        <v>61</v>
      </c>
      <c r="F90" s="70" t="s">
        <v>60</v>
      </c>
      <c r="G90" s="142" t="s">
        <v>61</v>
      </c>
      <c r="I90" s="73" t="s">
        <v>62</v>
      </c>
    </row>
    <row r="91" spans="1:12" ht="26.25" customHeight="1" x14ac:dyDescent="0.4">
      <c r="A91" s="67" t="s">
        <v>63</v>
      </c>
      <c r="B91" s="68">
        <v>20</v>
      </c>
      <c r="C91" s="143">
        <v>1</v>
      </c>
      <c r="D91" s="356">
        <v>209818322</v>
      </c>
      <c r="E91" s="76">
        <f>IF(ISBLANK(D91),"-",$D$101/$D$98*D91)</f>
        <v>248803431.14794371</v>
      </c>
      <c r="F91" s="359">
        <v>229231020</v>
      </c>
      <c r="G91" s="77">
        <f>IF(ISBLANK(F91),"-",$D$101/$F$98*F91)</f>
        <v>250395991.58468726</v>
      </c>
      <c r="I91" s="78"/>
    </row>
    <row r="92" spans="1:12" ht="26.25" customHeight="1" x14ac:dyDescent="0.4">
      <c r="A92" s="67" t="s">
        <v>64</v>
      </c>
      <c r="B92" s="68">
        <v>1</v>
      </c>
      <c r="C92" s="153">
        <v>2</v>
      </c>
      <c r="D92" s="357">
        <v>210164243</v>
      </c>
      <c r="E92" s="80">
        <f>IF(ISBLANK(D92),"-",$D$101/$D$98*D92)</f>
        <v>249213625.6957112</v>
      </c>
      <c r="F92" s="360">
        <v>229646284</v>
      </c>
      <c r="G92" s="81">
        <f>IF(ISBLANK(F92),"-",$D$101/$F$98*F92)</f>
        <v>250849597.03934789</v>
      </c>
      <c r="I92" s="399">
        <f>ABS((F96/D96*D95)-F95)/D95</f>
        <v>7.4639709517445403E-3</v>
      </c>
    </row>
    <row r="93" spans="1:12" ht="26.25" customHeight="1" x14ac:dyDescent="0.4">
      <c r="A93" s="67" t="s">
        <v>65</v>
      </c>
      <c r="B93" s="68">
        <v>1</v>
      </c>
      <c r="C93" s="153">
        <v>3</v>
      </c>
      <c r="D93" s="357">
        <v>210122213</v>
      </c>
      <c r="E93" s="80">
        <f>IF(ISBLANK(D93),"-",$D$101/$D$98*D93)</f>
        <v>249163786.3484537</v>
      </c>
      <c r="F93" s="360">
        <v>229850415</v>
      </c>
      <c r="G93" s="81">
        <f>IF(ISBLANK(F93),"-",$D$101/$F$98*F93)</f>
        <v>251072575.5182561</v>
      </c>
      <c r="I93" s="399"/>
    </row>
    <row r="94" spans="1:12" ht="27" customHeight="1" thickBot="1" x14ac:dyDescent="0.45">
      <c r="A94" s="67" t="s">
        <v>66</v>
      </c>
      <c r="B94" s="68">
        <v>1</v>
      </c>
      <c r="C94" s="144">
        <v>4</v>
      </c>
      <c r="D94" s="358"/>
      <c r="E94" s="84" t="str">
        <f>IF(ISBLANK(D94),"-",$D$101/$D$98*D94)</f>
        <v>-</v>
      </c>
      <c r="F94" s="361"/>
      <c r="G94" s="85" t="str">
        <f>IF(ISBLANK(F94),"-",$D$101/$F$98*F94)</f>
        <v>-</v>
      </c>
      <c r="I94" s="86"/>
    </row>
    <row r="95" spans="1:12" ht="27" customHeight="1" thickBot="1" x14ac:dyDescent="0.45">
      <c r="A95" s="67" t="s">
        <v>67</v>
      </c>
      <c r="B95" s="68">
        <v>1</v>
      </c>
      <c r="C95" s="145" t="s">
        <v>68</v>
      </c>
      <c r="D95" s="146">
        <f>AVERAGE(D91:D94)</f>
        <v>210034926</v>
      </c>
      <c r="E95" s="89">
        <f>AVERAGE(E91:E94)</f>
        <v>249060281.06403622</v>
      </c>
      <c r="F95" s="147">
        <f>AVERAGE(F91:F94)</f>
        <v>229575906.33333334</v>
      </c>
      <c r="G95" s="148">
        <f>AVERAGE(G91:G94)</f>
        <v>250772721.38076374</v>
      </c>
    </row>
    <row r="96" spans="1:12" ht="26.25" customHeight="1" x14ac:dyDescent="0.4">
      <c r="A96" s="67" t="s">
        <v>69</v>
      </c>
      <c r="B96" s="141">
        <v>1</v>
      </c>
      <c r="C96" s="149" t="s">
        <v>110</v>
      </c>
      <c r="D96" s="150">
        <v>28.28</v>
      </c>
      <c r="E96" s="139"/>
      <c r="F96" s="93">
        <v>30.7</v>
      </c>
    </row>
    <row r="97" spans="1:10" ht="26.25" customHeight="1" x14ac:dyDescent="0.4">
      <c r="A97" s="67" t="s">
        <v>71</v>
      </c>
      <c r="B97" s="141">
        <v>1</v>
      </c>
      <c r="C97" s="151" t="s">
        <v>111</v>
      </c>
      <c r="D97" s="152">
        <f>D96*$B$87</f>
        <v>28.28</v>
      </c>
      <c r="E97" s="153"/>
      <c r="F97" s="95">
        <f>F96*$B$87</f>
        <v>30.7</v>
      </c>
    </row>
    <row r="98" spans="1:10" ht="19.5" customHeight="1" thickBot="1" x14ac:dyDescent="0.35">
      <c r="A98" s="67" t="s">
        <v>73</v>
      </c>
      <c r="B98" s="153">
        <f>(B97/B96)*(B95/B94)*(B93/B92)*(B91/B90)*B89</f>
        <v>100</v>
      </c>
      <c r="C98" s="151" t="s">
        <v>112</v>
      </c>
      <c r="D98" s="154">
        <f>D97*$B$83/100</f>
        <v>28.110320000000002</v>
      </c>
      <c r="E98" s="136"/>
      <c r="F98" s="97">
        <f>F97*$B$83/100</f>
        <v>30.515799999999999</v>
      </c>
    </row>
    <row r="99" spans="1:10" ht="19.5" customHeight="1" thickBot="1" x14ac:dyDescent="0.35">
      <c r="A99" s="400" t="s">
        <v>75</v>
      </c>
      <c r="B99" s="412"/>
      <c r="C99" s="151" t="s">
        <v>113</v>
      </c>
      <c r="D99" s="155">
        <f>D98/$B$98</f>
        <v>0.2811032</v>
      </c>
      <c r="E99" s="136"/>
      <c r="F99" s="100">
        <f>F98/$B$98</f>
        <v>0.30515799999999998</v>
      </c>
      <c r="H99" s="91"/>
    </row>
    <row r="100" spans="1:10" ht="19.5" customHeight="1" thickBot="1" x14ac:dyDescent="0.35">
      <c r="A100" s="402"/>
      <c r="B100" s="413"/>
      <c r="C100" s="151" t="s">
        <v>77</v>
      </c>
      <c r="D100" s="157">
        <f>$B$56/$B$116</f>
        <v>0.33333333333333331</v>
      </c>
      <c r="F100" s="105"/>
      <c r="G100" s="163"/>
      <c r="H100" s="91"/>
    </row>
    <row r="101" spans="1:10" ht="18.75" x14ac:dyDescent="0.3">
      <c r="C101" s="151" t="s">
        <v>78</v>
      </c>
      <c r="D101" s="152">
        <f>D100*$B$98</f>
        <v>33.333333333333329</v>
      </c>
      <c r="F101" s="105"/>
      <c r="H101" s="91"/>
    </row>
    <row r="102" spans="1:10" ht="19.5" customHeight="1" thickBot="1" x14ac:dyDescent="0.35">
      <c r="C102" s="158" t="s">
        <v>79</v>
      </c>
      <c r="D102" s="159">
        <f>D101/B34</f>
        <v>33.333333333333329</v>
      </c>
      <c r="F102" s="109"/>
      <c r="H102" s="91"/>
      <c r="J102" s="160"/>
    </row>
    <row r="103" spans="1:10" ht="18.75" x14ac:dyDescent="0.3">
      <c r="C103" s="161" t="s">
        <v>114</v>
      </c>
      <c r="D103" s="162">
        <f>AVERAGE(E91:E94,G91:G94)</f>
        <v>249916501.22239998</v>
      </c>
      <c r="F103" s="109"/>
      <c r="G103" s="163"/>
      <c r="H103" s="91"/>
      <c r="J103" s="164"/>
    </row>
    <row r="104" spans="1:10" ht="18.75" x14ac:dyDescent="0.3">
      <c r="C104" s="135" t="s">
        <v>81</v>
      </c>
      <c r="D104" s="165">
        <f>STDEV(E91:E94,G91:G94)/D103</f>
        <v>3.8945257465376301E-3</v>
      </c>
      <c r="F104" s="109"/>
      <c r="H104" s="91"/>
      <c r="J104" s="164"/>
    </row>
    <row r="105" spans="1:10" ht="19.5" customHeight="1" thickBot="1" x14ac:dyDescent="0.35">
      <c r="C105" s="137" t="s">
        <v>20</v>
      </c>
      <c r="D105" s="166">
        <f>COUNT(E91:E94,G91:G94)</f>
        <v>6</v>
      </c>
      <c r="F105" s="109"/>
      <c r="H105" s="91"/>
      <c r="J105" s="164"/>
    </row>
    <row r="106" spans="1:10" ht="19.5" customHeight="1" thickBot="1" x14ac:dyDescent="0.35">
      <c r="A106" s="113"/>
      <c r="B106" s="113"/>
      <c r="C106" s="113"/>
      <c r="D106" s="113"/>
      <c r="E106" s="113"/>
    </row>
    <row r="107" spans="1:10" ht="26.25" customHeight="1" x14ac:dyDescent="0.4">
      <c r="A107" s="65" t="s">
        <v>115</v>
      </c>
      <c r="B107" s="66">
        <v>900</v>
      </c>
      <c r="C107" s="207" t="s">
        <v>116</v>
      </c>
      <c r="D107" s="167" t="s">
        <v>60</v>
      </c>
      <c r="E107" s="168" t="s">
        <v>117</v>
      </c>
      <c r="F107" s="169" t="s">
        <v>118</v>
      </c>
    </row>
    <row r="108" spans="1:10" ht="26.25" customHeight="1" x14ac:dyDescent="0.4">
      <c r="A108" s="67" t="s">
        <v>119</v>
      </c>
      <c r="B108" s="68">
        <v>1</v>
      </c>
      <c r="C108" s="170">
        <v>1</v>
      </c>
      <c r="D108" s="171">
        <v>233918500</v>
      </c>
      <c r="E108" s="200">
        <f t="shared" ref="E108:E113" si="1">IF(ISBLANK(D108),"-",D108/$D$103*$D$100*$B$116)</f>
        <v>280.79598448583823</v>
      </c>
      <c r="F108" s="172">
        <f t="shared" ref="F108:F113" si="2">IF(ISBLANK(D108), "-", E108/$B$56)</f>
        <v>0.93598661495279412</v>
      </c>
    </row>
    <row r="109" spans="1:10" ht="26.25" customHeight="1" x14ac:dyDescent="0.4">
      <c r="A109" s="67" t="s">
        <v>92</v>
      </c>
      <c r="B109" s="68">
        <v>1</v>
      </c>
      <c r="C109" s="170">
        <v>2</v>
      </c>
      <c r="D109" s="171">
        <v>232847084</v>
      </c>
      <c r="E109" s="201">
        <f t="shared" si="1"/>
        <v>279.50985572512081</v>
      </c>
      <c r="F109" s="173">
        <f t="shared" si="2"/>
        <v>0.93169951908373605</v>
      </c>
    </row>
    <row r="110" spans="1:10" ht="26.25" customHeight="1" x14ac:dyDescent="0.4">
      <c r="A110" s="67" t="s">
        <v>93</v>
      </c>
      <c r="B110" s="68">
        <v>1</v>
      </c>
      <c r="C110" s="170">
        <v>3</v>
      </c>
      <c r="D110" s="171">
        <v>234665720</v>
      </c>
      <c r="E110" s="201">
        <f t="shared" si="1"/>
        <v>281.69294806728868</v>
      </c>
      <c r="F110" s="173">
        <f t="shared" si="2"/>
        <v>0.93897649355762891</v>
      </c>
    </row>
    <row r="111" spans="1:10" ht="26.25" customHeight="1" x14ac:dyDescent="0.4">
      <c r="A111" s="67" t="s">
        <v>94</v>
      </c>
      <c r="B111" s="68">
        <v>1</v>
      </c>
      <c r="C111" s="170">
        <v>4</v>
      </c>
      <c r="D111" s="171">
        <v>234374156</v>
      </c>
      <c r="E111" s="201">
        <f t="shared" si="1"/>
        <v>281.34295437110546</v>
      </c>
      <c r="F111" s="173">
        <f t="shared" si="2"/>
        <v>0.93780984790368482</v>
      </c>
    </row>
    <row r="112" spans="1:10" ht="26.25" customHeight="1" x14ac:dyDescent="0.4">
      <c r="A112" s="67" t="s">
        <v>95</v>
      </c>
      <c r="B112" s="68">
        <v>1</v>
      </c>
      <c r="C112" s="170">
        <v>5</v>
      </c>
      <c r="D112" s="171">
        <v>235412271</v>
      </c>
      <c r="E112" s="201">
        <f t="shared" si="1"/>
        <v>282.5891085805182</v>
      </c>
      <c r="F112" s="173">
        <f t="shared" si="2"/>
        <v>0.94196369526839396</v>
      </c>
    </row>
    <row r="113" spans="1:10" ht="26.25" customHeight="1" x14ac:dyDescent="0.4">
      <c r="A113" s="67" t="s">
        <v>97</v>
      </c>
      <c r="B113" s="68">
        <v>1</v>
      </c>
      <c r="C113" s="174">
        <v>6</v>
      </c>
      <c r="D113" s="175">
        <v>237000127</v>
      </c>
      <c r="E113" s="202">
        <f t="shared" si="1"/>
        <v>284.49517239651283</v>
      </c>
      <c r="F113" s="176">
        <f t="shared" si="2"/>
        <v>0.94831724132170947</v>
      </c>
    </row>
    <row r="114" spans="1:10" ht="26.25" customHeight="1" x14ac:dyDescent="0.4">
      <c r="A114" s="67" t="s">
        <v>98</v>
      </c>
      <c r="B114" s="68">
        <v>1</v>
      </c>
      <c r="C114" s="170"/>
      <c r="D114" s="153"/>
      <c r="E114" s="139"/>
      <c r="F114" s="177"/>
    </row>
    <row r="115" spans="1:10" ht="26.25" customHeight="1" x14ac:dyDescent="0.4">
      <c r="A115" s="67" t="s">
        <v>99</v>
      </c>
      <c r="B115" s="68">
        <v>1</v>
      </c>
      <c r="C115" s="170"/>
      <c r="D115" s="178" t="s">
        <v>68</v>
      </c>
      <c r="E115" s="204">
        <f>AVERAGE(E108:E113)</f>
        <v>281.73767060439735</v>
      </c>
      <c r="F115" s="179">
        <f>AVERAGE(F108:F113)</f>
        <v>0.93912556868132457</v>
      </c>
    </row>
    <row r="116" spans="1:10" ht="27" customHeight="1" thickBot="1" x14ac:dyDescent="0.45">
      <c r="A116" s="67" t="s">
        <v>100</v>
      </c>
      <c r="B116" s="96">
        <f>(B115/B114)*(B113/B112)*(B111/B110)*(B109/B108)*B107</f>
        <v>900</v>
      </c>
      <c r="C116" s="180"/>
      <c r="D116" s="145" t="s">
        <v>81</v>
      </c>
      <c r="E116" s="181">
        <f>STDEV(E108:E113)/E115</f>
        <v>6.0102367814477706E-3</v>
      </c>
      <c r="F116" s="181">
        <f>STDEV(F108:F113)/F115</f>
        <v>6.0102367814477836E-3</v>
      </c>
      <c r="I116" s="139"/>
    </row>
    <row r="117" spans="1:10" ht="27" customHeight="1" thickBot="1" x14ac:dyDescent="0.45">
      <c r="A117" s="400" t="s">
        <v>75</v>
      </c>
      <c r="B117" s="401"/>
      <c r="C117" s="182"/>
      <c r="D117" s="183" t="s">
        <v>20</v>
      </c>
      <c r="E117" s="184">
        <f>COUNT(E108:E113)</f>
        <v>6</v>
      </c>
      <c r="F117" s="184">
        <f>COUNT(F108:F113)</f>
        <v>6</v>
      </c>
      <c r="I117" s="139"/>
      <c r="J117" s="164"/>
    </row>
    <row r="118" spans="1:10" ht="19.5" customHeight="1" thickBot="1" x14ac:dyDescent="0.35">
      <c r="A118" s="402"/>
      <c r="B118" s="403"/>
      <c r="C118" s="139"/>
      <c r="D118" s="139"/>
      <c r="E118" s="139"/>
      <c r="F118" s="153"/>
      <c r="G118" s="139"/>
      <c r="H118" s="139"/>
      <c r="I118" s="139"/>
    </row>
    <row r="119" spans="1:10" ht="18.75" x14ac:dyDescent="0.3">
      <c r="A119" s="191"/>
      <c r="B119" s="63"/>
      <c r="C119" s="139"/>
      <c r="D119" s="139"/>
      <c r="E119" s="139"/>
      <c r="F119" s="153"/>
      <c r="G119" s="139"/>
      <c r="H119" s="139"/>
      <c r="I119" s="139"/>
    </row>
    <row r="120" spans="1:10" ht="26.25" customHeight="1" x14ac:dyDescent="0.4">
      <c r="A120" s="187" t="s">
        <v>103</v>
      </c>
      <c r="B120" s="145" t="s">
        <v>120</v>
      </c>
      <c r="C120" s="395" t="str">
        <f>B20</f>
        <v>Lamivudine     Nevirapine and Zidovudine</v>
      </c>
      <c r="D120" s="395"/>
      <c r="E120" s="139" t="s">
        <v>121</v>
      </c>
      <c r="F120" s="139"/>
      <c r="G120" s="140">
        <f>F115</f>
        <v>0.93912556868132457</v>
      </c>
      <c r="H120" s="139"/>
      <c r="I120" s="139"/>
    </row>
    <row r="121" spans="1:10" ht="19.5" customHeight="1" thickBot="1" x14ac:dyDescent="0.35">
      <c r="A121" s="211"/>
      <c r="B121" s="211"/>
      <c r="C121" s="185"/>
      <c r="D121" s="185"/>
      <c r="E121" s="185"/>
      <c r="F121" s="185"/>
      <c r="G121" s="185"/>
      <c r="H121" s="185"/>
    </row>
    <row r="122" spans="1:10" ht="18.75" x14ac:dyDescent="0.3">
      <c r="B122" s="414" t="s">
        <v>23</v>
      </c>
      <c r="C122" s="414"/>
      <c r="E122" s="210" t="s">
        <v>24</v>
      </c>
      <c r="F122" s="186"/>
      <c r="G122" s="414" t="s">
        <v>25</v>
      </c>
      <c r="H122" s="414"/>
    </row>
    <row r="123" spans="1:10" ht="69.95" customHeight="1" x14ac:dyDescent="0.3">
      <c r="A123" s="187" t="s">
        <v>26</v>
      </c>
      <c r="B123" s="188"/>
      <c r="C123" s="188"/>
      <c r="E123" s="188"/>
      <c r="F123" s="139"/>
      <c r="G123" s="188"/>
      <c r="H123" s="188"/>
    </row>
    <row r="124" spans="1:10" ht="69.95" customHeight="1" x14ac:dyDescent="0.3">
      <c r="A124" s="187" t="s">
        <v>27</v>
      </c>
      <c r="B124" s="189"/>
      <c r="C124" s="189"/>
      <c r="E124" s="189"/>
      <c r="F124" s="139"/>
      <c r="G124" s="190"/>
      <c r="H124" s="190"/>
    </row>
    <row r="125" spans="1:10" ht="18.75" x14ac:dyDescent="0.3">
      <c r="A125" s="153"/>
      <c r="B125" s="153"/>
      <c r="C125" s="153"/>
      <c r="D125" s="153"/>
      <c r="E125" s="153"/>
      <c r="F125" s="136"/>
      <c r="G125" s="153"/>
      <c r="H125" s="153"/>
      <c r="I125" s="139"/>
    </row>
    <row r="126" spans="1:10" ht="18.75" x14ac:dyDescent="0.3">
      <c r="A126" s="153"/>
      <c r="B126" s="153"/>
      <c r="C126" s="153"/>
      <c r="D126" s="153"/>
      <c r="E126" s="153"/>
      <c r="F126" s="136"/>
      <c r="G126" s="153"/>
      <c r="H126" s="153"/>
      <c r="I126" s="139"/>
    </row>
    <row r="127" spans="1:10" ht="18.75" x14ac:dyDescent="0.3">
      <c r="A127" s="153"/>
      <c r="B127" s="153"/>
      <c r="C127" s="153"/>
      <c r="D127" s="153"/>
      <c r="E127" s="153"/>
      <c r="F127" s="136"/>
      <c r="G127" s="153"/>
      <c r="H127" s="153"/>
      <c r="I127" s="139"/>
    </row>
    <row r="128" spans="1:10" ht="18.75" x14ac:dyDescent="0.3">
      <c r="A128" s="153"/>
      <c r="B128" s="153"/>
      <c r="C128" s="153"/>
      <c r="D128" s="153"/>
      <c r="E128" s="153"/>
      <c r="F128" s="136"/>
      <c r="G128" s="153"/>
      <c r="H128" s="153"/>
      <c r="I128" s="139"/>
    </row>
    <row r="129" spans="1:9" ht="18.75" x14ac:dyDescent="0.3">
      <c r="A129" s="153"/>
      <c r="B129" s="153"/>
      <c r="C129" s="153"/>
      <c r="D129" s="153"/>
      <c r="E129" s="153"/>
      <c r="F129" s="136"/>
      <c r="G129" s="153"/>
      <c r="H129" s="153"/>
      <c r="I129" s="139"/>
    </row>
    <row r="130" spans="1:9" ht="18.75" x14ac:dyDescent="0.3">
      <c r="A130" s="153"/>
      <c r="B130" s="153"/>
      <c r="C130" s="153"/>
      <c r="D130" s="153"/>
      <c r="E130" s="153"/>
      <c r="F130" s="136"/>
      <c r="G130" s="153"/>
      <c r="H130" s="153"/>
      <c r="I130" s="139"/>
    </row>
    <row r="131" spans="1:9" ht="18.75" x14ac:dyDescent="0.3">
      <c r="A131" s="153"/>
      <c r="B131" s="153"/>
      <c r="C131" s="153"/>
      <c r="D131" s="153"/>
      <c r="E131" s="153"/>
      <c r="F131" s="136"/>
      <c r="G131" s="153"/>
      <c r="H131" s="153"/>
      <c r="I131" s="139"/>
    </row>
    <row r="132" spans="1:9" ht="18.75" x14ac:dyDescent="0.3">
      <c r="A132" s="153"/>
      <c r="B132" s="153"/>
      <c r="C132" s="153"/>
      <c r="D132" s="153"/>
      <c r="E132" s="153"/>
      <c r="F132" s="136"/>
      <c r="G132" s="153"/>
      <c r="H132" s="153"/>
      <c r="I132" s="139"/>
    </row>
    <row r="133" spans="1:9" ht="18.75" x14ac:dyDescent="0.3">
      <c r="A133" s="153"/>
      <c r="B133" s="153"/>
      <c r="C133" s="153"/>
      <c r="D133" s="153"/>
      <c r="E133" s="153"/>
      <c r="F133" s="136"/>
      <c r="G133" s="153"/>
      <c r="H133" s="153"/>
      <c r="I133" s="139"/>
    </row>
    <row r="250" spans="1:1" x14ac:dyDescent="0.25">
      <c r="A250" s="156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SST(ZID)</vt:lpstr>
      <vt:lpstr>SST(NEV)</vt:lpstr>
      <vt:lpstr>SST(LAM)</vt:lpstr>
      <vt:lpstr>Uniformity</vt:lpstr>
      <vt:lpstr>lamivudine (2)</vt:lpstr>
      <vt:lpstr>Nevirapine (2)</vt:lpstr>
      <vt:lpstr>zidovudine (2)</vt:lpstr>
      <vt:lpstr>'lamivudine (2)'!Print_Area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2016-10-04T08:09:09Z</cp:lastPrinted>
  <dcterms:created xsi:type="dcterms:W3CDTF">2005-07-05T10:19:27Z</dcterms:created>
  <dcterms:modified xsi:type="dcterms:W3CDTF">2016-10-04T08:20:36Z</dcterms:modified>
</cp:coreProperties>
</file>