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ACKUP\mikol\work\"/>
    </mc:Choice>
  </mc:AlternateContent>
  <bookViews>
    <workbookView xWindow="510" yWindow="585" windowWidth="14055" windowHeight="6090" activeTab="6"/>
  </bookViews>
  <sheets>
    <sheet name="Efa SST" sheetId="10" r:id="rId1"/>
    <sheet name="TDF SST" sheetId="9" r:id="rId2"/>
    <sheet name="Lam SST" sheetId="5" r:id="rId3"/>
    <sheet name="Uniformity (2)" sheetId="15" r:id="rId4"/>
    <sheet name="Lam" sheetId="3" r:id="rId5"/>
    <sheet name="TDF" sheetId="13" r:id="rId6"/>
    <sheet name="Efa" sheetId="14" r:id="rId7"/>
  </sheets>
  <definedNames>
    <definedName name="_xlnm.Print_Area" localSheetId="6">Efa!$A$1:$I$125</definedName>
    <definedName name="_xlnm.Print_Area" localSheetId="4">Lam!$A$1:$I$125</definedName>
    <definedName name="_xlnm.Print_Area" localSheetId="5">TDF!$A$1:$I$125</definedName>
    <definedName name="_xlnm.Print_Area" localSheetId="3">'Uniformity (2)'!$A$1:$F$54</definedName>
  </definedNames>
  <calcPr calcId="152511"/>
</workbook>
</file>

<file path=xl/calcChain.xml><?xml version="1.0" encoding="utf-8"?>
<calcChain xmlns="http://schemas.openxmlformats.org/spreadsheetml/2006/main">
  <c r="B57" i="14" l="1"/>
  <c r="B57" i="13"/>
  <c r="B57" i="3"/>
  <c r="C46" i="15" l="1"/>
  <c r="D50" i="15" s="1"/>
  <c r="C45" i="15"/>
  <c r="D37" i="15"/>
  <c r="D33" i="15"/>
  <c r="D29" i="15"/>
  <c r="D25" i="15"/>
  <c r="C19" i="15"/>
  <c r="D41" i="15" l="1"/>
  <c r="D26" i="15"/>
  <c r="D30" i="15"/>
  <c r="D38" i="15"/>
  <c r="D27" i="15"/>
  <c r="D31" i="15"/>
  <c r="D35" i="15"/>
  <c r="D39" i="15"/>
  <c r="D43" i="15"/>
  <c r="C49" i="15"/>
  <c r="D24" i="15"/>
  <c r="D28" i="15"/>
  <c r="D32" i="15"/>
  <c r="D36" i="15"/>
  <c r="D40" i="15"/>
  <c r="D49" i="15"/>
  <c r="C50" i="15"/>
  <c r="D34" i="15"/>
  <c r="D42" i="15"/>
  <c r="B49" i="15"/>
  <c r="B41" i="5" l="1"/>
  <c r="B17" i="5"/>
  <c r="B42" i="9"/>
  <c r="B17" i="9"/>
  <c r="B42" i="10"/>
  <c r="B41" i="10"/>
  <c r="B17" i="10"/>
  <c r="B19" i="10"/>
  <c r="C120" i="14"/>
  <c r="B116" i="14"/>
  <c r="D100" i="14"/>
  <c r="B98" i="14"/>
  <c r="F97" i="14"/>
  <c r="D97" i="14"/>
  <c r="F95" i="14"/>
  <c r="D95" i="14"/>
  <c r="I92" i="14" s="1"/>
  <c r="G94" i="14"/>
  <c r="E94" i="14"/>
  <c r="B87" i="14"/>
  <c r="B81" i="14"/>
  <c r="B83" i="14" s="1"/>
  <c r="B80" i="14"/>
  <c r="B79" i="14"/>
  <c r="C76" i="14"/>
  <c r="H71" i="14"/>
  <c r="G71" i="14"/>
  <c r="B68" i="14"/>
  <c r="H67" i="14"/>
  <c r="G67" i="14"/>
  <c r="H63" i="14"/>
  <c r="G63" i="14"/>
  <c r="C56" i="14"/>
  <c r="B55" i="14"/>
  <c r="B45" i="14"/>
  <c r="D48" i="14" s="1"/>
  <c r="F42" i="14"/>
  <c r="D42" i="14"/>
  <c r="G41" i="14"/>
  <c r="E41" i="14"/>
  <c r="B34" i="14"/>
  <c r="D44" i="14" s="1"/>
  <c r="B30" i="14"/>
  <c r="C120" i="13"/>
  <c r="B116" i="13"/>
  <c r="D100" i="13"/>
  <c r="B98" i="13"/>
  <c r="F95" i="13"/>
  <c r="D95" i="13"/>
  <c r="G94" i="13"/>
  <c r="E94" i="13"/>
  <c r="B87" i="13"/>
  <c r="F97" i="13" s="1"/>
  <c r="B81" i="13"/>
  <c r="B83" i="13" s="1"/>
  <c r="B80" i="13"/>
  <c r="B79" i="13"/>
  <c r="C76" i="13"/>
  <c r="H71" i="13"/>
  <c r="G71" i="13"/>
  <c r="B68" i="13"/>
  <c r="H67" i="13"/>
  <c r="G67" i="13"/>
  <c r="H63" i="13"/>
  <c r="G63" i="13"/>
  <c r="B69" i="13"/>
  <c r="C56" i="13"/>
  <c r="B55" i="13"/>
  <c r="B45" i="13"/>
  <c r="D48" i="13" s="1"/>
  <c r="F42" i="13"/>
  <c r="D42" i="13"/>
  <c r="G41" i="13"/>
  <c r="E41" i="13"/>
  <c r="B34" i="13"/>
  <c r="D44" i="13" s="1"/>
  <c r="B30" i="13"/>
  <c r="B53" i="10"/>
  <c r="E51" i="10"/>
  <c r="D51" i="10"/>
  <c r="C51" i="10"/>
  <c r="B51" i="10"/>
  <c r="B52" i="10" s="1"/>
  <c r="B40" i="10"/>
  <c r="B39" i="10"/>
  <c r="B32" i="10"/>
  <c r="E30" i="10"/>
  <c r="D30" i="10"/>
  <c r="C30" i="10"/>
  <c r="B30" i="10"/>
  <c r="B31" i="10" s="1"/>
  <c r="B53" i="9"/>
  <c r="B52" i="9"/>
  <c r="E51" i="9"/>
  <c r="D51" i="9"/>
  <c r="C51" i="9"/>
  <c r="B51" i="9"/>
  <c r="B41" i="9"/>
  <c r="B40" i="9"/>
  <c r="B39" i="9"/>
  <c r="B32" i="9"/>
  <c r="E30" i="9"/>
  <c r="D30" i="9"/>
  <c r="C30" i="9"/>
  <c r="B30" i="9"/>
  <c r="B31" i="9" s="1"/>
  <c r="B42" i="5"/>
  <c r="B40" i="5"/>
  <c r="B39" i="5"/>
  <c r="B69" i="14" l="1"/>
  <c r="D101" i="14"/>
  <c r="D101" i="13"/>
  <c r="D102" i="13" s="1"/>
  <c r="I92" i="13"/>
  <c r="I39" i="14"/>
  <c r="D45" i="14"/>
  <c r="D46" i="14" s="1"/>
  <c r="D45" i="13"/>
  <c r="D46" i="13" s="1"/>
  <c r="D49" i="14"/>
  <c r="E38" i="14"/>
  <c r="F98" i="14"/>
  <c r="F99" i="14" s="1"/>
  <c r="D98" i="14"/>
  <c r="D99" i="14" s="1"/>
  <c r="F44" i="14"/>
  <c r="F45" i="14" s="1"/>
  <c r="F46" i="14" s="1"/>
  <c r="I39" i="13"/>
  <c r="D49" i="13"/>
  <c r="E40" i="13"/>
  <c r="F98" i="13"/>
  <c r="F44" i="13"/>
  <c r="F45" i="13" s="1"/>
  <c r="F46" i="13" s="1"/>
  <c r="D97" i="13"/>
  <c r="D98" i="13" s="1"/>
  <c r="D102" i="14" l="1"/>
  <c r="G92" i="14"/>
  <c r="E91" i="14"/>
  <c r="G93" i="14"/>
  <c r="E92" i="14"/>
  <c r="E93" i="14"/>
  <c r="G91" i="14"/>
  <c r="F99" i="13"/>
  <c r="G91" i="13"/>
  <c r="G93" i="13"/>
  <c r="G92" i="13"/>
  <c r="D99" i="13"/>
  <c r="E92" i="13"/>
  <c r="E93" i="13"/>
  <c r="E91" i="13"/>
  <c r="G39" i="14"/>
  <c r="G38" i="14"/>
  <c r="E39" i="14"/>
  <c r="E40" i="14"/>
  <c r="E39" i="13"/>
  <c r="E38" i="13"/>
  <c r="G40" i="14"/>
  <c r="G38" i="13"/>
  <c r="G40" i="13"/>
  <c r="G39" i="13"/>
  <c r="G95" i="14" l="1"/>
  <c r="D105" i="14"/>
  <c r="E95" i="14"/>
  <c r="D103" i="14"/>
  <c r="E42" i="13"/>
  <c r="G95" i="13"/>
  <c r="D103" i="13"/>
  <c r="E95" i="13"/>
  <c r="D105" i="13"/>
  <c r="E42" i="14"/>
  <c r="D52" i="14"/>
  <c r="G42" i="14"/>
  <c r="D50" i="14"/>
  <c r="G66" i="14" s="1"/>
  <c r="H66" i="14" s="1"/>
  <c r="D52" i="13"/>
  <c r="D50" i="13"/>
  <c r="G42" i="13"/>
  <c r="B53" i="5"/>
  <c r="E51" i="5"/>
  <c r="D51" i="5"/>
  <c r="C51" i="5"/>
  <c r="B51" i="5"/>
  <c r="B52" i="5" s="1"/>
  <c r="B32" i="5"/>
  <c r="E30" i="5"/>
  <c r="D30" i="5"/>
  <c r="C30" i="5"/>
  <c r="B30" i="5"/>
  <c r="B31" i="5" s="1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D104" i="14" l="1"/>
  <c r="E108" i="14"/>
  <c r="E113" i="14"/>
  <c r="F113" i="14" s="1"/>
  <c r="E110" i="14"/>
  <c r="F110" i="14" s="1"/>
  <c r="E112" i="14"/>
  <c r="F112" i="14" s="1"/>
  <c r="E109" i="14"/>
  <c r="F109" i="14" s="1"/>
  <c r="E111" i="14"/>
  <c r="F111" i="14" s="1"/>
  <c r="D104" i="13"/>
  <c r="E113" i="13"/>
  <c r="F113" i="13" s="1"/>
  <c r="E108" i="13"/>
  <c r="E111" i="13"/>
  <c r="F111" i="13" s="1"/>
  <c r="E110" i="13"/>
  <c r="F110" i="13" s="1"/>
  <c r="E112" i="13"/>
  <c r="F112" i="13" s="1"/>
  <c r="E109" i="13"/>
  <c r="F109" i="13" s="1"/>
  <c r="G68" i="14"/>
  <c r="H68" i="14" s="1"/>
  <c r="G62" i="14"/>
  <c r="H62" i="14" s="1"/>
  <c r="D51" i="14"/>
  <c r="G69" i="14"/>
  <c r="H69" i="14" s="1"/>
  <c r="G60" i="14"/>
  <c r="G70" i="14"/>
  <c r="H70" i="14" s="1"/>
  <c r="G65" i="14"/>
  <c r="H65" i="14" s="1"/>
  <c r="G61" i="14"/>
  <c r="H61" i="14" s="1"/>
  <c r="G64" i="14"/>
  <c r="H64" i="14" s="1"/>
  <c r="G66" i="13"/>
  <c r="H66" i="13" s="1"/>
  <c r="G65" i="13"/>
  <c r="H65" i="13" s="1"/>
  <c r="G61" i="13"/>
  <c r="H61" i="13" s="1"/>
  <c r="G64" i="13"/>
  <c r="H64" i="13" s="1"/>
  <c r="G60" i="13"/>
  <c r="H60" i="13" s="1"/>
  <c r="G62" i="13"/>
  <c r="H62" i="13" s="1"/>
  <c r="G69" i="13"/>
  <c r="H69" i="13" s="1"/>
  <c r="D51" i="13"/>
  <c r="G68" i="13"/>
  <c r="H68" i="13" s="1"/>
  <c r="G70" i="13"/>
  <c r="H70" i="13" s="1"/>
  <c r="I39" i="3"/>
  <c r="D97" i="3"/>
  <c r="D98" i="3" s="1"/>
  <c r="D101" i="3"/>
  <c r="D102" i="3" s="1"/>
  <c r="I92" i="3"/>
  <c r="D49" i="3"/>
  <c r="D45" i="3"/>
  <c r="E39" i="3" s="1"/>
  <c r="E38" i="3"/>
  <c r="F98" i="3"/>
  <c r="F44" i="3"/>
  <c r="F45" i="3" s="1"/>
  <c r="F46" i="3" s="1"/>
  <c r="B69" i="3"/>
  <c r="F108" i="14" l="1"/>
  <c r="E115" i="14"/>
  <c r="E116" i="14" s="1"/>
  <c r="E117" i="14"/>
  <c r="F108" i="13"/>
  <c r="E115" i="13"/>
  <c r="E116" i="13" s="1"/>
  <c r="E117" i="13"/>
  <c r="G74" i="14"/>
  <c r="G72" i="14"/>
  <c r="G73" i="14" s="1"/>
  <c r="H60" i="14"/>
  <c r="G72" i="13"/>
  <c r="G73" i="13" s="1"/>
  <c r="G74" i="13"/>
  <c r="H74" i="13"/>
  <c r="H72" i="13"/>
  <c r="E91" i="3"/>
  <c r="E40" i="3"/>
  <c r="G41" i="3"/>
  <c r="D46" i="3"/>
  <c r="E41" i="3"/>
  <c r="E92" i="3"/>
  <c r="E94" i="3"/>
  <c r="G38" i="3"/>
  <c r="G91" i="3"/>
  <c r="F99" i="3"/>
  <c r="G93" i="3"/>
  <c r="G94" i="3"/>
  <c r="G39" i="3"/>
  <c r="G92" i="3"/>
  <c r="D99" i="3"/>
  <c r="E93" i="3"/>
  <c r="G40" i="3"/>
  <c r="F115" i="14" l="1"/>
  <c r="G120" i="14" s="1"/>
  <c r="F117" i="14"/>
  <c r="F115" i="13"/>
  <c r="G120" i="13" s="1"/>
  <c r="F117" i="13"/>
  <c r="H72" i="14"/>
  <c r="H74" i="14"/>
  <c r="G76" i="13"/>
  <c r="H73" i="13"/>
  <c r="E95" i="3"/>
  <c r="D103" i="3"/>
  <c r="E113" i="3" s="1"/>
  <c r="F113" i="3" s="1"/>
  <c r="E42" i="3"/>
  <c r="D50" i="3"/>
  <c r="G68" i="3" s="1"/>
  <c r="H68" i="3" s="1"/>
  <c r="G42" i="3"/>
  <c r="D105" i="3"/>
  <c r="D52" i="3"/>
  <c r="G95" i="3"/>
  <c r="F116" i="14" l="1"/>
  <c r="F116" i="13"/>
  <c r="G76" i="14"/>
  <c r="H73" i="14"/>
  <c r="E112" i="3"/>
  <c r="F112" i="3" s="1"/>
  <c r="D104" i="3"/>
  <c r="E109" i="3"/>
  <c r="F109" i="3" s="1"/>
  <c r="E110" i="3"/>
  <c r="F110" i="3" s="1"/>
  <c r="E111" i="3"/>
  <c r="F111" i="3" s="1"/>
  <c r="E108" i="3"/>
  <c r="F108" i="3" s="1"/>
  <c r="G61" i="3"/>
  <c r="H61" i="3" s="1"/>
  <c r="G62" i="3"/>
  <c r="H62" i="3" s="1"/>
  <c r="G66" i="3"/>
  <c r="H66" i="3" s="1"/>
  <c r="G70" i="3"/>
  <c r="H70" i="3" s="1"/>
  <c r="D51" i="3"/>
  <c r="G63" i="3"/>
  <c r="H63" i="3" s="1"/>
  <c r="G65" i="3"/>
  <c r="H65" i="3" s="1"/>
  <c r="G64" i="3"/>
  <c r="H64" i="3" s="1"/>
  <c r="G67" i="3"/>
  <c r="H67" i="3" s="1"/>
  <c r="G71" i="3"/>
  <c r="H71" i="3" s="1"/>
  <c r="G69" i="3"/>
  <c r="H69" i="3" s="1"/>
  <c r="G60" i="3"/>
  <c r="E115" i="3" l="1"/>
  <c r="E116" i="3" s="1"/>
  <c r="E117" i="3"/>
  <c r="G74" i="3"/>
  <c r="G72" i="3"/>
  <c r="G73" i="3" s="1"/>
  <c r="H60" i="3"/>
  <c r="H74" i="3" s="1"/>
  <c r="F117" i="3"/>
  <c r="F115" i="3"/>
  <c r="H72" i="3" l="1"/>
  <c r="G76" i="3" s="1"/>
  <c r="G120" i="3"/>
  <c r="F116" i="3"/>
  <c r="H73" i="3" l="1"/>
</calcChain>
</file>

<file path=xl/sharedStrings.xml><?xml version="1.0" encoding="utf-8"?>
<sst xmlns="http://schemas.openxmlformats.org/spreadsheetml/2006/main" count="641" uniqueCount="137">
  <si>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</si>
  <si>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</si>
  <si>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</si>
  <si>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</si>
  <si>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</si>
  <si>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</si>
  <si>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</si>
  <si>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</si>
  <si>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</si>
  <si>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</si>
  <si>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</si>
  <si>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</si>
  <si>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</si>
  <si>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</si>
  <si>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</si>
  <si>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</si>
  <si>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</si>
  <si>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</si>
  <si>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</si>
  <si>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</si>
  <si>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</si>
  <si>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</si>
  <si>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</si>
  <si>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</si>
  <si>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</si>
  <si>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</si>
  <si>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</si>
  <si>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</si>
  <si>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</si>
  <si>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</si>
  <si>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</si>
  <si>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</si>
  <si>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</si>
  <si>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</si>
  <si>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</si>
  <si>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</si>
  <si>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</si>
  <si>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</si>
  <si>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</si>
  <si>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</si>
  <si>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</si>
  <si>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</si>
  <si>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</si>
  <si>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</si>
  <si>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</si>
  <si>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</si>
  <si>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</si>
  <si>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</si>
  <si>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</si>
  <si>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</si>
  <si>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</si>
  <si>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</si>
  <si>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</si>
  <si>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</si>
  <si>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</si>
  <si>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</si>
  <si>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</si>
  <si>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</si>
  <si>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</si>
  <si>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</si>
  <si>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</si>
  <si>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</si>
  <si>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</si>
  <si>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</si>
  <si>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</si>
  <si>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</si>
  <si>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</si>
  <si>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</si>
  <si>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</si>
  <si>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</si>
  <si>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</si>
  <si>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</si>
  <si>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</si>
  <si>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</si>
  <si>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</si>
  <si>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</si>
  <si>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</si>
  <si>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</si>
  <si>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</si>
  <si>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</si>
  <si>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</si>
  <si>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</si>
  <si>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</si>
  <si>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</si>
  <si>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</si>
  <si>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</si>
  <si>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</si>
  <si>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</si>
  <si>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</si>
  <si>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</si>
  <si>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</si>
  <si>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</si>
  <si>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</si>
  <si>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</si>
  <si>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</si>
  <si>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</si>
  <si>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</si>
  <si>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</si>
  <si>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</si>
  <si>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</si>
  <si>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</si>
  <si>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</si>
  <si>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</si>
  <si>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</si>
  <si>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</si>
  <si>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</si>
  <si>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</si>
  <si>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</si>
  <si>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</si>
  <si>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</si>
  <si>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</si>
  <si>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</si>
  <si>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</si>
  <si>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</si>
  <si>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</si>
  <si>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</si>
  <si>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</si>
  <si>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</si>
  <si>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</si>
  <si>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</si>
  <si>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</si>
  <si>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Bugigi</t>
  </si>
  <si>
    <t>Tenofovir DF</t>
  </si>
  <si>
    <t>Tenofovir DF, Lamivudine &amp; Efavirenz Tablets</t>
  </si>
  <si>
    <t>NDQD2016061051</t>
  </si>
  <si>
    <t>Lamivudine 300mg</t>
  </si>
  <si>
    <t>L3 7</t>
  </si>
  <si>
    <t>Tenofovir Df</t>
  </si>
  <si>
    <t>T11 8</t>
  </si>
  <si>
    <t>Efavirenz</t>
  </si>
  <si>
    <t>E15 3</t>
  </si>
  <si>
    <t>Efavirenz 600mg</t>
  </si>
  <si>
    <t>Tenofovir DF 300mg</t>
  </si>
  <si>
    <t>TENOFOVIR DISOPROXIL FUMARATE/  LAMIVUDINE/ EFAVIRENZ  TABLETS 300 MG/300 MG /600 MG</t>
  </si>
  <si>
    <t>Tenofovir Disoproxil Fumarate, Lamivudine, Efavirenz</t>
  </si>
  <si>
    <t>Tenofovir Disoproxil Fumarate 300mg/Lamivudine 300mg/Efavirenz 600mg</t>
  </si>
  <si>
    <t>2016-06-10 15:18:33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</si>
</sst>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1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10"/>
      <color rgb="FF000000"/>
      <name val="Arial"/>
    </font>
    <font>
      <b/>
      <sz val="10"/>
      <color rgb="FF000000"/>
      <name val="Book Antiqua"/>
    </font>
    <font>
      <b/>
      <i/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2"/>
      <color rgb="FF000000"/>
      <name val="Arial"/>
    </font>
    <font>
      <sz val="10"/>
      <color rgb="FF000000"/>
      <name val="Book Antiqua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21" fillId="2" borderId="0"/>
    <xf numFmtId="0" fontId="21" fillId="2" borderId="0"/>
    <xf numFmtId="0" fontId="22" fillId="2" borderId="0"/>
    <xf numFmtId="0" fontId="22" fillId="2" borderId="0"/>
  </cellStyleXfs>
  <cellXfs count="33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8" xfId="0" applyFont="1" applyFill="1" applyBorder="1"/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4" fillId="2" borderId="0" xfId="0" applyFont="1" applyFill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8" fontId="11" fillId="3" borderId="0" xfId="0" applyNumberFormat="1" applyFont="1" applyFill="1" applyAlignment="1" applyProtection="1">
      <alignment horizontal="center"/>
      <protection locked="0"/>
    </xf>
    <xf numFmtId="169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70" fontId="9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10" fillId="3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right"/>
    </xf>
    <xf numFmtId="0" fontId="10" fillId="3" borderId="24" xfId="0" applyFont="1" applyFill="1" applyBorder="1" applyAlignment="1" applyProtection="1">
      <alignment horizontal="center"/>
      <protection locked="0"/>
    </xf>
    <xf numFmtId="0" fontId="9" fillId="2" borderId="2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10" fillId="3" borderId="29" xfId="0" applyFont="1" applyFill="1" applyBorder="1" applyAlignment="1" applyProtection="1">
      <alignment horizontal="center"/>
      <protection locked="0"/>
    </xf>
    <xf numFmtId="171" fontId="8" fillId="2" borderId="26" xfId="0" applyNumberFormat="1" applyFont="1" applyFill="1" applyBorder="1" applyAlignment="1">
      <alignment horizontal="center"/>
    </xf>
    <xf numFmtId="171" fontId="8" fillId="2" borderId="30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8" fillId="2" borderId="24" xfId="0" applyFont="1" applyFill="1" applyBorder="1" applyAlignment="1">
      <alignment horizontal="center"/>
    </xf>
    <xf numFmtId="0" fontId="10" fillId="3" borderId="23" xfId="0" applyFont="1" applyFill="1" applyBorder="1" applyAlignment="1" applyProtection="1">
      <alignment horizontal="center"/>
      <protection locked="0"/>
    </xf>
    <xf numFmtId="171" fontId="8" fillId="2" borderId="31" xfId="0" applyNumberFormat="1" applyFont="1" applyFill="1" applyBorder="1" applyAlignment="1">
      <alignment horizontal="center"/>
    </xf>
    <xf numFmtId="171" fontId="8" fillId="2" borderId="32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33" xfId="0" applyFont="1" applyFill="1" applyBorder="1" applyAlignment="1">
      <alignment horizontal="center"/>
    </xf>
    <xf numFmtId="0" fontId="10" fillId="3" borderId="34" xfId="0" applyFont="1" applyFill="1" applyBorder="1" applyAlignment="1" applyProtection="1">
      <alignment horizontal="center"/>
      <protection locked="0"/>
    </xf>
    <xf numFmtId="171" fontId="8" fillId="2" borderId="35" xfId="0" applyNumberFormat="1" applyFont="1" applyFill="1" applyBorder="1" applyAlignment="1">
      <alignment horizontal="center"/>
    </xf>
    <xf numFmtId="171" fontId="8" fillId="2" borderId="36" xfId="0" applyNumberFormat="1" applyFont="1" applyFill="1" applyBorder="1" applyAlignment="1">
      <alignment horizontal="center"/>
    </xf>
    <xf numFmtId="0" fontId="8" fillId="2" borderId="15" xfId="0" applyFont="1" applyFill="1" applyBorder="1"/>
    <xf numFmtId="0" fontId="8" fillId="2" borderId="24" xfId="0" applyFont="1" applyFill="1" applyBorder="1" applyAlignment="1">
      <alignment horizontal="right"/>
    </xf>
    <xf numFmtId="1" fontId="9" fillId="6" borderId="37" xfId="0" applyNumberFormat="1" applyFont="1" applyFill="1" applyBorder="1" applyAlignment="1">
      <alignment horizontal="center"/>
    </xf>
    <xf numFmtId="171" fontId="9" fillId="6" borderId="38" xfId="0" applyNumberFormat="1" applyFont="1" applyFill="1" applyBorder="1" applyAlignment="1">
      <alignment horizontal="center"/>
    </xf>
    <xf numFmtId="171" fontId="9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0" fontId="10" fillId="3" borderId="16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4" xfId="0" applyFont="1" applyFill="1" applyBorder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66" fontId="8" fillId="6" borderId="41" xfId="0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8" fillId="6" borderId="17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166" fontId="10" fillId="3" borderId="41" xfId="0" applyNumberFormat="1" applyFont="1" applyFill="1" applyBorder="1" applyAlignment="1" applyProtection="1">
      <alignment horizontal="center"/>
      <protection locked="0"/>
    </xf>
    <xf numFmtId="166" fontId="8" fillId="2" borderId="0" xfId="0" applyNumberFormat="1" applyFont="1" applyFill="1"/>
    <xf numFmtId="0" fontId="8" fillId="2" borderId="29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right"/>
    </xf>
    <xf numFmtId="2" fontId="8" fillId="6" borderId="15" xfId="0" applyNumberFormat="1" applyFont="1" applyFill="1" applyBorder="1" applyAlignment="1">
      <alignment horizontal="center"/>
    </xf>
    <xf numFmtId="171" fontId="9" fillId="7" borderId="13" xfId="0" applyNumberFormat="1" applyFont="1" applyFill="1" applyBorder="1" applyAlignment="1">
      <alignment horizontal="center"/>
    </xf>
    <xf numFmtId="171" fontId="8" fillId="2" borderId="0" xfId="0" applyNumberFormat="1" applyFont="1" applyFill="1" applyAlignment="1">
      <alignment horizontal="center"/>
    </xf>
    <xf numFmtId="10" fontId="8" fillId="6" borderId="41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2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 vertic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43" xfId="0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 vertical="center"/>
    </xf>
    <xf numFmtId="10" fontId="8" fillId="2" borderId="24" xfId="0" applyNumberFormat="1" applyFont="1" applyFill="1" applyBorder="1" applyAlignment="1">
      <alignment horizontal="center" vertical="center"/>
    </xf>
    <xf numFmtId="10" fontId="8" fillId="2" borderId="44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5" xfId="0" applyFont="1" applyFill="1" applyBorder="1" applyAlignment="1">
      <alignment horizontal="right"/>
    </xf>
    <xf numFmtId="10" fontId="10" fillId="7" borderId="33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0" fillId="7" borderId="46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71" fontId="10" fillId="3" borderId="34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9" xfId="0" applyNumberFormat="1" applyFont="1" applyFill="1" applyBorder="1" applyAlignment="1">
      <alignment horizontal="center"/>
    </xf>
    <xf numFmtId="1" fontId="9" fillId="6" borderId="50" xfId="0" applyNumberFormat="1" applyFont="1" applyFill="1" applyBorder="1" applyAlignment="1">
      <alignment horizontal="center"/>
    </xf>
    <xf numFmtId="171" fontId="9" fillId="6" borderId="15" xfId="0" applyNumberFormat="1" applyFont="1" applyFill="1" applyBorder="1" applyAlignment="1">
      <alignment horizontal="center"/>
    </xf>
    <xf numFmtId="0" fontId="8" fillId="2" borderId="51" xfId="0" applyFont="1" applyFill="1" applyBorder="1" applyAlignment="1">
      <alignment horizontal="right"/>
    </xf>
    <xf numFmtId="0" fontId="10" fillId="3" borderId="52" xfId="0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166" fontId="8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8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3" xfId="0" applyFont="1" applyFill="1" applyBorder="1" applyAlignment="1">
      <alignment horizontal="right"/>
    </xf>
    <xf numFmtId="2" fontId="8" fillId="7" borderId="3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16" xfId="0" applyFont="1" applyFill="1" applyBorder="1" applyAlignment="1">
      <alignment horizontal="right"/>
    </xf>
    <xf numFmtId="171" fontId="9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41" xfId="0" applyNumberFormat="1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54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/>
    </xf>
    <xf numFmtId="1" fontId="10" fillId="3" borderId="31" xfId="0" applyNumberFormat="1" applyFont="1" applyFill="1" applyBorder="1" applyAlignment="1" applyProtection="1">
      <alignment horizontal="center"/>
      <protection locked="0"/>
    </xf>
    <xf numFmtId="10" fontId="8" fillId="2" borderId="30" xfId="0" applyNumberFormat="1" applyFont="1" applyFill="1" applyBorder="1" applyAlignment="1">
      <alignment horizontal="center"/>
    </xf>
    <xf numFmtId="10" fontId="8" fillId="2" borderId="32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1" fontId="10" fillId="3" borderId="35" xfId="0" applyNumberFormat="1" applyFont="1" applyFill="1" applyBorder="1" applyAlignment="1" applyProtection="1">
      <alignment horizontal="center"/>
      <protection locked="0"/>
    </xf>
    <xf numFmtId="10" fontId="8" fillId="2" borderId="36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171" fontId="8" fillId="2" borderId="2" xfId="0" applyNumberFormat="1" applyFont="1" applyFill="1" applyBorder="1" applyAlignment="1">
      <alignment horizontal="right"/>
    </xf>
    <xf numFmtId="10" fontId="10" fillId="7" borderId="27" xfId="0" applyNumberFormat="1" applyFont="1" applyFill="1" applyBorder="1" applyAlignment="1">
      <alignment horizontal="center"/>
    </xf>
    <xf numFmtId="0" fontId="8" fillId="2" borderId="23" xfId="0" applyFont="1" applyFill="1" applyBorder="1"/>
    <xf numFmtId="10" fontId="10" fillId="6" borderId="27" xfId="0" applyNumberFormat="1" applyFont="1" applyFill="1" applyBorder="1" applyAlignment="1">
      <alignment horizontal="center"/>
    </xf>
    <xf numFmtId="0" fontId="8" fillId="2" borderId="43" xfId="0" applyFont="1" applyFill="1" applyBorder="1"/>
    <xf numFmtId="0" fontId="8" fillId="2" borderId="56" xfId="0" applyFont="1" applyFill="1" applyBorder="1" applyAlignment="1">
      <alignment horizontal="right"/>
    </xf>
    <xf numFmtId="0" fontId="10" fillId="7" borderId="1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66" fontId="9" fillId="2" borderId="0" xfId="0" applyNumberFormat="1" applyFont="1" applyFill="1" applyAlignment="1" applyProtection="1">
      <alignment horizontal="center"/>
      <protection locked="0"/>
    </xf>
    <xf numFmtId="166" fontId="8" fillId="2" borderId="21" xfId="0" applyNumberFormat="1" applyFont="1" applyFill="1" applyBorder="1" applyAlignment="1">
      <alignment horizontal="center"/>
    </xf>
    <xf numFmtId="166" fontId="8" fillId="2" borderId="23" xfId="0" applyNumberFormat="1" applyFont="1" applyFill="1" applyBorder="1" applyAlignment="1">
      <alignment horizontal="center"/>
    </xf>
    <xf numFmtId="166" fontId="8" fillId="2" borderId="13" xfId="0" applyNumberFormat="1" applyFont="1" applyFill="1" applyBorder="1" applyAlignment="1">
      <alignment horizontal="center"/>
    </xf>
    <xf numFmtId="166" fontId="8" fillId="2" borderId="14" xfId="0" applyNumberFormat="1" applyFont="1" applyFill="1" applyBorder="1" applyAlignment="1">
      <alignment horizontal="center"/>
    </xf>
    <xf numFmtId="166" fontId="8" fillId="2" borderId="15" xfId="0" applyNumberFormat="1" applyFont="1" applyFill="1" applyBorder="1" applyAlignment="1">
      <alignment horizontal="center"/>
    </xf>
    <xf numFmtId="10" fontId="10" fillId="6" borderId="57" xfId="0" applyNumberFormat="1" applyFont="1" applyFill="1" applyBorder="1" applyAlignment="1">
      <alignment horizontal="center"/>
    </xf>
    <xf numFmtId="166" fontId="8" fillId="2" borderId="26" xfId="0" applyNumberFormat="1" applyFont="1" applyFill="1" applyBorder="1" applyAlignment="1">
      <alignment horizontal="center"/>
    </xf>
    <xf numFmtId="166" fontId="8" fillId="2" borderId="31" xfId="0" applyNumberFormat="1" applyFont="1" applyFill="1" applyBorder="1" applyAlignment="1">
      <alignment horizontal="center"/>
    </xf>
    <xf numFmtId="166" fontId="8" fillId="2" borderId="35" xfId="0" applyNumberFormat="1" applyFont="1" applyFill="1" applyBorder="1" applyAlignment="1">
      <alignment horizontal="center"/>
    </xf>
    <xf numFmtId="2" fontId="10" fillId="7" borderId="33" xfId="0" applyNumberFormat="1" applyFont="1" applyFill="1" applyBorder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0" fontId="11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10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14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3" fillId="2" borderId="0" xfId="4" applyFont="1" applyFill="1"/>
    <xf numFmtId="0" fontId="24" fillId="2" borderId="0" xfId="4" applyFont="1" applyFill="1" applyAlignment="1">
      <alignment wrapText="1"/>
    </xf>
    <xf numFmtId="0" fontId="25" fillId="2" borderId="0" xfId="4" applyFont="1" applyFill="1"/>
    <xf numFmtId="0" fontId="27" fillId="2" borderId="0" xfId="4" applyFont="1" applyFill="1"/>
    <xf numFmtId="167" fontId="27" fillId="2" borderId="0" xfId="4" applyNumberFormat="1" applyFont="1" applyFill="1" applyAlignment="1">
      <alignment horizontal="center"/>
    </xf>
    <xf numFmtId="0" fontId="26" fillId="2" borderId="0" xfId="4" applyFont="1" applyFill="1" applyAlignment="1">
      <alignment horizontal="right"/>
    </xf>
    <xf numFmtId="167" fontId="27" fillId="2" borderId="0" xfId="4" applyNumberFormat="1" applyFont="1" applyFill="1"/>
    <xf numFmtId="0" fontId="25" fillId="2" borderId="0" xfId="4" applyFont="1" applyFill="1" applyAlignment="1">
      <alignment horizontal="left"/>
    </xf>
    <xf numFmtId="0" fontId="28" fillId="2" borderId="0" xfId="4" applyFont="1" applyFill="1"/>
    <xf numFmtId="164" fontId="23" fillId="2" borderId="0" xfId="4" applyNumberFormat="1" applyFont="1" applyFill="1"/>
    <xf numFmtId="164" fontId="26" fillId="2" borderId="12" xfId="4" applyNumberFormat="1" applyFont="1" applyFill="1" applyBorder="1" applyAlignment="1">
      <alignment horizontal="center" wrapText="1"/>
    </xf>
    <xf numFmtId="0" fontId="26" fillId="2" borderId="12" xfId="4" applyFont="1" applyFill="1" applyBorder="1" applyAlignment="1">
      <alignment horizontal="center" wrapText="1"/>
    </xf>
    <xf numFmtId="0" fontId="29" fillId="2" borderId="0" xfId="4" applyFont="1" applyFill="1" applyAlignment="1">
      <alignment horizontal="center"/>
    </xf>
    <xf numFmtId="2" fontId="27" fillId="3" borderId="14" xfId="4" applyNumberFormat="1" applyFont="1" applyFill="1" applyBorder="1" applyProtection="1">
      <protection locked="0"/>
    </xf>
    <xf numFmtId="10" fontId="27" fillId="2" borderId="13" xfId="4" applyNumberFormat="1" applyFont="1" applyFill="1" applyBorder="1" applyAlignment="1">
      <alignment horizontal="center"/>
    </xf>
    <xf numFmtId="10" fontId="27" fillId="2" borderId="0" xfId="4" applyNumberFormat="1" applyFont="1" applyFill="1" applyAlignment="1">
      <alignment horizontal="center"/>
    </xf>
    <xf numFmtId="10" fontId="27" fillId="2" borderId="14" xfId="4" applyNumberFormat="1" applyFont="1" applyFill="1" applyBorder="1" applyAlignment="1">
      <alignment horizontal="center"/>
    </xf>
    <xf numFmtId="2" fontId="27" fillId="3" borderId="15" xfId="4" applyNumberFormat="1" applyFont="1" applyFill="1" applyBorder="1" applyProtection="1">
      <protection locked="0"/>
    </xf>
    <xf numFmtId="10" fontId="27" fillId="2" borderId="15" xfId="4" applyNumberFormat="1" applyFont="1" applyFill="1" applyBorder="1" applyAlignment="1">
      <alignment horizontal="center"/>
    </xf>
    <xf numFmtId="166" fontId="29" fillId="2" borderId="0" xfId="4" applyNumberFormat="1" applyFont="1" applyFill="1" applyAlignment="1">
      <alignment horizontal="center"/>
    </xf>
    <xf numFmtId="10" fontId="29" fillId="2" borderId="0" xfId="4" applyNumberFormat="1" applyFont="1" applyFill="1" applyAlignment="1">
      <alignment horizontal="center"/>
    </xf>
    <xf numFmtId="0" fontId="27" fillId="2" borderId="12" xfId="4" applyFont="1" applyFill="1" applyBorder="1" applyAlignment="1">
      <alignment horizontal="right" vertical="center"/>
    </xf>
    <xf numFmtId="166" fontId="27" fillId="2" borderId="12" xfId="4" applyNumberFormat="1" applyFont="1" applyFill="1" applyBorder="1" applyAlignment="1">
      <alignment horizontal="center" vertical="center"/>
    </xf>
    <xf numFmtId="166" fontId="27" fillId="2" borderId="0" xfId="4" applyNumberFormat="1" applyFont="1" applyFill="1" applyAlignment="1">
      <alignment horizontal="center"/>
    </xf>
    <xf numFmtId="164" fontId="26" fillId="2" borderId="12" xfId="4" applyNumberFormat="1" applyFont="1" applyFill="1" applyBorder="1" applyAlignment="1">
      <alignment horizontal="center" vertical="center"/>
    </xf>
    <xf numFmtId="2" fontId="30" fillId="2" borderId="0" xfId="4" applyNumberFormat="1" applyFont="1" applyFill="1" applyAlignment="1">
      <alignment horizontal="right"/>
    </xf>
    <xf numFmtId="2" fontId="26" fillId="2" borderId="0" xfId="4" applyNumberFormat="1" applyFont="1" applyFill="1"/>
    <xf numFmtId="2" fontId="30" fillId="2" borderId="0" xfId="4" applyNumberFormat="1" applyFont="1" applyFill="1"/>
    <xf numFmtId="0" fontId="26" fillId="2" borderId="12" xfId="4" applyFont="1" applyFill="1" applyBorder="1" applyAlignment="1">
      <alignment horizontal="center" vertical="center"/>
    </xf>
    <xf numFmtId="10" fontId="29" fillId="2" borderId="0" xfId="4" applyNumberFormat="1" applyFont="1" applyFill="1"/>
    <xf numFmtId="165" fontId="26" fillId="2" borderId="16" xfId="4" applyNumberFormat="1" applyFont="1" applyFill="1" applyBorder="1" applyAlignment="1">
      <alignment horizontal="center"/>
    </xf>
    <xf numFmtId="2" fontId="26" fillId="2" borderId="12" xfId="4" applyNumberFormat="1" applyFont="1" applyFill="1" applyBorder="1" applyAlignment="1">
      <alignment horizontal="center" vertical="center"/>
    </xf>
    <xf numFmtId="165" fontId="26" fillId="2" borderId="17" xfId="4" applyNumberFormat="1" applyFont="1" applyFill="1" applyBorder="1" applyAlignment="1">
      <alignment horizontal="center"/>
    </xf>
    <xf numFmtId="0" fontId="27" fillId="2" borderId="9" xfId="4" applyFont="1" applyFill="1" applyBorder="1"/>
    <xf numFmtId="0" fontId="27" fillId="2" borderId="0" xfId="4" applyFont="1" applyFill="1" applyAlignment="1">
      <alignment horizontal="center"/>
    </xf>
    <xf numFmtId="10" fontId="27" fillId="2" borderId="9" xfId="4" applyNumberFormat="1" applyFont="1" applyFill="1" applyBorder="1"/>
    <xf numFmtId="0" fontId="26" fillId="2" borderId="10" xfId="4" applyFont="1" applyFill="1" applyBorder="1"/>
    <xf numFmtId="0" fontId="26" fillId="2" borderId="10" xfId="4" applyFont="1" applyFill="1" applyBorder="1" applyAlignment="1">
      <alignment horizontal="center"/>
    </xf>
    <xf numFmtId="0" fontId="27" fillId="2" borderId="10" xfId="4" applyFont="1" applyFill="1" applyBorder="1" applyAlignment="1">
      <alignment horizontal="center"/>
    </xf>
    <xf numFmtId="0" fontId="27" fillId="2" borderId="7" xfId="4" applyFont="1" applyFill="1" applyBorder="1"/>
    <xf numFmtId="0" fontId="26" fillId="2" borderId="11" xfId="4" applyFont="1" applyFill="1" applyBorder="1"/>
    <xf numFmtId="0" fontId="26" fillId="2" borderId="0" xfId="4" applyFont="1" applyFill="1"/>
    <xf numFmtId="0" fontId="27" fillId="2" borderId="11" xfId="4" applyFont="1" applyFill="1" applyBorder="1"/>
    <xf numFmtId="0" fontId="22" fillId="2" borderId="0" xfId="4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26" fillId="2" borderId="13" xfId="4" applyNumberFormat="1" applyFont="1" applyFill="1" applyBorder="1" applyAlignment="1">
      <alignment horizontal="center" vertical="center"/>
    </xf>
    <xf numFmtId="166" fontId="26" fillId="2" borderId="15" xfId="4" applyNumberFormat="1" applyFont="1" applyFill="1" applyBorder="1" applyAlignment="1">
      <alignment horizontal="center" vertical="center"/>
    </xf>
    <xf numFmtId="0" fontId="24" fillId="2" borderId="18" xfId="4" applyFont="1" applyFill="1" applyBorder="1" applyAlignment="1">
      <alignment horizontal="center" wrapText="1"/>
    </xf>
    <xf numFmtId="0" fontId="24" fillId="2" borderId="19" xfId="4" applyFont="1" applyFill="1" applyBorder="1" applyAlignment="1">
      <alignment horizontal="center" wrapText="1"/>
    </xf>
    <xf numFmtId="0" fontId="24" fillId="2" borderId="20" xfId="4" applyFont="1" applyFill="1" applyBorder="1" applyAlignment="1">
      <alignment horizontal="center" wrapText="1"/>
    </xf>
    <xf numFmtId="0" fontId="25" fillId="2" borderId="0" xfId="4" applyFont="1" applyFill="1" applyAlignment="1">
      <alignment horizontal="center"/>
    </xf>
    <xf numFmtId="0" fontId="26" fillId="2" borderId="0" xfId="4" applyFont="1" applyFill="1" applyAlignment="1">
      <alignment horizontal="right"/>
    </xf>
    <xf numFmtId="164" fontId="23" fillId="2" borderId="0" xfId="4" applyNumberFormat="1" applyFont="1" applyFill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6" fillId="2" borderId="21" xfId="0" applyFont="1" applyFill="1" applyBorder="1" applyAlignment="1">
      <alignment horizontal="left" vertical="center" wrapText="1"/>
    </xf>
    <xf numFmtId="0" fontId="16" fillId="2" borderId="22" xfId="0" applyFont="1" applyFill="1" applyBorder="1" applyAlignment="1">
      <alignment horizontal="left" vertical="center" wrapText="1"/>
    </xf>
    <xf numFmtId="0" fontId="16" fillId="2" borderId="43" xfId="0" applyFont="1" applyFill="1" applyBorder="1" applyAlignment="1">
      <alignment horizontal="left" vertical="center" wrapText="1"/>
    </xf>
    <xf numFmtId="0" fontId="16" fillId="2" borderId="44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18" xfId="0" applyFont="1" applyFill="1" applyBorder="1" applyAlignment="1">
      <alignment horizontal="justify" vertical="center" wrapText="1"/>
    </xf>
    <xf numFmtId="0" fontId="16" fillId="2" borderId="19" xfId="0" applyFont="1" applyFill="1" applyBorder="1" applyAlignment="1">
      <alignment horizontal="justify" vertical="center" wrapText="1"/>
    </xf>
    <xf numFmtId="0" fontId="16" fillId="2" borderId="20" xfId="0" applyFont="1" applyFill="1" applyBorder="1" applyAlignment="1">
      <alignment horizontal="justify" vertical="center" wrapText="1"/>
    </xf>
    <xf numFmtId="0" fontId="16" fillId="2" borderId="18" xfId="0" applyFont="1" applyFill="1" applyBorder="1" applyAlignment="1">
      <alignment horizontal="left" vertical="center" wrapText="1"/>
    </xf>
    <xf numFmtId="0" fontId="16" fillId="2" borderId="19" xfId="0" applyFont="1" applyFill="1" applyBorder="1" applyAlignment="1">
      <alignment horizontal="left" vertical="center" wrapText="1"/>
    </xf>
    <xf numFmtId="0" fontId="16" fillId="2" borderId="20" xfId="0" applyFont="1" applyFill="1" applyBorder="1" applyAlignment="1">
      <alignment horizontal="left" vertical="center" wrapText="1"/>
    </xf>
    <xf numFmtId="0" fontId="9" fillId="2" borderId="47" xfId="0" applyFont="1" applyFill="1" applyBorder="1" applyAlignment="1">
      <alignment horizontal="center"/>
    </xf>
    <xf numFmtId="0" fontId="9" fillId="2" borderId="58" xfId="0" applyFont="1" applyFill="1" applyBorder="1" applyAlignment="1">
      <alignment horizontal="center"/>
    </xf>
    <xf numFmtId="10" fontId="12" fillId="2" borderId="14" xfId="0" applyNumberFormat="1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43" xfId="0" applyFont="1" applyFill="1" applyBorder="1" applyAlignment="1">
      <alignment horizontal="center" vertical="center"/>
    </xf>
    <xf numFmtId="2" fontId="10" fillId="3" borderId="13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15" xfId="0" applyNumberFormat="1" applyFont="1" applyFill="1" applyBorder="1" applyAlignment="1" applyProtection="1">
      <alignment horizontal="center" vertical="center"/>
      <protection locked="0"/>
    </xf>
    <xf numFmtId="0" fontId="16" fillId="2" borderId="21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43" xfId="0" applyFont="1" applyFill="1" applyBorder="1" applyAlignment="1">
      <alignment horizontal="center" vertical="center" wrapText="1"/>
    </xf>
    <xf numFmtId="0" fontId="16" fillId="2" borderId="44" xfId="0" applyFont="1" applyFill="1" applyBorder="1" applyAlignment="1">
      <alignment horizontal="center" vertical="center" wrapText="1"/>
    </xf>
    <xf numFmtId="0" fontId="10" fillId="3" borderId="0" xfId="0" applyFont="1" applyFill="1" applyAlignment="1" applyProtection="1">
      <alignment horizontal="left"/>
      <protection locked="0"/>
    </xf>
    <xf numFmtId="0" fontId="9" fillId="2" borderId="9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/>
      <protection locked="0"/>
    </xf>
    <xf numFmtId="0" fontId="9" fillId="2" borderId="40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18" xfId="0" applyFont="1" applyFill="1" applyBorder="1" applyAlignment="1">
      <alignment horizontal="center"/>
    </xf>
    <xf numFmtId="0" fontId="16" fillId="2" borderId="19" xfId="0" applyFont="1" applyFill="1" applyBorder="1" applyAlignment="1">
      <alignment horizontal="center"/>
    </xf>
    <xf numFmtId="0" fontId="16" fillId="2" borderId="20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4" zoomScale="60" zoomScaleNormal="100" workbookViewId="0">
      <selection activeCell="B21" sqref="B21"/>
    </sheetView>
  </sheetViews>
  <sheetFormatPr defaultRowHeight="13.5" x14ac:dyDescent="0.25"/>
  <cols>
    <col min="1" max="1" width="27.5703125" style="229" customWidth="1"/>
    <col min="2" max="2" width="20.42578125" style="229" customWidth="1"/>
    <col min="3" max="3" width="31.85546875" style="229" customWidth="1"/>
    <col min="4" max="4" width="25.85546875" style="229" customWidth="1"/>
    <col min="5" max="5" width="25.7109375" style="229" customWidth="1"/>
    <col min="6" max="6" width="23.140625" style="229" customWidth="1"/>
    <col min="7" max="7" width="28.42578125" style="229" customWidth="1"/>
    <col min="8" max="8" width="21.5703125" style="229" customWidth="1"/>
    <col min="9" max="9" width="9.140625" style="229" customWidth="1"/>
    <col min="10" max="16384" width="9.140625" style="33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83" t="s">
        <v>0</v>
      </c>
      <c r="B15" s="283"/>
      <c r="C15" s="283"/>
      <c r="D15" s="283"/>
      <c r="E15" s="283"/>
    </row>
    <row r="16" spans="1:6" ht="16.5" customHeight="1" x14ac:dyDescent="0.3">
      <c r="A16" s="44" t="s">
        <v>1</v>
      </c>
      <c r="B16" s="40" t="s">
        <v>2</v>
      </c>
    </row>
    <row r="17" spans="1:5" ht="16.5" customHeight="1" x14ac:dyDescent="0.3">
      <c r="A17" s="4" t="s">
        <v>3</v>
      </c>
      <c r="B17" s="4" t="str">
        <f>Lam!B18</f>
        <v>Tenofovir DF, Lamivudine &amp; Efavirenz Tablets</v>
      </c>
      <c r="D17" s="5"/>
      <c r="E17" s="41"/>
    </row>
    <row r="18" spans="1:5" ht="16.5" customHeight="1" x14ac:dyDescent="0.3">
      <c r="A18" s="43" t="s">
        <v>4</v>
      </c>
      <c r="B18" s="5" t="s">
        <v>129</v>
      </c>
      <c r="C18" s="41"/>
      <c r="D18" s="41"/>
      <c r="E18" s="41"/>
    </row>
    <row r="19" spans="1:5" ht="16.5" customHeight="1" x14ac:dyDescent="0.3">
      <c r="A19" s="43" t="s">
        <v>5</v>
      </c>
      <c r="B19" s="6">
        <f>Efa!B28</f>
        <v>99.3</v>
      </c>
      <c r="C19" s="41"/>
      <c r="D19" s="41"/>
      <c r="E19" s="41"/>
    </row>
    <row r="20" spans="1:5" ht="16.5" customHeight="1" x14ac:dyDescent="0.3">
      <c r="A20" s="4" t="s">
        <v>6</v>
      </c>
      <c r="B20" s="6"/>
      <c r="C20" s="41"/>
      <c r="D20" s="41"/>
      <c r="E20" s="41"/>
    </row>
    <row r="21" spans="1:5" ht="16.5" customHeight="1" x14ac:dyDescent="0.3">
      <c r="A21" s="4" t="s">
        <v>7</v>
      </c>
      <c r="B21" s="7"/>
      <c r="C21" s="41"/>
      <c r="D21" s="41"/>
      <c r="E21" s="41"/>
    </row>
    <row r="22" spans="1:5" ht="15.75" customHeight="1" x14ac:dyDescent="0.25">
      <c r="A22" s="41"/>
      <c r="B22" s="41"/>
      <c r="C22" s="41"/>
      <c r="D22" s="41"/>
      <c r="E22" s="41"/>
    </row>
    <row r="23" spans="1:5" ht="16.5" customHeight="1" x14ac:dyDescent="0.3">
      <c r="A23" s="10" t="s">
        <v>8</v>
      </c>
      <c r="B23" s="9" t="s">
        <v>9</v>
      </c>
      <c r="C23" s="10" t="s">
        <v>10</v>
      </c>
      <c r="D23" s="10" t="s">
        <v>11</v>
      </c>
      <c r="E23" s="10" t="s">
        <v>12</v>
      </c>
    </row>
    <row r="24" spans="1:5" ht="16.5" customHeight="1" x14ac:dyDescent="0.3">
      <c r="A24" s="11">
        <v>1</v>
      </c>
      <c r="B24" s="12">
        <v>106319119</v>
      </c>
      <c r="C24" s="12">
        <v>87776.8</v>
      </c>
      <c r="D24" s="13">
        <v>1.1000000000000001</v>
      </c>
      <c r="E24" s="14">
        <v>7.8</v>
      </c>
    </row>
    <row r="25" spans="1:5" ht="16.5" customHeight="1" x14ac:dyDescent="0.3">
      <c r="A25" s="11">
        <v>2</v>
      </c>
      <c r="B25" s="12">
        <v>106634491</v>
      </c>
      <c r="C25" s="12">
        <v>87582.9</v>
      </c>
      <c r="D25" s="13">
        <v>1</v>
      </c>
      <c r="E25" s="13">
        <v>7.8</v>
      </c>
    </row>
    <row r="26" spans="1:5" ht="16.5" customHeight="1" x14ac:dyDescent="0.3">
      <c r="A26" s="11">
        <v>3</v>
      </c>
      <c r="B26" s="12">
        <v>106284869</v>
      </c>
      <c r="C26" s="12">
        <v>87982.3</v>
      </c>
      <c r="D26" s="13">
        <v>1.1000000000000001</v>
      </c>
      <c r="E26" s="13">
        <v>7.8</v>
      </c>
    </row>
    <row r="27" spans="1:5" ht="16.5" customHeight="1" x14ac:dyDescent="0.3">
      <c r="A27" s="11">
        <v>4</v>
      </c>
      <c r="B27" s="12">
        <v>105969118</v>
      </c>
      <c r="C27" s="12">
        <v>87552.6</v>
      </c>
      <c r="D27" s="13">
        <v>1.2</v>
      </c>
      <c r="E27" s="13">
        <v>7.8</v>
      </c>
    </row>
    <row r="28" spans="1:5" ht="16.5" customHeight="1" x14ac:dyDescent="0.3">
      <c r="A28" s="11">
        <v>5</v>
      </c>
      <c r="B28" s="12">
        <v>106251700</v>
      </c>
      <c r="C28" s="12">
        <v>87977.5</v>
      </c>
      <c r="D28" s="13">
        <v>1</v>
      </c>
      <c r="E28" s="13">
        <v>7.8</v>
      </c>
    </row>
    <row r="29" spans="1:5" ht="16.5" customHeight="1" x14ac:dyDescent="0.3">
      <c r="A29" s="11">
        <v>6</v>
      </c>
      <c r="B29" s="15">
        <v>106624058</v>
      </c>
      <c r="C29" s="15">
        <v>88236.2</v>
      </c>
      <c r="D29" s="16">
        <v>1.1000000000000001</v>
      </c>
      <c r="E29" s="16">
        <v>7.8</v>
      </c>
    </row>
    <row r="30" spans="1:5" ht="16.5" customHeight="1" x14ac:dyDescent="0.3">
      <c r="A30" s="17" t="s">
        <v>13</v>
      </c>
      <c r="B30" s="18">
        <f>AVERAGE(B24:B29)</f>
        <v>106347225.83333333</v>
      </c>
      <c r="C30" s="19">
        <f>AVERAGE(C24:C29)</f>
        <v>87851.383333333317</v>
      </c>
      <c r="D30" s="20">
        <f>AVERAGE(D24:D29)</f>
        <v>1.0833333333333333</v>
      </c>
      <c r="E30" s="20">
        <f>AVERAGE(E24:E29)</f>
        <v>7.8</v>
      </c>
    </row>
    <row r="31" spans="1:5" ht="16.5" customHeight="1" x14ac:dyDescent="0.3">
      <c r="A31" s="21" t="s">
        <v>14</v>
      </c>
      <c r="B31" s="22">
        <f>(STDEV(B24:B29)/B30)</f>
        <v>2.3636425517090682E-3</v>
      </c>
      <c r="C31" s="23"/>
      <c r="D31" s="23"/>
      <c r="E31" s="24"/>
    </row>
    <row r="32" spans="1:5" s="229" customFormat="1" ht="16.5" customHeight="1" x14ac:dyDescent="0.3">
      <c r="A32" s="25" t="s">
        <v>15</v>
      </c>
      <c r="B32" s="26">
        <f>COUNT(B24:B29)</f>
        <v>6</v>
      </c>
      <c r="C32" s="27"/>
      <c r="D32" s="42"/>
      <c r="E32" s="28"/>
    </row>
    <row r="33" spans="1:5" s="229" customFormat="1" ht="15.75" customHeight="1" x14ac:dyDescent="0.25">
      <c r="A33" s="41"/>
      <c r="B33" s="41"/>
      <c r="C33" s="41"/>
      <c r="D33" s="41"/>
      <c r="E33" s="41"/>
    </row>
    <row r="34" spans="1:5" s="229" customFormat="1" ht="16.5" customHeight="1" x14ac:dyDescent="0.3">
      <c r="A34" s="43" t="s">
        <v>16</v>
      </c>
      <c r="B34" s="30" t="s">
        <v>17</v>
      </c>
      <c r="C34" s="29"/>
      <c r="D34" s="29"/>
      <c r="E34" s="29"/>
    </row>
    <row r="35" spans="1:5" ht="16.5" customHeight="1" x14ac:dyDescent="0.3">
      <c r="A35" s="43"/>
      <c r="B35" s="30" t="s">
        <v>18</v>
      </c>
      <c r="C35" s="29"/>
      <c r="D35" s="29"/>
      <c r="E35" s="29"/>
    </row>
    <row r="36" spans="1:5" ht="16.5" customHeight="1" x14ac:dyDescent="0.3">
      <c r="A36" s="43"/>
      <c r="B36" s="30" t="s">
        <v>19</v>
      </c>
      <c r="C36" s="29"/>
      <c r="D36" s="29"/>
      <c r="E36" s="29"/>
    </row>
    <row r="37" spans="1:5" ht="15.75" customHeight="1" x14ac:dyDescent="0.25">
      <c r="A37" s="41"/>
      <c r="B37" s="41"/>
      <c r="C37" s="41"/>
      <c r="D37" s="41"/>
      <c r="E37" s="41"/>
    </row>
    <row r="38" spans="1:5" ht="16.5" customHeight="1" x14ac:dyDescent="0.3">
      <c r="A38" s="44" t="s">
        <v>1</v>
      </c>
      <c r="B38" s="40" t="s">
        <v>20</v>
      </c>
    </row>
    <row r="39" spans="1:5" ht="16.5" customHeight="1" x14ac:dyDescent="0.3">
      <c r="A39" s="43" t="s">
        <v>4</v>
      </c>
      <c r="B39" s="4" t="str">
        <f>B18</f>
        <v>Efavirenz</v>
      </c>
      <c r="C39" s="41"/>
      <c r="D39" s="41"/>
      <c r="E39" s="41"/>
    </row>
    <row r="40" spans="1:5" ht="16.5" customHeight="1" x14ac:dyDescent="0.3">
      <c r="A40" s="43" t="s">
        <v>5</v>
      </c>
      <c r="B40" s="6">
        <f>B19</f>
        <v>99.3</v>
      </c>
      <c r="C40" s="41"/>
      <c r="D40" s="41"/>
      <c r="E40" s="41"/>
    </row>
    <row r="41" spans="1:5" ht="16.5" customHeight="1" x14ac:dyDescent="0.3">
      <c r="A41" s="4" t="s">
        <v>6</v>
      </c>
      <c r="B41" s="6">
        <f>B20</f>
        <v>0</v>
      </c>
      <c r="C41" s="41"/>
      <c r="D41" s="41"/>
      <c r="E41" s="41"/>
    </row>
    <row r="42" spans="1:5" ht="16.5" customHeight="1" x14ac:dyDescent="0.3">
      <c r="A42" s="4" t="s">
        <v>7</v>
      </c>
      <c r="B42" s="7">
        <f>B21</f>
        <v>0</v>
      </c>
      <c r="C42" s="41"/>
      <c r="D42" s="41"/>
      <c r="E42" s="41"/>
    </row>
    <row r="43" spans="1:5" ht="15.75" customHeight="1" x14ac:dyDescent="0.25">
      <c r="A43" s="41"/>
      <c r="B43" s="41"/>
      <c r="C43" s="41"/>
      <c r="D43" s="41"/>
      <c r="E43" s="41"/>
    </row>
    <row r="44" spans="1:5" ht="16.5" customHeight="1" x14ac:dyDescent="0.3">
      <c r="A44" s="10" t="s">
        <v>8</v>
      </c>
      <c r="B44" s="9" t="s">
        <v>9</v>
      </c>
      <c r="C44" s="10" t="s">
        <v>10</v>
      </c>
      <c r="D44" s="10" t="s">
        <v>11</v>
      </c>
      <c r="E44" s="10" t="s">
        <v>12</v>
      </c>
    </row>
    <row r="45" spans="1:5" ht="16.5" customHeight="1" x14ac:dyDescent="0.3">
      <c r="A45" s="11">
        <v>1</v>
      </c>
      <c r="B45" s="12">
        <v>13900989</v>
      </c>
      <c r="C45" s="12">
        <v>74086.600000000006</v>
      </c>
      <c r="D45" s="13">
        <v>1</v>
      </c>
      <c r="E45" s="14">
        <v>6.9</v>
      </c>
    </row>
    <row r="46" spans="1:5" ht="16.5" customHeight="1" x14ac:dyDescent="0.3">
      <c r="A46" s="11">
        <v>2</v>
      </c>
      <c r="B46" s="12">
        <v>13903091</v>
      </c>
      <c r="C46" s="12">
        <v>74157</v>
      </c>
      <c r="D46" s="13">
        <v>1</v>
      </c>
      <c r="E46" s="13">
        <v>6.9</v>
      </c>
    </row>
    <row r="47" spans="1:5" ht="16.5" customHeight="1" x14ac:dyDescent="0.3">
      <c r="A47" s="11">
        <v>3</v>
      </c>
      <c r="B47" s="12">
        <v>13914885</v>
      </c>
      <c r="C47" s="12">
        <v>74306.399999999994</v>
      </c>
      <c r="D47" s="13">
        <v>1.1000000000000001</v>
      </c>
      <c r="E47" s="13">
        <v>6.9</v>
      </c>
    </row>
    <row r="48" spans="1:5" ht="16.5" customHeight="1" x14ac:dyDescent="0.3">
      <c r="A48" s="11">
        <v>4</v>
      </c>
      <c r="B48" s="12">
        <v>13894782</v>
      </c>
      <c r="C48" s="12">
        <v>74307.7</v>
      </c>
      <c r="D48" s="13">
        <v>1.1000000000000001</v>
      </c>
      <c r="E48" s="13">
        <v>6.9</v>
      </c>
    </row>
    <row r="49" spans="1:7" ht="16.5" customHeight="1" x14ac:dyDescent="0.3">
      <c r="A49" s="11">
        <v>5</v>
      </c>
      <c r="B49" s="12">
        <v>13924401</v>
      </c>
      <c r="C49" s="12">
        <v>74561.7</v>
      </c>
      <c r="D49" s="13">
        <v>1.1000000000000001</v>
      </c>
      <c r="E49" s="13">
        <v>6.9</v>
      </c>
    </row>
    <row r="50" spans="1:7" ht="16.5" customHeight="1" x14ac:dyDescent="0.3">
      <c r="A50" s="11">
        <v>6</v>
      </c>
      <c r="B50" s="15">
        <v>13906607</v>
      </c>
      <c r="C50" s="15">
        <v>74755.100000000006</v>
      </c>
      <c r="D50" s="16">
        <v>1</v>
      </c>
      <c r="E50" s="16">
        <v>6.9</v>
      </c>
    </row>
    <row r="51" spans="1:7" ht="16.5" customHeight="1" x14ac:dyDescent="0.3">
      <c r="A51" s="17" t="s">
        <v>13</v>
      </c>
      <c r="B51" s="18">
        <f>AVERAGE(B45:B50)</f>
        <v>13907459.166666666</v>
      </c>
      <c r="C51" s="19">
        <f>AVERAGE(C45:C50)</f>
        <v>74362.416666666672</v>
      </c>
      <c r="D51" s="20">
        <f>AVERAGE(D45:D50)</f>
        <v>1.05</v>
      </c>
      <c r="E51" s="20">
        <f>AVERAGE(E45:E50)</f>
        <v>6.8999999999999995</v>
      </c>
    </row>
    <row r="52" spans="1:7" ht="16.5" customHeight="1" x14ac:dyDescent="0.3">
      <c r="A52" s="21" t="s">
        <v>14</v>
      </c>
      <c r="B52" s="22">
        <f>(STDEV(B45:B50)/B51)</f>
        <v>7.6404366332273599E-4</v>
      </c>
      <c r="C52" s="23"/>
      <c r="D52" s="23"/>
      <c r="E52" s="24"/>
    </row>
    <row r="53" spans="1:7" s="229" customFormat="1" ht="16.5" customHeight="1" x14ac:dyDescent="0.3">
      <c r="A53" s="25" t="s">
        <v>15</v>
      </c>
      <c r="B53" s="26">
        <f>COUNT(B45:B50)</f>
        <v>6</v>
      </c>
      <c r="C53" s="27"/>
      <c r="D53" s="42"/>
      <c r="E53" s="28"/>
    </row>
    <row r="54" spans="1:7" s="229" customFormat="1" ht="15.75" customHeight="1" x14ac:dyDescent="0.25">
      <c r="A54" s="41"/>
      <c r="B54" s="41"/>
      <c r="C54" s="41"/>
      <c r="D54" s="41"/>
      <c r="E54" s="41"/>
    </row>
    <row r="55" spans="1:7" s="229" customFormat="1" ht="16.5" customHeight="1" x14ac:dyDescent="0.3">
      <c r="A55" s="43" t="s">
        <v>16</v>
      </c>
      <c r="B55" s="30" t="s">
        <v>17</v>
      </c>
      <c r="C55" s="29"/>
      <c r="D55" s="29"/>
      <c r="E55" s="29"/>
    </row>
    <row r="56" spans="1:7" ht="16.5" customHeight="1" x14ac:dyDescent="0.3">
      <c r="A56" s="43"/>
      <c r="B56" s="30" t="s">
        <v>18</v>
      </c>
      <c r="C56" s="29"/>
      <c r="D56" s="29"/>
      <c r="E56" s="29"/>
    </row>
    <row r="57" spans="1:7" ht="16.5" customHeight="1" x14ac:dyDescent="0.3">
      <c r="A57" s="43"/>
      <c r="B57" s="30" t="s">
        <v>19</v>
      </c>
      <c r="C57" s="29"/>
      <c r="D57" s="29"/>
      <c r="E57" s="29"/>
    </row>
    <row r="58" spans="1:7" ht="14.25" customHeight="1" thickBot="1" x14ac:dyDescent="0.3">
      <c r="A58" s="31"/>
      <c r="B58" s="228"/>
      <c r="D58" s="32"/>
      <c r="F58" s="33"/>
      <c r="G58" s="33"/>
    </row>
    <row r="59" spans="1:7" ht="15" customHeight="1" x14ac:dyDescent="0.3">
      <c r="B59" s="284" t="s">
        <v>21</v>
      </c>
      <c r="C59" s="284"/>
      <c r="E59" s="230" t="s">
        <v>22</v>
      </c>
      <c r="F59" s="35"/>
      <c r="G59" s="230" t="s">
        <v>23</v>
      </c>
    </row>
    <row r="60" spans="1:7" ht="15" customHeight="1" x14ac:dyDescent="0.3">
      <c r="A60" s="36" t="s">
        <v>24</v>
      </c>
      <c r="B60" s="238" t="s">
        <v>121</v>
      </c>
      <c r="C60" s="37"/>
      <c r="E60" s="237">
        <v>42497</v>
      </c>
      <c r="G60" s="37"/>
    </row>
    <row r="61" spans="1:7" ht="15" customHeight="1" x14ac:dyDescent="0.3">
      <c r="A61" s="36" t="s">
        <v>25</v>
      </c>
      <c r="B61" s="38"/>
      <c r="C61" s="38"/>
      <c r="E61" s="38"/>
      <c r="G61" s="3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1" zoomScale="60" zoomScaleNormal="100" workbookViewId="0">
      <selection activeCell="B21" sqref="B21"/>
    </sheetView>
  </sheetViews>
  <sheetFormatPr defaultRowHeight="13.5" x14ac:dyDescent="0.25"/>
  <cols>
    <col min="1" max="1" width="27.5703125" style="229" customWidth="1"/>
    <col min="2" max="2" width="20.42578125" style="229" customWidth="1"/>
    <col min="3" max="3" width="31.85546875" style="229" customWidth="1"/>
    <col min="4" max="4" width="25.85546875" style="229" customWidth="1"/>
    <col min="5" max="5" width="25.7109375" style="229" customWidth="1"/>
    <col min="6" max="6" width="23.140625" style="229" customWidth="1"/>
    <col min="7" max="7" width="28.42578125" style="229" customWidth="1"/>
    <col min="8" max="8" width="21.5703125" style="229" customWidth="1"/>
    <col min="9" max="9" width="9.140625" style="229" customWidth="1"/>
    <col min="10" max="16384" width="9.140625" style="33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83" t="s">
        <v>0</v>
      </c>
      <c r="B15" s="283"/>
      <c r="C15" s="283"/>
      <c r="D15" s="283"/>
      <c r="E15" s="283"/>
    </row>
    <row r="16" spans="1:6" ht="16.5" customHeight="1" x14ac:dyDescent="0.3">
      <c r="A16" s="44" t="s">
        <v>1</v>
      </c>
      <c r="B16" s="40" t="s">
        <v>2</v>
      </c>
    </row>
    <row r="17" spans="1:5" ht="16.5" customHeight="1" x14ac:dyDescent="0.3">
      <c r="A17" s="4" t="s">
        <v>3</v>
      </c>
      <c r="B17" s="4" t="str">
        <f>TDF!B18</f>
        <v>Tenofovir DF, Lamivudine &amp; Efavirenz Tablets</v>
      </c>
      <c r="D17" s="5"/>
      <c r="E17" s="41"/>
    </row>
    <row r="18" spans="1:5" ht="16.5" customHeight="1" x14ac:dyDescent="0.3">
      <c r="A18" s="43" t="s">
        <v>4</v>
      </c>
      <c r="B18" s="5" t="s">
        <v>122</v>
      </c>
      <c r="C18" s="41"/>
      <c r="D18" s="41"/>
      <c r="E18" s="41"/>
    </row>
    <row r="19" spans="1:5" ht="16.5" customHeight="1" x14ac:dyDescent="0.3">
      <c r="A19" s="43" t="s">
        <v>5</v>
      </c>
      <c r="B19" s="6">
        <v>98.8</v>
      </c>
      <c r="C19" s="41"/>
      <c r="D19" s="41"/>
      <c r="E19" s="41"/>
    </row>
    <row r="20" spans="1:5" ht="16.5" customHeight="1" x14ac:dyDescent="0.3">
      <c r="A20" s="4" t="s">
        <v>6</v>
      </c>
      <c r="B20" s="6"/>
      <c r="C20" s="41"/>
      <c r="D20" s="41"/>
      <c r="E20" s="41"/>
    </row>
    <row r="21" spans="1:5" ht="16.5" customHeight="1" x14ac:dyDescent="0.3">
      <c r="A21" s="4" t="s">
        <v>7</v>
      </c>
      <c r="B21" s="7"/>
      <c r="C21" s="41"/>
      <c r="D21" s="41"/>
      <c r="E21" s="41"/>
    </row>
    <row r="22" spans="1:5" ht="15.75" customHeight="1" x14ac:dyDescent="0.25">
      <c r="A22" s="41"/>
      <c r="B22" s="41"/>
      <c r="C22" s="41"/>
      <c r="D22" s="41"/>
      <c r="E22" s="41"/>
    </row>
    <row r="23" spans="1:5" ht="16.5" customHeight="1" x14ac:dyDescent="0.3">
      <c r="A23" s="10" t="s">
        <v>8</v>
      </c>
      <c r="B23" s="9" t="s">
        <v>9</v>
      </c>
      <c r="C23" s="10" t="s">
        <v>10</v>
      </c>
      <c r="D23" s="10" t="s">
        <v>11</v>
      </c>
      <c r="E23" s="10" t="s">
        <v>12</v>
      </c>
    </row>
    <row r="24" spans="1:5" ht="16.5" customHeight="1" x14ac:dyDescent="0.3">
      <c r="A24" s="11">
        <v>1</v>
      </c>
      <c r="B24" s="12">
        <v>25861612</v>
      </c>
      <c r="C24" s="12">
        <v>111157.6</v>
      </c>
      <c r="D24" s="13">
        <v>1.1000000000000001</v>
      </c>
      <c r="E24" s="14">
        <v>6.7</v>
      </c>
    </row>
    <row r="25" spans="1:5" ht="16.5" customHeight="1" x14ac:dyDescent="0.3">
      <c r="A25" s="11">
        <v>2</v>
      </c>
      <c r="B25" s="12">
        <v>25952947</v>
      </c>
      <c r="C25" s="12">
        <v>110861.6</v>
      </c>
      <c r="D25" s="13">
        <v>1.1000000000000001</v>
      </c>
      <c r="E25" s="13">
        <v>6.7</v>
      </c>
    </row>
    <row r="26" spans="1:5" ht="16.5" customHeight="1" x14ac:dyDescent="0.3">
      <c r="A26" s="11">
        <v>3</v>
      </c>
      <c r="B26" s="12">
        <v>25852804</v>
      </c>
      <c r="C26" s="12">
        <v>110771.1</v>
      </c>
      <c r="D26" s="13">
        <v>1.1000000000000001</v>
      </c>
      <c r="E26" s="13">
        <v>6.7</v>
      </c>
    </row>
    <row r="27" spans="1:5" ht="16.5" customHeight="1" x14ac:dyDescent="0.3">
      <c r="A27" s="11">
        <v>4</v>
      </c>
      <c r="B27" s="12">
        <v>25751017</v>
      </c>
      <c r="C27" s="12">
        <v>110687.6</v>
      </c>
      <c r="D27" s="13">
        <v>1</v>
      </c>
      <c r="E27" s="13">
        <v>6.7</v>
      </c>
    </row>
    <row r="28" spans="1:5" ht="16.5" customHeight="1" x14ac:dyDescent="0.3">
      <c r="A28" s="11">
        <v>5</v>
      </c>
      <c r="B28" s="12">
        <v>25851801</v>
      </c>
      <c r="C28" s="12">
        <v>111104.5</v>
      </c>
      <c r="D28" s="13">
        <v>1.1000000000000001</v>
      </c>
      <c r="E28" s="13">
        <v>6.7</v>
      </c>
    </row>
    <row r="29" spans="1:5" ht="16.5" customHeight="1" x14ac:dyDescent="0.3">
      <c r="A29" s="11">
        <v>6</v>
      </c>
      <c r="B29" s="15">
        <v>25972151</v>
      </c>
      <c r="C29" s="15">
        <v>111581.4</v>
      </c>
      <c r="D29" s="16">
        <v>1.1000000000000001</v>
      </c>
      <c r="E29" s="16">
        <v>6.7</v>
      </c>
    </row>
    <row r="30" spans="1:5" ht="16.5" customHeight="1" x14ac:dyDescent="0.3">
      <c r="A30" s="17" t="s">
        <v>13</v>
      </c>
      <c r="B30" s="18">
        <f>AVERAGE(B24:B29)</f>
        <v>25873722</v>
      </c>
      <c r="C30" s="19">
        <f>AVERAGE(C24:C29)</f>
        <v>111027.3</v>
      </c>
      <c r="D30" s="20">
        <f>AVERAGE(D24:D29)</f>
        <v>1.0833333333333333</v>
      </c>
      <c r="E30" s="20">
        <f>AVERAGE(E24:E29)</f>
        <v>6.7</v>
      </c>
    </row>
    <row r="31" spans="1:5" ht="16.5" customHeight="1" x14ac:dyDescent="0.3">
      <c r="A31" s="21" t="s">
        <v>14</v>
      </c>
      <c r="B31" s="22">
        <f>(STDEV(B24:B29)/B30)</f>
        <v>3.0960984699447344E-3</v>
      </c>
      <c r="C31" s="23"/>
      <c r="D31" s="23"/>
      <c r="E31" s="24"/>
    </row>
    <row r="32" spans="1:5" s="229" customFormat="1" ht="16.5" customHeight="1" x14ac:dyDescent="0.3">
      <c r="A32" s="25" t="s">
        <v>15</v>
      </c>
      <c r="B32" s="26">
        <f>COUNT(B24:B29)</f>
        <v>6</v>
      </c>
      <c r="C32" s="27"/>
      <c r="D32" s="42"/>
      <c r="E32" s="28"/>
    </row>
    <row r="33" spans="1:5" s="229" customFormat="1" ht="15.75" customHeight="1" x14ac:dyDescent="0.25">
      <c r="A33" s="41"/>
      <c r="B33" s="41"/>
      <c r="C33" s="41"/>
      <c r="D33" s="41"/>
      <c r="E33" s="41"/>
    </row>
    <row r="34" spans="1:5" s="229" customFormat="1" ht="16.5" customHeight="1" x14ac:dyDescent="0.3">
      <c r="A34" s="43" t="s">
        <v>16</v>
      </c>
      <c r="B34" s="30" t="s">
        <v>17</v>
      </c>
      <c r="C34" s="29"/>
      <c r="D34" s="29"/>
      <c r="E34" s="29"/>
    </row>
    <row r="35" spans="1:5" ht="16.5" customHeight="1" x14ac:dyDescent="0.3">
      <c r="A35" s="43"/>
      <c r="B35" s="30" t="s">
        <v>18</v>
      </c>
      <c r="C35" s="29"/>
      <c r="D35" s="29"/>
      <c r="E35" s="29"/>
    </row>
    <row r="36" spans="1:5" ht="16.5" customHeight="1" x14ac:dyDescent="0.3">
      <c r="A36" s="43"/>
      <c r="B36" s="30" t="s">
        <v>19</v>
      </c>
      <c r="C36" s="29"/>
      <c r="D36" s="29"/>
      <c r="E36" s="29"/>
    </row>
    <row r="37" spans="1:5" ht="15.75" customHeight="1" x14ac:dyDescent="0.25">
      <c r="A37" s="41"/>
      <c r="B37" s="41"/>
      <c r="C37" s="41"/>
      <c r="D37" s="41"/>
      <c r="E37" s="41"/>
    </row>
    <row r="38" spans="1:5" ht="16.5" customHeight="1" x14ac:dyDescent="0.3">
      <c r="A38" s="44" t="s">
        <v>1</v>
      </c>
      <c r="B38" s="40" t="s">
        <v>20</v>
      </c>
    </row>
    <row r="39" spans="1:5" ht="16.5" customHeight="1" x14ac:dyDescent="0.3">
      <c r="A39" s="43" t="s">
        <v>4</v>
      </c>
      <c r="B39" s="4" t="str">
        <f>B18</f>
        <v>Tenofovir DF</v>
      </c>
      <c r="C39" s="41"/>
      <c r="D39" s="41"/>
      <c r="E39" s="41"/>
    </row>
    <row r="40" spans="1:5" ht="16.5" customHeight="1" x14ac:dyDescent="0.3">
      <c r="A40" s="43" t="s">
        <v>5</v>
      </c>
      <c r="B40" s="6">
        <f>B19</f>
        <v>98.8</v>
      </c>
      <c r="C40" s="41"/>
      <c r="D40" s="41"/>
      <c r="E40" s="41"/>
    </row>
    <row r="41" spans="1:5" ht="16.5" customHeight="1" x14ac:dyDescent="0.3">
      <c r="A41" s="4" t="s">
        <v>6</v>
      </c>
      <c r="B41" s="6">
        <f>B20</f>
        <v>0</v>
      </c>
      <c r="C41" s="41"/>
      <c r="D41" s="41"/>
      <c r="E41" s="41"/>
    </row>
    <row r="42" spans="1:5" ht="16.5" customHeight="1" x14ac:dyDescent="0.3">
      <c r="A42" s="4" t="s">
        <v>7</v>
      </c>
      <c r="B42" s="7">
        <f>B21</f>
        <v>0</v>
      </c>
      <c r="C42" s="41"/>
      <c r="D42" s="41"/>
      <c r="E42" s="41"/>
    </row>
    <row r="43" spans="1:5" ht="15.75" customHeight="1" x14ac:dyDescent="0.25">
      <c r="A43" s="41"/>
      <c r="B43" s="41"/>
      <c r="C43" s="41"/>
      <c r="D43" s="41"/>
      <c r="E43" s="41"/>
    </row>
    <row r="44" spans="1:5" ht="16.5" customHeight="1" x14ac:dyDescent="0.3">
      <c r="A44" s="10" t="s">
        <v>8</v>
      </c>
      <c r="B44" s="9" t="s">
        <v>9</v>
      </c>
      <c r="C44" s="10" t="s">
        <v>10</v>
      </c>
      <c r="D44" s="10" t="s">
        <v>11</v>
      </c>
      <c r="E44" s="10" t="s">
        <v>12</v>
      </c>
    </row>
    <row r="45" spans="1:5" ht="16.5" customHeight="1" x14ac:dyDescent="0.3">
      <c r="A45" s="11">
        <v>1</v>
      </c>
      <c r="B45" s="12">
        <v>3087001</v>
      </c>
      <c r="C45" s="12">
        <v>35592.9</v>
      </c>
      <c r="D45" s="13">
        <v>0.9</v>
      </c>
      <c r="E45" s="14">
        <v>5.9</v>
      </c>
    </row>
    <row r="46" spans="1:5" ht="16.5" customHeight="1" x14ac:dyDescent="0.3">
      <c r="A46" s="11">
        <v>2</v>
      </c>
      <c r="B46" s="12">
        <v>3088896</v>
      </c>
      <c r="C46" s="12">
        <v>41405.1</v>
      </c>
      <c r="D46" s="13">
        <v>0.8</v>
      </c>
      <c r="E46" s="13">
        <v>5.9</v>
      </c>
    </row>
    <row r="47" spans="1:5" ht="16.5" customHeight="1" x14ac:dyDescent="0.3">
      <c r="A47" s="11">
        <v>3</v>
      </c>
      <c r="B47" s="12">
        <v>3086337</v>
      </c>
      <c r="C47" s="12">
        <v>42517.9</v>
      </c>
      <c r="D47" s="13">
        <v>0.9</v>
      </c>
      <c r="E47" s="13">
        <v>5.9</v>
      </c>
    </row>
    <row r="48" spans="1:5" ht="16.5" customHeight="1" x14ac:dyDescent="0.3">
      <c r="A48" s="11">
        <v>4</v>
      </c>
      <c r="B48" s="12">
        <v>3088984</v>
      </c>
      <c r="C48" s="12">
        <v>39679.1</v>
      </c>
      <c r="D48" s="13">
        <v>0.9</v>
      </c>
      <c r="E48" s="13">
        <v>5.9</v>
      </c>
    </row>
    <row r="49" spans="1:7" ht="16.5" customHeight="1" x14ac:dyDescent="0.3">
      <c r="A49" s="11">
        <v>5</v>
      </c>
      <c r="B49" s="12">
        <v>3085042</v>
      </c>
      <c r="C49" s="12">
        <v>39147.4</v>
      </c>
      <c r="D49" s="13">
        <v>0.8</v>
      </c>
      <c r="E49" s="13">
        <v>5.9</v>
      </c>
    </row>
    <row r="50" spans="1:7" ht="16.5" customHeight="1" x14ac:dyDescent="0.3">
      <c r="A50" s="11">
        <v>6</v>
      </c>
      <c r="B50" s="15">
        <v>3085664</v>
      </c>
      <c r="C50" s="15">
        <v>36095.800000000003</v>
      </c>
      <c r="D50" s="16">
        <v>0.9</v>
      </c>
      <c r="E50" s="16">
        <v>5.9</v>
      </c>
    </row>
    <row r="51" spans="1:7" ht="16.5" customHeight="1" x14ac:dyDescent="0.3">
      <c r="A51" s="17" t="s">
        <v>13</v>
      </c>
      <c r="B51" s="18">
        <f>AVERAGE(B45:B50)</f>
        <v>3086987.3333333335</v>
      </c>
      <c r="C51" s="19">
        <f>AVERAGE(C45:C50)</f>
        <v>39073.033333333333</v>
      </c>
      <c r="D51" s="20">
        <f>AVERAGE(D45:D50)</f>
        <v>0.8666666666666667</v>
      </c>
      <c r="E51" s="20">
        <f>AVERAGE(E45:E50)</f>
        <v>5.8999999999999995</v>
      </c>
    </row>
    <row r="52" spans="1:7" ht="16.5" customHeight="1" x14ac:dyDescent="0.3">
      <c r="A52" s="21" t="s">
        <v>14</v>
      </c>
      <c r="B52" s="22">
        <f>(STDEV(B45:B50)/B51)</f>
        <v>5.3402715620467947E-4</v>
      </c>
      <c r="C52" s="23"/>
      <c r="D52" s="23"/>
      <c r="E52" s="24"/>
    </row>
    <row r="53" spans="1:7" s="229" customFormat="1" ht="16.5" customHeight="1" x14ac:dyDescent="0.3">
      <c r="A53" s="25" t="s">
        <v>15</v>
      </c>
      <c r="B53" s="26">
        <f>COUNT(B45:B50)</f>
        <v>6</v>
      </c>
      <c r="C53" s="27"/>
      <c r="D53" s="42"/>
      <c r="E53" s="28"/>
    </row>
    <row r="54" spans="1:7" s="229" customFormat="1" ht="15.75" customHeight="1" x14ac:dyDescent="0.25">
      <c r="A54" s="41"/>
      <c r="B54" s="41"/>
      <c r="C54" s="41"/>
      <c r="D54" s="41"/>
      <c r="E54" s="41"/>
    </row>
    <row r="55" spans="1:7" s="229" customFormat="1" ht="16.5" customHeight="1" x14ac:dyDescent="0.3">
      <c r="A55" s="43" t="s">
        <v>16</v>
      </c>
      <c r="B55" s="30" t="s">
        <v>17</v>
      </c>
      <c r="C55" s="29"/>
      <c r="D55" s="29"/>
      <c r="E55" s="29"/>
    </row>
    <row r="56" spans="1:7" ht="16.5" customHeight="1" x14ac:dyDescent="0.3">
      <c r="A56" s="43"/>
      <c r="B56" s="30" t="s">
        <v>18</v>
      </c>
      <c r="C56" s="29"/>
      <c r="D56" s="29"/>
      <c r="E56" s="29"/>
    </row>
    <row r="57" spans="1:7" ht="16.5" customHeight="1" x14ac:dyDescent="0.3">
      <c r="A57" s="43"/>
      <c r="B57" s="30" t="s">
        <v>19</v>
      </c>
      <c r="C57" s="29"/>
      <c r="D57" s="29"/>
      <c r="E57" s="29"/>
    </row>
    <row r="58" spans="1:7" ht="14.25" customHeight="1" thickBot="1" x14ac:dyDescent="0.3">
      <c r="A58" s="31"/>
      <c r="B58" s="228"/>
      <c r="D58" s="32"/>
      <c r="F58" s="33"/>
      <c r="G58" s="33"/>
    </row>
    <row r="59" spans="1:7" ht="15" customHeight="1" x14ac:dyDescent="0.3">
      <c r="B59" s="284" t="s">
        <v>21</v>
      </c>
      <c r="C59" s="284"/>
      <c r="E59" s="230" t="s">
        <v>22</v>
      </c>
      <c r="F59" s="35"/>
      <c r="G59" s="230" t="s">
        <v>23</v>
      </c>
    </row>
    <row r="60" spans="1:7" ht="15" customHeight="1" x14ac:dyDescent="0.3">
      <c r="A60" s="36" t="s">
        <v>24</v>
      </c>
      <c r="B60" s="238" t="s">
        <v>121</v>
      </c>
      <c r="C60" s="37"/>
      <c r="E60" s="237">
        <v>42497</v>
      </c>
      <c r="G60" s="37"/>
    </row>
    <row r="61" spans="1:7" ht="15" customHeight="1" x14ac:dyDescent="0.3">
      <c r="A61" s="36" t="s">
        <v>25</v>
      </c>
      <c r="B61" s="38"/>
      <c r="C61" s="38"/>
      <c r="E61" s="38"/>
      <c r="G61" s="3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7" zoomScale="60" zoomScaleNormal="100" workbookViewId="0">
      <selection activeCell="C19" sqref="C19"/>
    </sheetView>
  </sheetViews>
  <sheetFormatPr defaultRowHeight="13.5" x14ac:dyDescent="0.25"/>
  <cols>
    <col min="1" max="1" width="27.5703125" style="229" customWidth="1"/>
    <col min="2" max="2" width="20.42578125" style="229" customWidth="1"/>
    <col min="3" max="3" width="31.85546875" style="229" customWidth="1"/>
    <col min="4" max="4" width="25.85546875" style="229" customWidth="1"/>
    <col min="5" max="5" width="25.7109375" style="229" customWidth="1"/>
    <col min="6" max="6" width="23.140625" style="229" customWidth="1"/>
    <col min="7" max="7" width="28.42578125" style="229" customWidth="1"/>
    <col min="8" max="8" width="21.5703125" style="229" customWidth="1"/>
    <col min="9" max="9" width="9.140625" style="229" customWidth="1"/>
    <col min="10" max="16384" width="9.140625" style="33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83" t="s">
        <v>0</v>
      </c>
      <c r="B15" s="283"/>
      <c r="C15" s="283"/>
      <c r="D15" s="283"/>
      <c r="E15" s="283"/>
    </row>
    <row r="16" spans="1:6" ht="16.5" customHeight="1" x14ac:dyDescent="0.3">
      <c r="A16" s="44" t="s">
        <v>1</v>
      </c>
      <c r="B16" s="40" t="s">
        <v>2</v>
      </c>
    </row>
    <row r="17" spans="1:5" ht="16.5" customHeight="1" x14ac:dyDescent="0.3">
      <c r="A17" s="4" t="s">
        <v>3</v>
      </c>
      <c r="B17" s="4" t="str">
        <f>Lam!B18</f>
        <v>Tenofovir DF, Lamivudine &amp; Efavirenz Tablets</v>
      </c>
      <c r="D17" s="5"/>
      <c r="E17" s="41"/>
    </row>
    <row r="18" spans="1:5" ht="16.5" customHeight="1" x14ac:dyDescent="0.3">
      <c r="A18" s="43" t="s">
        <v>4</v>
      </c>
      <c r="B18" s="5" t="s">
        <v>120</v>
      </c>
      <c r="C18" s="41"/>
      <c r="D18" s="41"/>
      <c r="E18" s="41"/>
    </row>
    <row r="19" spans="1:5" ht="16.5" customHeight="1" x14ac:dyDescent="0.3">
      <c r="A19" s="43" t="s">
        <v>5</v>
      </c>
      <c r="B19" s="6">
        <v>100.4</v>
      </c>
      <c r="C19" s="41"/>
      <c r="D19" s="41"/>
      <c r="E19" s="41"/>
    </row>
    <row r="20" spans="1:5" ht="16.5" customHeight="1" x14ac:dyDescent="0.3">
      <c r="A20" s="4" t="s">
        <v>6</v>
      </c>
      <c r="B20" s="6"/>
      <c r="C20" s="41"/>
      <c r="D20" s="41"/>
      <c r="E20" s="41"/>
    </row>
    <row r="21" spans="1:5" ht="16.5" customHeight="1" x14ac:dyDescent="0.3">
      <c r="A21" s="4" t="s">
        <v>7</v>
      </c>
      <c r="B21" s="7"/>
      <c r="C21" s="41"/>
      <c r="D21" s="41"/>
      <c r="E21" s="41"/>
    </row>
    <row r="22" spans="1:5" ht="15.75" customHeight="1" x14ac:dyDescent="0.25">
      <c r="A22" s="41"/>
      <c r="B22" s="41"/>
      <c r="C22" s="41"/>
      <c r="D22" s="41"/>
      <c r="E22" s="41"/>
    </row>
    <row r="23" spans="1:5" ht="16.5" customHeight="1" x14ac:dyDescent="0.3">
      <c r="A23" s="10" t="s">
        <v>8</v>
      </c>
      <c r="B23" s="9" t="s">
        <v>9</v>
      </c>
      <c r="C23" s="10" t="s">
        <v>10</v>
      </c>
      <c r="D23" s="10" t="s">
        <v>11</v>
      </c>
      <c r="E23" s="10" t="s">
        <v>12</v>
      </c>
    </row>
    <row r="24" spans="1:5" ht="16.5" customHeight="1" x14ac:dyDescent="0.3">
      <c r="A24" s="11">
        <v>1</v>
      </c>
      <c r="B24" s="12">
        <v>42704578</v>
      </c>
      <c r="C24" s="12">
        <v>11448</v>
      </c>
      <c r="D24" s="13">
        <v>1.1000000000000001</v>
      </c>
      <c r="E24" s="14">
        <v>2.2000000000000002</v>
      </c>
    </row>
    <row r="25" spans="1:5" ht="16.5" customHeight="1" x14ac:dyDescent="0.3">
      <c r="A25" s="11">
        <v>2</v>
      </c>
      <c r="B25" s="12">
        <v>42852755</v>
      </c>
      <c r="C25" s="12">
        <v>11504.8</v>
      </c>
      <c r="D25" s="13">
        <v>1.1000000000000001</v>
      </c>
      <c r="E25" s="13">
        <v>2.2000000000000002</v>
      </c>
    </row>
    <row r="26" spans="1:5" ht="16.5" customHeight="1" x14ac:dyDescent="0.3">
      <c r="A26" s="11">
        <v>3</v>
      </c>
      <c r="B26" s="12">
        <v>42704507</v>
      </c>
      <c r="C26" s="12">
        <v>11574.8</v>
      </c>
      <c r="D26" s="13">
        <v>1.1000000000000001</v>
      </c>
      <c r="E26" s="13">
        <v>2.2000000000000002</v>
      </c>
    </row>
    <row r="27" spans="1:5" ht="16.5" customHeight="1" x14ac:dyDescent="0.3">
      <c r="A27" s="11">
        <v>4</v>
      </c>
      <c r="B27" s="12">
        <v>42544195</v>
      </c>
      <c r="C27" s="12">
        <v>11517.7</v>
      </c>
      <c r="D27" s="13">
        <v>1.1000000000000001</v>
      </c>
      <c r="E27" s="13">
        <v>2.2000000000000002</v>
      </c>
    </row>
    <row r="28" spans="1:5" ht="16.5" customHeight="1" x14ac:dyDescent="0.3">
      <c r="A28" s="11">
        <v>5</v>
      </c>
      <c r="B28" s="12">
        <v>42710573</v>
      </c>
      <c r="C28" s="12">
        <v>11542.6</v>
      </c>
      <c r="D28" s="13">
        <v>1.1000000000000001</v>
      </c>
      <c r="E28" s="13">
        <v>2.2000000000000002</v>
      </c>
    </row>
    <row r="29" spans="1:5" ht="16.5" customHeight="1" x14ac:dyDescent="0.3">
      <c r="A29" s="11">
        <v>6</v>
      </c>
      <c r="B29" s="15">
        <v>42898640</v>
      </c>
      <c r="C29" s="15">
        <v>11557.3</v>
      </c>
      <c r="D29" s="16">
        <v>1.1000000000000001</v>
      </c>
      <c r="E29" s="16">
        <v>2.2000000000000002</v>
      </c>
    </row>
    <row r="30" spans="1:5" ht="16.5" customHeight="1" x14ac:dyDescent="0.3">
      <c r="A30" s="17" t="s">
        <v>13</v>
      </c>
      <c r="B30" s="18">
        <f>AVERAGE(B24:B29)</f>
        <v>42735874.666666664</v>
      </c>
      <c r="C30" s="19">
        <f>AVERAGE(C24:C29)</f>
        <v>11524.199999999999</v>
      </c>
      <c r="D30" s="20">
        <f>AVERAGE(D24:D29)</f>
        <v>1.0999999999999999</v>
      </c>
      <c r="E30" s="20">
        <f>AVERAGE(E24:E29)</f>
        <v>2.1999999999999997</v>
      </c>
    </row>
    <row r="31" spans="1:5" ht="16.5" customHeight="1" x14ac:dyDescent="0.3">
      <c r="A31" s="21" t="s">
        <v>14</v>
      </c>
      <c r="B31" s="22">
        <f>(STDEV(B24:B29)/B30)</f>
        <v>2.9505377572269886E-3</v>
      </c>
      <c r="C31" s="23"/>
      <c r="D31" s="23"/>
      <c r="E31" s="24"/>
    </row>
    <row r="32" spans="1:5" s="229" customFormat="1" ht="16.5" customHeight="1" x14ac:dyDescent="0.3">
      <c r="A32" s="25" t="s">
        <v>15</v>
      </c>
      <c r="B32" s="26">
        <f>COUNT(B24:B29)</f>
        <v>6</v>
      </c>
      <c r="C32" s="27"/>
      <c r="D32" s="42"/>
      <c r="E32" s="28"/>
    </row>
    <row r="33" spans="1:5" s="229" customFormat="1" ht="15.75" customHeight="1" x14ac:dyDescent="0.25">
      <c r="A33" s="41"/>
      <c r="B33" s="41"/>
      <c r="C33" s="41"/>
      <c r="D33" s="41"/>
      <c r="E33" s="41"/>
    </row>
    <row r="34" spans="1:5" s="229" customFormat="1" ht="16.5" customHeight="1" x14ac:dyDescent="0.3">
      <c r="A34" s="43" t="s">
        <v>16</v>
      </c>
      <c r="B34" s="30" t="s">
        <v>17</v>
      </c>
      <c r="C34" s="29"/>
      <c r="D34" s="29"/>
      <c r="E34" s="29"/>
    </row>
    <row r="35" spans="1:5" ht="16.5" customHeight="1" x14ac:dyDescent="0.3">
      <c r="A35" s="43"/>
      <c r="B35" s="30" t="s">
        <v>18</v>
      </c>
      <c r="C35" s="29"/>
      <c r="D35" s="29"/>
      <c r="E35" s="29"/>
    </row>
    <row r="36" spans="1:5" ht="16.5" customHeight="1" x14ac:dyDescent="0.3">
      <c r="A36" s="43"/>
      <c r="B36" s="30" t="s">
        <v>19</v>
      </c>
      <c r="C36" s="29"/>
      <c r="D36" s="29"/>
      <c r="E36" s="29"/>
    </row>
    <row r="37" spans="1:5" ht="15.75" customHeight="1" x14ac:dyDescent="0.25">
      <c r="A37" s="41"/>
      <c r="B37" s="41"/>
      <c r="C37" s="41"/>
      <c r="D37" s="41"/>
      <c r="E37" s="41"/>
    </row>
    <row r="38" spans="1:5" ht="16.5" customHeight="1" x14ac:dyDescent="0.3">
      <c r="A38" s="44" t="s">
        <v>1</v>
      </c>
      <c r="B38" s="40" t="s">
        <v>20</v>
      </c>
    </row>
    <row r="39" spans="1:5" ht="16.5" customHeight="1" x14ac:dyDescent="0.3">
      <c r="A39" s="43" t="s">
        <v>4</v>
      </c>
      <c r="B39" s="4" t="str">
        <f>B18</f>
        <v>Lamivudine</v>
      </c>
      <c r="C39" s="41"/>
      <c r="D39" s="41"/>
      <c r="E39" s="41"/>
    </row>
    <row r="40" spans="1:5" ht="16.5" customHeight="1" x14ac:dyDescent="0.3">
      <c r="A40" s="43" t="s">
        <v>5</v>
      </c>
      <c r="B40" s="6">
        <f>B19</f>
        <v>100.4</v>
      </c>
      <c r="C40" s="41"/>
      <c r="D40" s="41"/>
      <c r="E40" s="41"/>
    </row>
    <row r="41" spans="1:5" ht="16.5" customHeight="1" x14ac:dyDescent="0.3">
      <c r="A41" s="4" t="s">
        <v>6</v>
      </c>
      <c r="B41" s="6">
        <f>B20</f>
        <v>0</v>
      </c>
      <c r="C41" s="41"/>
      <c r="D41" s="41"/>
      <c r="E41" s="41"/>
    </row>
    <row r="42" spans="1:5" ht="16.5" customHeight="1" x14ac:dyDescent="0.3">
      <c r="A42" s="4" t="s">
        <v>7</v>
      </c>
      <c r="B42" s="7">
        <f>B21</f>
        <v>0</v>
      </c>
      <c r="C42" s="41"/>
      <c r="D42" s="41"/>
      <c r="E42" s="41"/>
    </row>
    <row r="43" spans="1:5" ht="15.75" customHeight="1" x14ac:dyDescent="0.25">
      <c r="A43" s="41"/>
      <c r="B43" s="41"/>
      <c r="C43" s="41"/>
      <c r="D43" s="41"/>
      <c r="E43" s="41"/>
    </row>
    <row r="44" spans="1:5" ht="16.5" customHeight="1" x14ac:dyDescent="0.3">
      <c r="A44" s="10" t="s">
        <v>8</v>
      </c>
      <c r="B44" s="9" t="s">
        <v>9</v>
      </c>
      <c r="C44" s="10" t="s">
        <v>10</v>
      </c>
      <c r="D44" s="10" t="s">
        <v>11</v>
      </c>
      <c r="E44" s="10" t="s">
        <v>12</v>
      </c>
    </row>
    <row r="45" spans="1:5" ht="16.5" customHeight="1" x14ac:dyDescent="0.3">
      <c r="A45" s="11">
        <v>1</v>
      </c>
      <c r="B45" s="12">
        <v>5147090</v>
      </c>
      <c r="C45" s="12">
        <v>10931.7</v>
      </c>
      <c r="D45" s="13">
        <v>1.1000000000000001</v>
      </c>
      <c r="E45" s="14">
        <v>2.1</v>
      </c>
    </row>
    <row r="46" spans="1:5" ht="16.5" customHeight="1" x14ac:dyDescent="0.3">
      <c r="A46" s="11">
        <v>2</v>
      </c>
      <c r="B46" s="12">
        <v>5153880</v>
      </c>
      <c r="C46" s="12">
        <v>10613</v>
      </c>
      <c r="D46" s="13">
        <v>1.1000000000000001</v>
      </c>
      <c r="E46" s="13">
        <v>2.1</v>
      </c>
    </row>
    <row r="47" spans="1:5" ht="16.5" customHeight="1" x14ac:dyDescent="0.3">
      <c r="A47" s="11">
        <v>3</v>
      </c>
      <c r="B47" s="12">
        <v>5152618</v>
      </c>
      <c r="C47" s="12">
        <v>10579.5</v>
      </c>
      <c r="D47" s="13">
        <v>1.1000000000000001</v>
      </c>
      <c r="E47" s="13">
        <v>2.1</v>
      </c>
    </row>
    <row r="48" spans="1:5" ht="16.5" customHeight="1" x14ac:dyDescent="0.3">
      <c r="A48" s="11">
        <v>4</v>
      </c>
      <c r="B48" s="12">
        <v>5161717</v>
      </c>
      <c r="C48" s="12">
        <v>10410.799999999999</v>
      </c>
      <c r="D48" s="13">
        <v>1.1000000000000001</v>
      </c>
      <c r="E48" s="13">
        <v>2.1</v>
      </c>
    </row>
    <row r="49" spans="1:7" ht="16.5" customHeight="1" x14ac:dyDescent="0.3">
      <c r="A49" s="11">
        <v>5</v>
      </c>
      <c r="B49" s="12">
        <v>5150480</v>
      </c>
      <c r="C49" s="12">
        <v>10551.8</v>
      </c>
      <c r="D49" s="13">
        <v>1.1000000000000001</v>
      </c>
      <c r="E49" s="13">
        <v>2.1</v>
      </c>
    </row>
    <row r="50" spans="1:7" ht="16.5" customHeight="1" x14ac:dyDescent="0.3">
      <c r="A50" s="11">
        <v>6</v>
      </c>
      <c r="B50" s="15">
        <v>5153826</v>
      </c>
      <c r="C50" s="15">
        <v>10549.1</v>
      </c>
      <c r="D50" s="16">
        <v>1</v>
      </c>
      <c r="E50" s="16">
        <v>2.1</v>
      </c>
    </row>
    <row r="51" spans="1:7" ht="16.5" customHeight="1" x14ac:dyDescent="0.3">
      <c r="A51" s="17" t="s">
        <v>13</v>
      </c>
      <c r="B51" s="18">
        <f>AVERAGE(B45:B50)</f>
        <v>5153268.5</v>
      </c>
      <c r="C51" s="19">
        <f>AVERAGE(C45:C50)</f>
        <v>10605.983333333334</v>
      </c>
      <c r="D51" s="20">
        <f>AVERAGE(D45:D50)</f>
        <v>1.0833333333333333</v>
      </c>
      <c r="E51" s="20">
        <f>AVERAGE(E45:E50)</f>
        <v>2.1</v>
      </c>
    </row>
    <row r="52" spans="1:7" ht="16.5" customHeight="1" x14ac:dyDescent="0.3">
      <c r="A52" s="21" t="s">
        <v>14</v>
      </c>
      <c r="B52" s="22">
        <f>(STDEV(B45:B50)/B51)</f>
        <v>9.4443395047908623E-4</v>
      </c>
      <c r="C52" s="23"/>
      <c r="D52" s="23"/>
      <c r="E52" s="24"/>
    </row>
    <row r="53" spans="1:7" s="229" customFormat="1" ht="16.5" customHeight="1" x14ac:dyDescent="0.3">
      <c r="A53" s="25" t="s">
        <v>15</v>
      </c>
      <c r="B53" s="26">
        <f>COUNT(B45:B50)</f>
        <v>6</v>
      </c>
      <c r="C53" s="27"/>
      <c r="D53" s="42"/>
      <c r="E53" s="28"/>
    </row>
    <row r="54" spans="1:7" s="229" customFormat="1" ht="15.75" customHeight="1" x14ac:dyDescent="0.25">
      <c r="A54" s="41"/>
      <c r="B54" s="41"/>
      <c r="C54" s="41"/>
      <c r="D54" s="41"/>
      <c r="E54" s="41"/>
    </row>
    <row r="55" spans="1:7" s="229" customFormat="1" ht="16.5" customHeight="1" x14ac:dyDescent="0.3">
      <c r="A55" s="43" t="s">
        <v>16</v>
      </c>
      <c r="B55" s="30" t="s">
        <v>17</v>
      </c>
      <c r="C55" s="29"/>
      <c r="D55" s="29"/>
      <c r="E55" s="29"/>
    </row>
    <row r="56" spans="1:7" ht="16.5" customHeight="1" x14ac:dyDescent="0.3">
      <c r="A56" s="43"/>
      <c r="B56" s="30" t="s">
        <v>18</v>
      </c>
      <c r="C56" s="29"/>
      <c r="D56" s="29"/>
      <c r="E56" s="29"/>
    </row>
    <row r="57" spans="1:7" ht="16.5" customHeight="1" x14ac:dyDescent="0.3">
      <c r="A57" s="43"/>
      <c r="B57" s="30" t="s">
        <v>19</v>
      </c>
      <c r="C57" s="29"/>
      <c r="D57" s="29"/>
      <c r="E57" s="29"/>
    </row>
    <row r="58" spans="1:7" ht="14.25" customHeight="1" thickBot="1" x14ac:dyDescent="0.3">
      <c r="A58" s="31"/>
      <c r="B58" s="228"/>
      <c r="D58" s="32"/>
      <c r="F58" s="33"/>
      <c r="G58" s="33"/>
    </row>
    <row r="59" spans="1:7" ht="15" customHeight="1" x14ac:dyDescent="0.3">
      <c r="B59" s="284" t="s">
        <v>21</v>
      </c>
      <c r="C59" s="284"/>
      <c r="E59" s="34" t="s">
        <v>22</v>
      </c>
      <c r="F59" s="35"/>
      <c r="G59" s="34" t="s">
        <v>23</v>
      </c>
    </row>
    <row r="60" spans="1:7" ht="15" customHeight="1" x14ac:dyDescent="0.3">
      <c r="A60" s="36" t="s">
        <v>24</v>
      </c>
      <c r="B60" s="238" t="s">
        <v>121</v>
      </c>
      <c r="C60" s="37"/>
      <c r="E60" s="237">
        <v>42497</v>
      </c>
      <c r="G60" s="37"/>
    </row>
    <row r="61" spans="1:7" ht="15" customHeight="1" x14ac:dyDescent="0.3">
      <c r="A61" s="36" t="s">
        <v>25</v>
      </c>
      <c r="B61" s="38"/>
      <c r="C61" s="38"/>
      <c r="E61" s="38"/>
      <c r="G61" s="3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activeCell="D44" sqref="D44"/>
    </sheetView>
  </sheetViews>
  <sheetFormatPr defaultRowHeight="15" x14ac:dyDescent="0.3"/>
  <cols>
    <col min="1" max="1" width="15.5703125" style="239" customWidth="1"/>
    <col min="2" max="2" width="18.42578125" style="239" customWidth="1"/>
    <col min="3" max="3" width="14.28515625" style="239" customWidth="1"/>
    <col min="4" max="4" width="15" style="239" customWidth="1"/>
    <col min="5" max="5" width="9.140625" style="239" customWidth="1"/>
    <col min="6" max="6" width="27.85546875" style="239" customWidth="1"/>
    <col min="7" max="7" width="12.28515625" style="239" customWidth="1"/>
    <col min="8" max="8" width="9.140625" style="239" customWidth="1"/>
    <col min="9" max="16384" width="9.140625" style="282"/>
  </cols>
  <sheetData>
    <row r="10" spans="1:7" ht="13.5" customHeight="1" thickBot="1" x14ac:dyDescent="0.35"/>
    <row r="11" spans="1:7" ht="13.5" customHeight="1" thickBot="1" x14ac:dyDescent="0.35">
      <c r="A11" s="287" t="s">
        <v>26</v>
      </c>
      <c r="B11" s="288"/>
      <c r="C11" s="288"/>
      <c r="D11" s="288"/>
      <c r="E11" s="288"/>
      <c r="F11" s="289"/>
      <c r="G11" s="240"/>
    </row>
    <row r="12" spans="1:7" ht="16.5" customHeight="1" x14ac:dyDescent="0.3">
      <c r="A12" s="290" t="s">
        <v>27</v>
      </c>
      <c r="B12" s="290"/>
      <c r="C12" s="290"/>
      <c r="D12" s="290"/>
      <c r="E12" s="290"/>
      <c r="F12" s="290"/>
      <c r="G12" s="241"/>
    </row>
    <row r="14" spans="1:7" ht="16.5" customHeight="1" x14ac:dyDescent="0.3">
      <c r="A14" s="291" t="s">
        <v>28</v>
      </c>
      <c r="B14" s="291"/>
      <c r="C14" s="242" t="s">
        <v>133</v>
      </c>
    </row>
    <row r="15" spans="1:7" ht="16.5" customHeight="1" x14ac:dyDescent="0.3">
      <c r="A15" s="291" t="s">
        <v>29</v>
      </c>
      <c r="B15" s="291"/>
      <c r="C15" s="242" t="s">
        <v>124</v>
      </c>
    </row>
    <row r="16" spans="1:7" ht="16.5" customHeight="1" x14ac:dyDescent="0.3">
      <c r="A16" s="291" t="s">
        <v>30</v>
      </c>
      <c r="B16" s="291"/>
      <c r="C16" s="242" t="s">
        <v>134</v>
      </c>
    </row>
    <row r="17" spans="1:5" ht="16.5" customHeight="1" x14ac:dyDescent="0.3">
      <c r="A17" s="291" t="s">
        <v>31</v>
      </c>
      <c r="B17" s="291"/>
      <c r="C17" s="242" t="s">
        <v>135</v>
      </c>
    </row>
    <row r="18" spans="1:5" ht="16.5" customHeight="1" x14ac:dyDescent="0.3">
      <c r="A18" s="291" t="s">
        <v>32</v>
      </c>
      <c r="B18" s="291"/>
      <c r="C18" s="243" t="s">
        <v>136</v>
      </c>
    </row>
    <row r="19" spans="1:5" ht="16.5" customHeight="1" x14ac:dyDescent="0.3">
      <c r="A19" s="291" t="s">
        <v>33</v>
      </c>
      <c r="B19" s="291"/>
      <c r="C19" s="243" t="e">
        <f>#REF!</f>
        <v>#REF!</v>
      </c>
    </row>
    <row r="20" spans="1:5" ht="16.5" customHeight="1" x14ac:dyDescent="0.3">
      <c r="A20" s="244"/>
      <c r="B20" s="244"/>
      <c r="C20" s="245"/>
    </row>
    <row r="21" spans="1:5" ht="16.5" customHeight="1" x14ac:dyDescent="0.3">
      <c r="A21" s="290" t="s">
        <v>1</v>
      </c>
      <c r="B21" s="290"/>
      <c r="C21" s="246" t="s">
        <v>34</v>
      </c>
      <c r="D21" s="247"/>
    </row>
    <row r="22" spans="1:5" ht="15.75" customHeight="1" thickBot="1" x14ac:dyDescent="0.35">
      <c r="A22" s="292"/>
      <c r="B22" s="292"/>
      <c r="C22" s="248"/>
      <c r="D22" s="292"/>
      <c r="E22" s="292"/>
    </row>
    <row r="23" spans="1:5" ht="33.75" customHeight="1" thickBot="1" x14ac:dyDescent="0.35">
      <c r="C23" s="249" t="s">
        <v>35</v>
      </c>
      <c r="D23" s="250" t="s">
        <v>36</v>
      </c>
      <c r="E23" s="251"/>
    </row>
    <row r="24" spans="1:5" ht="15.75" customHeight="1" x14ac:dyDescent="0.3">
      <c r="C24" s="252">
        <v>1893.82</v>
      </c>
      <c r="D24" s="253">
        <f t="shared" ref="D24:D43" si="0">(C24-$C$46)/$C$46</f>
        <v>-3.2072512774923433E-3</v>
      </c>
      <c r="E24" s="254"/>
    </row>
    <row r="25" spans="1:5" ht="15.75" customHeight="1" x14ac:dyDescent="0.3">
      <c r="C25" s="252">
        <v>1867.08</v>
      </c>
      <c r="D25" s="255">
        <f t="shared" si="0"/>
        <v>-1.7281576240181441E-2</v>
      </c>
      <c r="E25" s="254"/>
    </row>
    <row r="26" spans="1:5" ht="15.75" customHeight="1" x14ac:dyDescent="0.3">
      <c r="C26" s="252">
        <v>1885.72</v>
      </c>
      <c r="D26" s="255">
        <f t="shared" si="0"/>
        <v>-7.4706032669381315E-3</v>
      </c>
      <c r="E26" s="254"/>
    </row>
    <row r="27" spans="1:5" ht="15.75" customHeight="1" x14ac:dyDescent="0.3">
      <c r="C27" s="252">
        <v>1897.2</v>
      </c>
      <c r="D27" s="255">
        <f t="shared" si="0"/>
        <v>-1.4282229164642706E-3</v>
      </c>
      <c r="E27" s="254"/>
    </row>
    <row r="28" spans="1:5" ht="15.75" customHeight="1" x14ac:dyDescent="0.3">
      <c r="C28" s="252">
        <v>1923.81</v>
      </c>
      <c r="D28" s="255">
        <f t="shared" si="0"/>
        <v>1.2577677878492921E-2</v>
      </c>
      <c r="E28" s="254"/>
    </row>
    <row r="29" spans="1:5" ht="15.75" customHeight="1" x14ac:dyDescent="0.3">
      <c r="C29" s="252">
        <v>1885.32</v>
      </c>
      <c r="D29" s="255">
        <f t="shared" si="0"/>
        <v>-7.6811391676515533E-3</v>
      </c>
      <c r="E29" s="254"/>
    </row>
    <row r="30" spans="1:5" ht="15.75" customHeight="1" x14ac:dyDescent="0.3">
      <c r="C30" s="252">
        <v>1941.49</v>
      </c>
      <c r="D30" s="255">
        <f t="shared" si="0"/>
        <v>2.1883364690024113E-2</v>
      </c>
      <c r="E30" s="254"/>
    </row>
    <row r="31" spans="1:5" ht="15.75" customHeight="1" x14ac:dyDescent="0.3">
      <c r="C31" s="252">
        <v>1875.37</v>
      </c>
      <c r="D31" s="255">
        <f t="shared" si="0"/>
        <v>-1.291821969789677E-2</v>
      </c>
      <c r="E31" s="254"/>
    </row>
    <row r="32" spans="1:5" ht="15.75" customHeight="1" x14ac:dyDescent="0.3">
      <c r="C32" s="252">
        <v>1879.54</v>
      </c>
      <c r="D32" s="255">
        <f t="shared" si="0"/>
        <v>-1.0723382932959801E-2</v>
      </c>
      <c r="E32" s="254"/>
    </row>
    <row r="33" spans="1:7" ht="15.75" customHeight="1" x14ac:dyDescent="0.3">
      <c r="C33" s="252">
        <v>1956.07</v>
      </c>
      <c r="D33" s="255">
        <f t="shared" si="0"/>
        <v>2.9557398271026578E-2</v>
      </c>
      <c r="E33" s="254"/>
    </row>
    <row r="34" spans="1:7" ht="15.75" customHeight="1" x14ac:dyDescent="0.3">
      <c r="C34" s="252">
        <v>1926.33</v>
      </c>
      <c r="D34" s="255">
        <f t="shared" si="0"/>
        <v>1.3904054052987173E-2</v>
      </c>
      <c r="E34" s="254"/>
    </row>
    <row r="35" spans="1:7" ht="15.75" customHeight="1" x14ac:dyDescent="0.3">
      <c r="C35" s="252">
        <v>1893.88</v>
      </c>
      <c r="D35" s="255">
        <f t="shared" si="0"/>
        <v>-3.1756708923852462E-3</v>
      </c>
      <c r="E35" s="254"/>
    </row>
    <row r="36" spans="1:7" ht="15.75" customHeight="1" x14ac:dyDescent="0.3">
      <c r="C36" s="252">
        <v>1858.1</v>
      </c>
      <c r="D36" s="255">
        <f t="shared" si="0"/>
        <v>-2.2008107211196708E-2</v>
      </c>
      <c r="E36" s="254"/>
    </row>
    <row r="37" spans="1:7" ht="15.75" customHeight="1" x14ac:dyDescent="0.3">
      <c r="C37" s="252">
        <v>1906.32</v>
      </c>
      <c r="D37" s="255">
        <f t="shared" si="0"/>
        <v>3.3719956198006128E-3</v>
      </c>
      <c r="E37" s="254"/>
    </row>
    <row r="38" spans="1:7" ht="15.75" customHeight="1" x14ac:dyDescent="0.3">
      <c r="C38" s="252">
        <v>1897.04</v>
      </c>
      <c r="D38" s="255">
        <f t="shared" si="0"/>
        <v>-1.5124372767496635E-3</v>
      </c>
      <c r="E38" s="254"/>
    </row>
    <row r="39" spans="1:7" ht="15.75" customHeight="1" x14ac:dyDescent="0.3">
      <c r="C39" s="252">
        <v>1899.15</v>
      </c>
      <c r="D39" s="255">
        <f t="shared" si="0"/>
        <v>-4.018604004865456E-4</v>
      </c>
      <c r="E39" s="254"/>
    </row>
    <row r="40" spans="1:7" ht="15.75" customHeight="1" x14ac:dyDescent="0.3">
      <c r="C40" s="252">
        <v>1947.43</v>
      </c>
      <c r="D40" s="255">
        <f t="shared" si="0"/>
        <v>2.5009822815617755E-2</v>
      </c>
      <c r="E40" s="254"/>
    </row>
    <row r="41" spans="1:7" ht="15.75" customHeight="1" x14ac:dyDescent="0.3">
      <c r="C41" s="252">
        <v>1900.93</v>
      </c>
      <c r="D41" s="255">
        <f t="shared" si="0"/>
        <v>5.3502435768795699E-4</v>
      </c>
      <c r="E41" s="254"/>
    </row>
    <row r="42" spans="1:7" ht="15.75" customHeight="1" x14ac:dyDescent="0.3">
      <c r="C42" s="252">
        <v>1898.25</v>
      </c>
      <c r="D42" s="255">
        <f t="shared" si="0"/>
        <v>-8.755661770916863E-4</v>
      </c>
      <c r="E42" s="254"/>
    </row>
    <row r="43" spans="1:7" ht="16.5" customHeight="1" thickBot="1" x14ac:dyDescent="0.35">
      <c r="C43" s="256">
        <v>1865.42</v>
      </c>
      <c r="D43" s="257">
        <f t="shared" si="0"/>
        <v>-1.8155300228141869E-2</v>
      </c>
      <c r="E43" s="254"/>
    </row>
    <row r="44" spans="1:7" ht="16.5" customHeight="1" thickBot="1" x14ac:dyDescent="0.35">
      <c r="C44" s="258"/>
      <c r="D44" s="254"/>
      <c r="E44" s="259"/>
    </row>
    <row r="45" spans="1:7" ht="16.5" customHeight="1" thickBot="1" x14ac:dyDescent="0.35">
      <c r="B45" s="260" t="s">
        <v>37</v>
      </c>
      <c r="C45" s="261">
        <f>SUM(C24:C44)</f>
        <v>37998.269999999997</v>
      </c>
      <c r="D45" s="262"/>
      <c r="E45" s="258"/>
    </row>
    <row r="46" spans="1:7" ht="17.25" customHeight="1" thickBot="1" x14ac:dyDescent="0.35">
      <c r="B46" s="260" t="s">
        <v>38</v>
      </c>
      <c r="C46" s="263">
        <f>AVERAGE(C24:C44)</f>
        <v>1899.9134999999999</v>
      </c>
      <c r="E46" s="264"/>
    </row>
    <row r="47" spans="1:7" ht="17.25" customHeight="1" thickBot="1" x14ac:dyDescent="0.35">
      <c r="A47" s="242"/>
      <c r="B47" s="265"/>
      <c r="D47" s="266"/>
      <c r="E47" s="264"/>
    </row>
    <row r="48" spans="1:7" ht="33.75" customHeight="1" thickBot="1" x14ac:dyDescent="0.35">
      <c r="B48" s="267" t="s">
        <v>38</v>
      </c>
      <c r="C48" s="250" t="s">
        <v>39</v>
      </c>
      <c r="D48" s="268"/>
      <c r="G48" s="266"/>
    </row>
    <row r="49" spans="1:6" ht="17.25" customHeight="1" thickBot="1" x14ac:dyDescent="0.35">
      <c r="B49" s="285">
        <f>C46</f>
        <v>1899.9134999999999</v>
      </c>
      <c r="C49" s="269">
        <f>-IF(C46&lt;=80,10%,IF(C46&lt;250,7.5%,5%))</f>
        <v>-0.05</v>
      </c>
      <c r="D49" s="270">
        <f>IF(C46&lt;=80,C46*0.9,IF(C46&lt;250,C46*0.925,C46*0.95))</f>
        <v>1804.9178249999998</v>
      </c>
    </row>
    <row r="50" spans="1:6" ht="17.25" customHeight="1" thickBot="1" x14ac:dyDescent="0.35">
      <c r="B50" s="286"/>
      <c r="C50" s="271">
        <f>IF(C46&lt;=80, 10%, IF(C46&lt;250, 7.5%, 5%))</f>
        <v>0.05</v>
      </c>
      <c r="D50" s="270">
        <f>IF(C46&lt;=80, C46*1.1, IF(C46&lt;250, C46*1.075, C46*1.05))</f>
        <v>1994.909175</v>
      </c>
    </row>
    <row r="51" spans="1:6" ht="16.5" customHeight="1" thickBot="1" x14ac:dyDescent="0.35">
      <c r="A51" s="272"/>
      <c r="B51" s="273"/>
      <c r="C51" s="242"/>
      <c r="D51" s="274"/>
      <c r="E51" s="242"/>
      <c r="F51" s="247"/>
    </row>
    <row r="52" spans="1:6" ht="16.5" customHeight="1" x14ac:dyDescent="0.3">
      <c r="A52" s="242"/>
      <c r="B52" s="275" t="s">
        <v>21</v>
      </c>
      <c r="C52" s="275"/>
      <c r="D52" s="276" t="s">
        <v>22</v>
      </c>
      <c r="E52" s="277"/>
      <c r="F52" s="276" t="s">
        <v>23</v>
      </c>
    </row>
    <row r="53" spans="1:6" ht="34.5" customHeight="1" x14ac:dyDescent="0.3">
      <c r="A53" s="244" t="s">
        <v>24</v>
      </c>
      <c r="B53" s="278"/>
      <c r="C53" s="242"/>
      <c r="D53" s="278"/>
      <c r="E53" s="242"/>
      <c r="F53" s="278"/>
    </row>
    <row r="54" spans="1:6" ht="34.5" customHeight="1" x14ac:dyDescent="0.3">
      <c r="A54" s="244" t="s">
        <v>25</v>
      </c>
      <c r="B54" s="279"/>
      <c r="C54" s="280"/>
      <c r="D54" s="279"/>
      <c r="E54" s="242"/>
      <c r="F54" s="281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34" zoomScale="40" zoomScaleNormal="40" zoomScalePageLayoutView="40" workbookViewId="0">
      <selection activeCell="B58" sqref="B5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3" t="s">
        <v>40</v>
      </c>
      <c r="B1" s="293"/>
      <c r="C1" s="293"/>
      <c r="D1" s="293"/>
      <c r="E1" s="293"/>
      <c r="F1" s="293"/>
      <c r="G1" s="293"/>
      <c r="H1" s="293"/>
      <c r="I1" s="293"/>
    </row>
    <row r="2" spans="1:9" ht="18.75" customHeight="1" x14ac:dyDescent="0.25">
      <c r="A2" s="293"/>
      <c r="B2" s="293"/>
      <c r="C2" s="293"/>
      <c r="D2" s="293"/>
      <c r="E2" s="293"/>
      <c r="F2" s="293"/>
      <c r="G2" s="293"/>
      <c r="H2" s="293"/>
      <c r="I2" s="293"/>
    </row>
    <row r="3" spans="1:9" ht="18.75" customHeight="1" x14ac:dyDescent="0.25">
      <c r="A3" s="293"/>
      <c r="B3" s="293"/>
      <c r="C3" s="293"/>
      <c r="D3" s="293"/>
      <c r="E3" s="293"/>
      <c r="F3" s="293"/>
      <c r="G3" s="293"/>
      <c r="H3" s="293"/>
      <c r="I3" s="293"/>
    </row>
    <row r="4" spans="1:9" ht="18.75" customHeight="1" x14ac:dyDescent="0.25">
      <c r="A4" s="293"/>
      <c r="B4" s="293"/>
      <c r="C4" s="293"/>
      <c r="D4" s="293"/>
      <c r="E4" s="293"/>
      <c r="F4" s="293"/>
      <c r="G4" s="293"/>
      <c r="H4" s="293"/>
      <c r="I4" s="293"/>
    </row>
    <row r="5" spans="1:9" ht="18.75" customHeight="1" x14ac:dyDescent="0.25">
      <c r="A5" s="293"/>
      <c r="B5" s="293"/>
      <c r="C5" s="293"/>
      <c r="D5" s="293"/>
      <c r="E5" s="293"/>
      <c r="F5" s="293"/>
      <c r="G5" s="293"/>
      <c r="H5" s="293"/>
      <c r="I5" s="293"/>
    </row>
    <row r="6" spans="1:9" ht="18.75" customHeight="1" x14ac:dyDescent="0.25">
      <c r="A6" s="293"/>
      <c r="B6" s="293"/>
      <c r="C6" s="293"/>
      <c r="D6" s="293"/>
      <c r="E6" s="293"/>
      <c r="F6" s="293"/>
      <c r="G6" s="293"/>
      <c r="H6" s="293"/>
      <c r="I6" s="293"/>
    </row>
    <row r="7" spans="1:9" ht="18.75" customHeight="1" x14ac:dyDescent="0.25">
      <c r="A7" s="293"/>
      <c r="B7" s="293"/>
      <c r="C7" s="293"/>
      <c r="D7" s="293"/>
      <c r="E7" s="293"/>
      <c r="F7" s="293"/>
      <c r="G7" s="293"/>
      <c r="H7" s="293"/>
      <c r="I7" s="293"/>
    </row>
    <row r="8" spans="1:9" x14ac:dyDescent="0.25">
      <c r="A8" s="294" t="s">
        <v>41</v>
      </c>
      <c r="B8" s="294"/>
      <c r="C8" s="294"/>
      <c r="D8" s="294"/>
      <c r="E8" s="294"/>
      <c r="F8" s="294"/>
      <c r="G8" s="294"/>
      <c r="H8" s="294"/>
      <c r="I8" s="294"/>
    </row>
    <row r="9" spans="1:9" x14ac:dyDescent="0.25">
      <c r="A9" s="294"/>
      <c r="B9" s="294"/>
      <c r="C9" s="294"/>
      <c r="D9" s="294"/>
      <c r="E9" s="294"/>
      <c r="F9" s="294"/>
      <c r="G9" s="294"/>
      <c r="H9" s="294"/>
      <c r="I9" s="294"/>
    </row>
    <row r="10" spans="1:9" x14ac:dyDescent="0.25">
      <c r="A10" s="294"/>
      <c r="B10" s="294"/>
      <c r="C10" s="294"/>
      <c r="D10" s="294"/>
      <c r="E10" s="294"/>
      <c r="F10" s="294"/>
      <c r="G10" s="294"/>
      <c r="H10" s="294"/>
      <c r="I10" s="294"/>
    </row>
    <row r="11" spans="1:9" x14ac:dyDescent="0.25">
      <c r="A11" s="294"/>
      <c r="B11" s="294"/>
      <c r="C11" s="294"/>
      <c r="D11" s="294"/>
      <c r="E11" s="294"/>
      <c r="F11" s="294"/>
      <c r="G11" s="294"/>
      <c r="H11" s="294"/>
      <c r="I11" s="294"/>
    </row>
    <row r="12" spans="1:9" x14ac:dyDescent="0.25">
      <c r="A12" s="294"/>
      <c r="B12" s="294"/>
      <c r="C12" s="294"/>
      <c r="D12" s="294"/>
      <c r="E12" s="294"/>
      <c r="F12" s="294"/>
      <c r="G12" s="294"/>
      <c r="H12" s="294"/>
      <c r="I12" s="294"/>
    </row>
    <row r="13" spans="1:9" x14ac:dyDescent="0.25">
      <c r="A13" s="294"/>
      <c r="B13" s="294"/>
      <c r="C13" s="294"/>
      <c r="D13" s="294"/>
      <c r="E13" s="294"/>
      <c r="F13" s="294"/>
      <c r="G13" s="294"/>
      <c r="H13" s="294"/>
      <c r="I13" s="294"/>
    </row>
    <row r="14" spans="1:9" x14ac:dyDescent="0.25">
      <c r="A14" s="294"/>
      <c r="B14" s="294"/>
      <c r="C14" s="294"/>
      <c r="D14" s="294"/>
      <c r="E14" s="294"/>
      <c r="F14" s="294"/>
      <c r="G14" s="294"/>
      <c r="H14" s="294"/>
      <c r="I14" s="294"/>
    </row>
    <row r="15" spans="1:9" ht="19.5" customHeight="1" x14ac:dyDescent="0.3">
      <c r="A15" s="45"/>
    </row>
    <row r="16" spans="1:9" ht="19.5" customHeight="1" x14ac:dyDescent="0.3">
      <c r="A16" s="327" t="s">
        <v>26</v>
      </c>
      <c r="B16" s="328"/>
      <c r="C16" s="328"/>
      <c r="D16" s="328"/>
      <c r="E16" s="328"/>
      <c r="F16" s="328"/>
      <c r="G16" s="328"/>
      <c r="H16" s="329"/>
    </row>
    <row r="17" spans="1:14" ht="20.25" customHeight="1" x14ac:dyDescent="0.25">
      <c r="A17" s="330" t="s">
        <v>42</v>
      </c>
      <c r="B17" s="330"/>
      <c r="C17" s="330"/>
      <c r="D17" s="330"/>
      <c r="E17" s="330"/>
      <c r="F17" s="330"/>
      <c r="G17" s="330"/>
      <c r="H17" s="330"/>
    </row>
    <row r="18" spans="1:14" ht="26.25" customHeight="1" x14ac:dyDescent="0.4">
      <c r="A18" s="47" t="s">
        <v>28</v>
      </c>
      <c r="B18" s="326" t="s">
        <v>123</v>
      </c>
      <c r="C18" s="326"/>
      <c r="D18" s="214"/>
      <c r="E18" s="48"/>
      <c r="F18" s="49"/>
      <c r="G18" s="49"/>
      <c r="H18" s="49"/>
    </row>
    <row r="19" spans="1:14" ht="26.25" customHeight="1" x14ac:dyDescent="0.4">
      <c r="A19" s="47" t="s">
        <v>29</v>
      </c>
      <c r="B19" s="50" t="s">
        <v>124</v>
      </c>
      <c r="C19" s="227">
        <v>29</v>
      </c>
      <c r="D19" s="49"/>
      <c r="E19" s="49"/>
      <c r="F19" s="49"/>
      <c r="G19" s="49"/>
      <c r="H19" s="49"/>
    </row>
    <row r="20" spans="1:14" ht="26.25" customHeight="1" x14ac:dyDescent="0.4">
      <c r="A20" s="47" t="s">
        <v>30</v>
      </c>
      <c r="B20" s="331" t="s">
        <v>120</v>
      </c>
      <c r="C20" s="331"/>
      <c r="D20" s="49"/>
      <c r="E20" s="49"/>
      <c r="F20" s="49"/>
      <c r="G20" s="49"/>
      <c r="H20" s="49"/>
    </row>
    <row r="21" spans="1:14" ht="26.25" customHeight="1" x14ac:dyDescent="0.4">
      <c r="A21" s="47" t="s">
        <v>31</v>
      </c>
      <c r="B21" s="331" t="s">
        <v>125</v>
      </c>
      <c r="C21" s="331"/>
      <c r="D21" s="331"/>
      <c r="E21" s="331"/>
      <c r="F21" s="331"/>
      <c r="G21" s="331"/>
      <c r="H21" s="331"/>
      <c r="I21" s="51"/>
    </row>
    <row r="22" spans="1:14" ht="26.25" customHeight="1" x14ac:dyDescent="0.4">
      <c r="A22" s="47" t="s">
        <v>32</v>
      </c>
      <c r="B22" s="52">
        <v>42552</v>
      </c>
      <c r="C22" s="49"/>
      <c r="D22" s="49"/>
      <c r="E22" s="49"/>
      <c r="F22" s="49"/>
      <c r="G22" s="49"/>
      <c r="H22" s="49"/>
    </row>
    <row r="23" spans="1:14" ht="26.25" customHeight="1" x14ac:dyDescent="0.4">
      <c r="A23" s="47" t="s">
        <v>33</v>
      </c>
      <c r="B23" s="52">
        <v>42556</v>
      </c>
      <c r="C23" s="49"/>
      <c r="D23" s="49"/>
      <c r="E23" s="49"/>
      <c r="F23" s="49"/>
      <c r="G23" s="49"/>
      <c r="H23" s="49"/>
    </row>
    <row r="24" spans="1:14" ht="18.75" x14ac:dyDescent="0.3">
      <c r="A24" s="47"/>
      <c r="B24" s="53"/>
    </row>
    <row r="25" spans="1:14" ht="18.75" x14ac:dyDescent="0.3">
      <c r="A25" s="54" t="s">
        <v>1</v>
      </c>
      <c r="B25" s="53"/>
    </row>
    <row r="26" spans="1:14" ht="26.25" customHeight="1" x14ac:dyDescent="0.4">
      <c r="A26" s="55" t="s">
        <v>4</v>
      </c>
      <c r="B26" s="326" t="s">
        <v>120</v>
      </c>
      <c r="C26" s="326"/>
    </row>
    <row r="27" spans="1:14" ht="26.25" customHeight="1" x14ac:dyDescent="0.4">
      <c r="A27" s="56" t="s">
        <v>43</v>
      </c>
      <c r="B27" s="324" t="s">
        <v>126</v>
      </c>
      <c r="C27" s="324"/>
    </row>
    <row r="28" spans="1:14" ht="27" customHeight="1" x14ac:dyDescent="0.4">
      <c r="A28" s="56" t="s">
        <v>5</v>
      </c>
      <c r="B28" s="57">
        <v>100.4</v>
      </c>
    </row>
    <row r="29" spans="1:14" s="8" customFormat="1" ht="27" customHeight="1" x14ac:dyDescent="0.4">
      <c r="A29" s="56" t="s">
        <v>44</v>
      </c>
      <c r="B29" s="58">
        <v>0</v>
      </c>
      <c r="C29" s="301" t="s">
        <v>45</v>
      </c>
      <c r="D29" s="302"/>
      <c r="E29" s="302"/>
      <c r="F29" s="302"/>
      <c r="G29" s="303"/>
      <c r="I29" s="59"/>
      <c r="J29" s="59"/>
      <c r="K29" s="59"/>
      <c r="L29" s="59"/>
    </row>
    <row r="30" spans="1:14" s="8" customFormat="1" ht="19.5" customHeight="1" x14ac:dyDescent="0.3">
      <c r="A30" s="56" t="s">
        <v>46</v>
      </c>
      <c r="B30" s="60">
        <f>B28-B29</f>
        <v>100.4</v>
      </c>
      <c r="C30" s="61"/>
      <c r="D30" s="61"/>
      <c r="E30" s="61"/>
      <c r="F30" s="61"/>
      <c r="G30" s="62"/>
      <c r="I30" s="59"/>
      <c r="J30" s="59"/>
      <c r="K30" s="59"/>
      <c r="L30" s="59"/>
    </row>
    <row r="31" spans="1:14" s="8" customFormat="1" ht="27" customHeight="1" x14ac:dyDescent="0.4">
      <c r="A31" s="56" t="s">
        <v>47</v>
      </c>
      <c r="B31" s="63">
        <v>1</v>
      </c>
      <c r="C31" s="304" t="s">
        <v>48</v>
      </c>
      <c r="D31" s="305"/>
      <c r="E31" s="305"/>
      <c r="F31" s="305"/>
      <c r="G31" s="305"/>
      <c r="H31" s="306"/>
      <c r="I31" s="59"/>
      <c r="J31" s="59"/>
      <c r="K31" s="59"/>
      <c r="L31" s="59"/>
    </row>
    <row r="32" spans="1:14" s="8" customFormat="1" ht="27" customHeight="1" x14ac:dyDescent="0.4">
      <c r="A32" s="56" t="s">
        <v>49</v>
      </c>
      <c r="B32" s="63">
        <v>1</v>
      </c>
      <c r="C32" s="304" t="s">
        <v>50</v>
      </c>
      <c r="D32" s="305"/>
      <c r="E32" s="305"/>
      <c r="F32" s="305"/>
      <c r="G32" s="305"/>
      <c r="H32" s="306"/>
      <c r="I32" s="59"/>
      <c r="J32" s="59"/>
      <c r="K32" s="59"/>
      <c r="L32" s="64"/>
      <c r="M32" s="64"/>
      <c r="N32" s="65"/>
    </row>
    <row r="33" spans="1:14" s="8" customFormat="1" ht="17.25" customHeight="1" x14ac:dyDescent="0.3">
      <c r="A33" s="56"/>
      <c r="B33" s="66"/>
      <c r="C33" s="67"/>
      <c r="D33" s="67"/>
      <c r="E33" s="67"/>
      <c r="F33" s="67"/>
      <c r="G33" s="67"/>
      <c r="H33" s="67"/>
      <c r="I33" s="59"/>
      <c r="J33" s="59"/>
      <c r="K33" s="59"/>
      <c r="L33" s="64"/>
      <c r="M33" s="64"/>
      <c r="N33" s="65"/>
    </row>
    <row r="34" spans="1:14" s="8" customFormat="1" ht="18.75" x14ac:dyDescent="0.3">
      <c r="A34" s="56" t="s">
        <v>51</v>
      </c>
      <c r="B34" s="68">
        <f>B31/B32</f>
        <v>1</v>
      </c>
      <c r="C34" s="46" t="s">
        <v>52</v>
      </c>
      <c r="D34" s="46"/>
      <c r="E34" s="46"/>
      <c r="F34" s="46"/>
      <c r="G34" s="46"/>
      <c r="I34" s="59"/>
      <c r="J34" s="59"/>
      <c r="K34" s="59"/>
      <c r="L34" s="64"/>
      <c r="M34" s="64"/>
      <c r="N34" s="65"/>
    </row>
    <row r="35" spans="1:14" s="8" customFormat="1" ht="19.5" customHeight="1" x14ac:dyDescent="0.3">
      <c r="A35" s="56"/>
      <c r="B35" s="60"/>
      <c r="G35" s="46"/>
      <c r="I35" s="59"/>
      <c r="J35" s="59"/>
      <c r="K35" s="59"/>
      <c r="L35" s="64"/>
      <c r="M35" s="64"/>
      <c r="N35" s="65"/>
    </row>
    <row r="36" spans="1:14" s="8" customFormat="1" ht="27" customHeight="1" x14ac:dyDescent="0.4">
      <c r="A36" s="69" t="s">
        <v>53</v>
      </c>
      <c r="B36" s="70">
        <v>20</v>
      </c>
      <c r="C36" s="46"/>
      <c r="D36" s="307" t="s">
        <v>54</v>
      </c>
      <c r="E36" s="325"/>
      <c r="F36" s="307" t="s">
        <v>55</v>
      </c>
      <c r="G36" s="308"/>
      <c r="J36" s="59"/>
      <c r="K36" s="59"/>
      <c r="L36" s="64"/>
      <c r="M36" s="64"/>
      <c r="N36" s="65"/>
    </row>
    <row r="37" spans="1:14" s="8" customFormat="1" ht="27" customHeight="1" x14ac:dyDescent="0.4">
      <c r="A37" s="71" t="s">
        <v>56</v>
      </c>
      <c r="B37" s="72">
        <v>4</v>
      </c>
      <c r="C37" s="73" t="s">
        <v>57</v>
      </c>
      <c r="D37" s="74" t="s">
        <v>58</v>
      </c>
      <c r="E37" s="75" t="s">
        <v>59</v>
      </c>
      <c r="F37" s="74" t="s">
        <v>58</v>
      </c>
      <c r="G37" s="76" t="s">
        <v>59</v>
      </c>
      <c r="I37" s="77" t="s">
        <v>60</v>
      </c>
      <c r="J37" s="59"/>
      <c r="K37" s="59"/>
      <c r="L37" s="64"/>
      <c r="M37" s="64"/>
      <c r="N37" s="65"/>
    </row>
    <row r="38" spans="1:14" s="8" customFormat="1" ht="26.25" customHeight="1" x14ac:dyDescent="0.4">
      <c r="A38" s="71" t="s">
        <v>61</v>
      </c>
      <c r="B38" s="72">
        <v>5</v>
      </c>
      <c r="C38" s="78">
        <v>1</v>
      </c>
      <c r="D38" s="79">
        <v>42467769</v>
      </c>
      <c r="E38" s="80">
        <f>IF(ISBLANK(D38),"-",$D$48/$D$45*D38)</f>
        <v>57429274.123635784</v>
      </c>
      <c r="F38" s="79">
        <v>40307370</v>
      </c>
      <c r="G38" s="81">
        <f>IF(ISBLANK(F38),"-",$D$48/$F$45*F38)</f>
        <v>57726394.078593604</v>
      </c>
      <c r="I38" s="82"/>
      <c r="J38" s="59"/>
      <c r="K38" s="59"/>
      <c r="L38" s="64"/>
      <c r="M38" s="64"/>
      <c r="N38" s="65"/>
    </row>
    <row r="39" spans="1:14" s="8" customFormat="1" ht="26.25" customHeight="1" x14ac:dyDescent="0.4">
      <c r="A39" s="71" t="s">
        <v>62</v>
      </c>
      <c r="B39" s="72">
        <v>4</v>
      </c>
      <c r="C39" s="83">
        <v>2</v>
      </c>
      <c r="D39" s="84">
        <v>42746526</v>
      </c>
      <c r="E39" s="85">
        <f>IF(ISBLANK(D39),"-",$D$48/$D$45*D39)</f>
        <v>57806237.937460862</v>
      </c>
      <c r="F39" s="84">
        <v>40207029</v>
      </c>
      <c r="G39" s="86">
        <f>IF(ISBLANK(F39),"-",$D$48/$F$45*F39)</f>
        <v>57582690.232169487</v>
      </c>
      <c r="I39" s="309">
        <f>ABS((F43/D43*D42)-F42)/D42</f>
        <v>1.0284130346300663E-3</v>
      </c>
      <c r="J39" s="59"/>
      <c r="K39" s="59"/>
      <c r="L39" s="64"/>
      <c r="M39" s="64"/>
      <c r="N39" s="65"/>
    </row>
    <row r="40" spans="1:14" ht="26.25" customHeight="1" x14ac:dyDescent="0.4">
      <c r="A40" s="71" t="s">
        <v>63</v>
      </c>
      <c r="B40" s="72">
        <v>50</v>
      </c>
      <c r="C40" s="83">
        <v>3</v>
      </c>
      <c r="D40" s="84">
        <v>42810514</v>
      </c>
      <c r="E40" s="85">
        <f>IF(ISBLANK(D40),"-",$D$48/$D$45*D40)</f>
        <v>57892769.07576067</v>
      </c>
      <c r="F40" s="84">
        <v>40240507</v>
      </c>
      <c r="G40" s="86">
        <f>IF(ISBLANK(F40),"-",$D$48/$F$45*F40)</f>
        <v>57630635.911110163</v>
      </c>
      <c r="I40" s="309"/>
      <c r="L40" s="64"/>
      <c r="M40" s="64"/>
      <c r="N40" s="87"/>
    </row>
    <row r="41" spans="1:14" ht="27" customHeight="1" x14ac:dyDescent="0.4">
      <c r="A41" s="71" t="s">
        <v>64</v>
      </c>
      <c r="B41" s="72">
        <v>1</v>
      </c>
      <c r="C41" s="88">
        <v>4</v>
      </c>
      <c r="D41" s="89"/>
      <c r="E41" s="90" t="str">
        <f>IF(ISBLANK(D41),"-",$D$48/$D$45*D41)</f>
        <v>-</v>
      </c>
      <c r="F41" s="89"/>
      <c r="G41" s="91" t="str">
        <f>IF(ISBLANK(F41),"-",$D$48/$F$45*F41)</f>
        <v>-</v>
      </c>
      <c r="I41" s="92"/>
      <c r="L41" s="64"/>
      <c r="M41" s="64"/>
      <c r="N41" s="87"/>
    </row>
    <row r="42" spans="1:14" ht="27" customHeight="1" x14ac:dyDescent="0.4">
      <c r="A42" s="71" t="s">
        <v>65</v>
      </c>
      <c r="B42" s="72">
        <v>1</v>
      </c>
      <c r="C42" s="93" t="s">
        <v>66</v>
      </c>
      <c r="D42" s="94">
        <f>AVERAGE(D38:D41)</f>
        <v>42674936.333333336</v>
      </c>
      <c r="E42" s="95">
        <f>AVERAGE(E38:E41)</f>
        <v>57709427.0456191</v>
      </c>
      <c r="F42" s="94">
        <f>AVERAGE(F38:F41)</f>
        <v>40251635.333333336</v>
      </c>
      <c r="G42" s="96">
        <f>AVERAGE(G38:G41)</f>
        <v>57646573.407291085</v>
      </c>
      <c r="H42" s="97"/>
    </row>
    <row r="43" spans="1:14" ht="26.25" customHeight="1" x14ac:dyDescent="0.4">
      <c r="A43" s="71" t="s">
        <v>67</v>
      </c>
      <c r="B43" s="72">
        <v>1</v>
      </c>
      <c r="C43" s="98" t="s">
        <v>68</v>
      </c>
      <c r="D43" s="99">
        <v>13.81</v>
      </c>
      <c r="E43" s="87"/>
      <c r="F43" s="99">
        <v>13.04</v>
      </c>
      <c r="H43" s="97"/>
    </row>
    <row r="44" spans="1:14" ht="26.25" customHeight="1" x14ac:dyDescent="0.4">
      <c r="A44" s="71" t="s">
        <v>69</v>
      </c>
      <c r="B44" s="72">
        <v>1</v>
      </c>
      <c r="C44" s="100" t="s">
        <v>70</v>
      </c>
      <c r="D44" s="101">
        <f>D43*$B$34</f>
        <v>13.81</v>
      </c>
      <c r="E44" s="102"/>
      <c r="F44" s="101">
        <f>F43*$B$34</f>
        <v>13.04</v>
      </c>
      <c r="H44" s="97"/>
    </row>
    <row r="45" spans="1:14" ht="19.5" customHeight="1" x14ac:dyDescent="0.3">
      <c r="A45" s="71" t="s">
        <v>71</v>
      </c>
      <c r="B45" s="103">
        <f>(B44/B43)*(B42/B41)*(B40/B39)*(B38/B37)*B36</f>
        <v>312.5</v>
      </c>
      <c r="C45" s="100" t="s">
        <v>72</v>
      </c>
      <c r="D45" s="104">
        <f>D44*$B$30/100</f>
        <v>13.865240000000002</v>
      </c>
      <c r="E45" s="105"/>
      <c r="F45" s="104">
        <f>F44*$B$30/100</f>
        <v>13.09216</v>
      </c>
      <c r="H45" s="97"/>
    </row>
    <row r="46" spans="1:14" ht="19.5" customHeight="1" x14ac:dyDescent="0.3">
      <c r="A46" s="295" t="s">
        <v>73</v>
      </c>
      <c r="B46" s="296"/>
      <c r="C46" s="100" t="s">
        <v>74</v>
      </c>
      <c r="D46" s="106">
        <f>D45/$B$45</f>
        <v>4.4368768000000003E-2</v>
      </c>
      <c r="E46" s="107"/>
      <c r="F46" s="108">
        <f>F45/$B$45</f>
        <v>4.1894911999999999E-2</v>
      </c>
      <c r="H46" s="97"/>
    </row>
    <row r="47" spans="1:14" ht="27" customHeight="1" x14ac:dyDescent="0.4">
      <c r="A47" s="297"/>
      <c r="B47" s="298"/>
      <c r="C47" s="109" t="s">
        <v>75</v>
      </c>
      <c r="D47" s="110">
        <v>0.06</v>
      </c>
      <c r="E47" s="111"/>
      <c r="F47" s="107"/>
      <c r="H47" s="97"/>
    </row>
    <row r="48" spans="1:14" ht="18.75" x14ac:dyDescent="0.3">
      <c r="C48" s="112" t="s">
        <v>76</v>
      </c>
      <c r="D48" s="104">
        <f>D47*$B$45</f>
        <v>18.75</v>
      </c>
      <c r="F48" s="113"/>
      <c r="H48" s="97"/>
    </row>
    <row r="49" spans="1:12" ht="19.5" customHeight="1" x14ac:dyDescent="0.3">
      <c r="C49" s="114" t="s">
        <v>77</v>
      </c>
      <c r="D49" s="115">
        <f>D48/B34</f>
        <v>18.75</v>
      </c>
      <c r="F49" s="113"/>
      <c r="H49" s="97"/>
    </row>
    <row r="50" spans="1:12" ht="18.75" x14ac:dyDescent="0.3">
      <c r="C50" s="69" t="s">
        <v>78</v>
      </c>
      <c r="D50" s="116">
        <f>AVERAGE(E38:E41,G38:G41)</f>
        <v>57678000.226455092</v>
      </c>
      <c r="F50" s="117"/>
      <c r="H50" s="97"/>
    </row>
    <row r="51" spans="1:12" ht="18.75" x14ac:dyDescent="0.3">
      <c r="C51" s="71" t="s">
        <v>79</v>
      </c>
      <c r="D51" s="118">
        <f>STDEV(E38:E41,G38:G41)/D50</f>
        <v>2.881435130544883E-3</v>
      </c>
      <c r="F51" s="117"/>
      <c r="H51" s="97"/>
    </row>
    <row r="52" spans="1:12" ht="19.5" customHeight="1" x14ac:dyDescent="0.3">
      <c r="C52" s="119" t="s">
        <v>15</v>
      </c>
      <c r="D52" s="120">
        <f>COUNT(E38:E41,G38:G41)</f>
        <v>6</v>
      </c>
      <c r="F52" s="117"/>
    </row>
    <row r="54" spans="1:12" ht="18.75" x14ac:dyDescent="0.3">
      <c r="A54" s="121" t="s">
        <v>1</v>
      </c>
      <c r="B54" s="122" t="s">
        <v>80</v>
      </c>
    </row>
    <row r="55" spans="1:12" ht="18.75" x14ac:dyDescent="0.3">
      <c r="A55" s="46" t="s">
        <v>81</v>
      </c>
      <c r="B55" s="123" t="str">
        <f>B21</f>
        <v>Lamivudine 300mg</v>
      </c>
    </row>
    <row r="56" spans="1:12" ht="26.25" customHeight="1" x14ac:dyDescent="0.4">
      <c r="A56" s="124" t="s">
        <v>82</v>
      </c>
      <c r="B56" s="125">
        <v>300</v>
      </c>
      <c r="C56" s="46" t="str">
        <f>B20</f>
        <v>Lamivudine</v>
      </c>
      <c r="H56" s="126"/>
    </row>
    <row r="57" spans="1:12" ht="18.75" x14ac:dyDescent="0.3">
      <c r="A57" s="123" t="s">
        <v>83</v>
      </c>
      <c r="B57" s="215">
        <f>'Uniformity (2)'!C46</f>
        <v>1899.9134999999999</v>
      </c>
      <c r="H57" s="126"/>
    </row>
    <row r="58" spans="1:12" ht="19.5" customHeight="1" x14ac:dyDescent="0.3">
      <c r="H58" s="126"/>
    </row>
    <row r="59" spans="1:12" s="8" customFormat="1" ht="27" customHeight="1" x14ac:dyDescent="0.4">
      <c r="A59" s="69" t="s">
        <v>84</v>
      </c>
      <c r="B59" s="70">
        <v>100</v>
      </c>
      <c r="C59" s="46"/>
      <c r="D59" s="127" t="s">
        <v>85</v>
      </c>
      <c r="E59" s="128" t="s">
        <v>57</v>
      </c>
      <c r="F59" s="128" t="s">
        <v>58</v>
      </c>
      <c r="G59" s="128" t="s">
        <v>86</v>
      </c>
      <c r="H59" s="73" t="s">
        <v>87</v>
      </c>
      <c r="L59" s="59"/>
    </row>
    <row r="60" spans="1:12" s="8" customFormat="1" ht="26.25" customHeight="1" x14ac:dyDescent="0.4">
      <c r="A60" s="71" t="s">
        <v>88</v>
      </c>
      <c r="B60" s="72">
        <v>5</v>
      </c>
      <c r="C60" s="312" t="s">
        <v>89</v>
      </c>
      <c r="D60" s="315">
        <v>1867.02</v>
      </c>
      <c r="E60" s="129">
        <v>1</v>
      </c>
      <c r="F60" s="130">
        <v>56454875</v>
      </c>
      <c r="G60" s="216">
        <f>IF(ISBLANK(F60),"-",(F60/$D$50*$D$47*$B$68)*($B$57/$D$60))</f>
        <v>298.81154214443183</v>
      </c>
      <c r="H60" s="131">
        <f t="shared" ref="H60:H71" si="0">IF(ISBLANK(F60),"-",G60/$B$56)</f>
        <v>0.99603847381477273</v>
      </c>
      <c r="L60" s="59"/>
    </row>
    <row r="61" spans="1:12" s="8" customFormat="1" ht="26.25" customHeight="1" x14ac:dyDescent="0.4">
      <c r="A61" s="71" t="s">
        <v>90</v>
      </c>
      <c r="B61" s="72">
        <v>50</v>
      </c>
      <c r="C61" s="313"/>
      <c r="D61" s="316"/>
      <c r="E61" s="132">
        <v>2</v>
      </c>
      <c r="F61" s="84">
        <v>57209170</v>
      </c>
      <c r="G61" s="217">
        <f>IF(ISBLANK(F61),"-",(F61/$D$50*$D$47*$B$68)*($B$57/$D$60))</f>
        <v>302.80397064917713</v>
      </c>
      <c r="H61" s="133">
        <f t="shared" si="0"/>
        <v>1.0093465688305905</v>
      </c>
      <c r="L61" s="59"/>
    </row>
    <row r="62" spans="1:12" s="8" customFormat="1" ht="26.25" customHeight="1" x14ac:dyDescent="0.4">
      <c r="A62" s="71" t="s">
        <v>91</v>
      </c>
      <c r="B62" s="72">
        <v>10</v>
      </c>
      <c r="C62" s="313"/>
      <c r="D62" s="316"/>
      <c r="E62" s="132">
        <v>3</v>
      </c>
      <c r="F62" s="134">
        <v>57466952</v>
      </c>
      <c r="G62" s="217">
        <f>IF(ISBLANK(F62),"-",(F62/$D$50*$D$47*$B$68)*($B$57/$D$60))</f>
        <v>304.16839200263996</v>
      </c>
      <c r="H62" s="133">
        <f t="shared" si="0"/>
        <v>1.0138946400087998</v>
      </c>
      <c r="L62" s="59"/>
    </row>
    <row r="63" spans="1:12" ht="27" customHeight="1" x14ac:dyDescent="0.4">
      <c r="A63" s="71" t="s">
        <v>92</v>
      </c>
      <c r="B63" s="72">
        <v>50</v>
      </c>
      <c r="C63" s="323"/>
      <c r="D63" s="317"/>
      <c r="E63" s="135">
        <v>4</v>
      </c>
      <c r="F63" s="136"/>
      <c r="G63" s="217" t="str">
        <f>IF(ISBLANK(F63),"-",(F63/$D$50*$D$47*$B$68)*($B$57/$D$60))</f>
        <v>-</v>
      </c>
      <c r="H63" s="133" t="str">
        <f t="shared" si="0"/>
        <v>-</v>
      </c>
    </row>
    <row r="64" spans="1:12" ht="26.25" customHeight="1" x14ac:dyDescent="0.4">
      <c r="A64" s="71" t="s">
        <v>93</v>
      </c>
      <c r="B64" s="72">
        <v>1</v>
      </c>
      <c r="C64" s="312" t="s">
        <v>94</v>
      </c>
      <c r="D64" s="315">
        <v>1926.65</v>
      </c>
      <c r="E64" s="129">
        <v>1</v>
      </c>
      <c r="F64" s="130">
        <v>56345357</v>
      </c>
      <c r="G64" s="218">
        <f>IF(ISBLANK(F64),"-",(F64/$D$50*$D$47*$B$68)*($B$57/$D$64))</f>
        <v>289.00156667802247</v>
      </c>
      <c r="H64" s="137">
        <f t="shared" si="0"/>
        <v>0.9633385555934082</v>
      </c>
    </row>
    <row r="65" spans="1:8" ht="26.25" customHeight="1" x14ac:dyDescent="0.4">
      <c r="A65" s="71" t="s">
        <v>95</v>
      </c>
      <c r="B65" s="72">
        <v>1</v>
      </c>
      <c r="C65" s="313"/>
      <c r="D65" s="316"/>
      <c r="E65" s="132">
        <v>2</v>
      </c>
      <c r="F65" s="84"/>
      <c r="G65" s="219" t="str">
        <f>IF(ISBLANK(F65),"-",(F65/$D$50*$D$47*$B$68)*($B$57/$D$64))</f>
        <v>-</v>
      </c>
      <c r="H65" s="138" t="str">
        <f t="shared" si="0"/>
        <v>-</v>
      </c>
    </row>
    <row r="66" spans="1:8" ht="26.25" customHeight="1" x14ac:dyDescent="0.4">
      <c r="A66" s="71" t="s">
        <v>96</v>
      </c>
      <c r="B66" s="72">
        <v>1</v>
      </c>
      <c r="C66" s="313"/>
      <c r="D66" s="316"/>
      <c r="E66" s="132">
        <v>3</v>
      </c>
      <c r="F66" s="84">
        <v>57466952</v>
      </c>
      <c r="G66" s="219">
        <f>IF(ISBLANK(F66),"-",(F66/$D$50*$D$47*$B$68)*($B$57/$D$64))</f>
        <v>294.75435145811065</v>
      </c>
      <c r="H66" s="138">
        <f t="shared" si="0"/>
        <v>0.98251450486036884</v>
      </c>
    </row>
    <row r="67" spans="1:8" ht="27" customHeight="1" x14ac:dyDescent="0.4">
      <c r="A67" s="71" t="s">
        <v>97</v>
      </c>
      <c r="B67" s="72">
        <v>1</v>
      </c>
      <c r="C67" s="323"/>
      <c r="D67" s="317"/>
      <c r="E67" s="135">
        <v>4</v>
      </c>
      <c r="F67" s="136"/>
      <c r="G67" s="220" t="str">
        <f>IF(ISBLANK(F67),"-",(F67/$D$50*$D$47*$B$68)*($B$57/$D$64))</f>
        <v>-</v>
      </c>
      <c r="H67" s="139" t="str">
        <f t="shared" si="0"/>
        <v>-</v>
      </c>
    </row>
    <row r="68" spans="1:8" ht="26.25" customHeight="1" x14ac:dyDescent="0.4">
      <c r="A68" s="71" t="s">
        <v>98</v>
      </c>
      <c r="B68" s="140">
        <f>(B67/B66)*(B65/B64)*(B63/B62)*(B61/B60)*B59</f>
        <v>5000</v>
      </c>
      <c r="C68" s="312" t="s">
        <v>99</v>
      </c>
      <c r="D68" s="315">
        <v>1875.43</v>
      </c>
      <c r="E68" s="129">
        <v>1</v>
      </c>
      <c r="F68" s="130">
        <v>57719869</v>
      </c>
      <c r="G68" s="218">
        <f>IF(ISBLANK(F68),"-",(F68/$D$50*$D$47*$B$68)*($B$57/$D$68))</f>
        <v>304.13707643460174</v>
      </c>
      <c r="H68" s="133">
        <f t="shared" si="0"/>
        <v>1.0137902547820057</v>
      </c>
    </row>
    <row r="69" spans="1:8" ht="27" customHeight="1" x14ac:dyDescent="0.4">
      <c r="A69" s="119" t="s">
        <v>100</v>
      </c>
      <c r="B69" s="141">
        <f>(D47*B68)/B56*B57</f>
        <v>1899.9134999999999</v>
      </c>
      <c r="C69" s="313"/>
      <c r="D69" s="316"/>
      <c r="E69" s="132">
        <v>2</v>
      </c>
      <c r="F69" s="84">
        <v>57132206</v>
      </c>
      <c r="G69" s="219">
        <f>IF(ISBLANK(F69),"-",(F69/$D$50*$D$47*$B$68)*($B$57/$D$68))</f>
        <v>301.04056721090984</v>
      </c>
      <c r="H69" s="133">
        <f t="shared" si="0"/>
        <v>1.0034685573696995</v>
      </c>
    </row>
    <row r="70" spans="1:8" ht="26.25" customHeight="1" x14ac:dyDescent="0.4">
      <c r="A70" s="318" t="s">
        <v>73</v>
      </c>
      <c r="B70" s="319"/>
      <c r="C70" s="313"/>
      <c r="D70" s="316"/>
      <c r="E70" s="132">
        <v>3</v>
      </c>
      <c r="F70" s="84">
        <v>57308898</v>
      </c>
      <c r="G70" s="219">
        <f>IF(ISBLANK(F70),"-",(F70/$D$50*$D$47*$B$68)*($B$57/$D$68))</f>
        <v>301.971591297423</v>
      </c>
      <c r="H70" s="133">
        <f t="shared" si="0"/>
        <v>1.00657197099141</v>
      </c>
    </row>
    <row r="71" spans="1:8" ht="27" customHeight="1" x14ac:dyDescent="0.4">
      <c r="A71" s="320"/>
      <c r="B71" s="321"/>
      <c r="C71" s="314"/>
      <c r="D71" s="317"/>
      <c r="E71" s="135">
        <v>4</v>
      </c>
      <c r="F71" s="136"/>
      <c r="G71" s="220" t="str">
        <f>IF(ISBLANK(F71),"-",(F71/$D$50*$D$47*$B$68)*($B$57/$D$68))</f>
        <v>-</v>
      </c>
      <c r="H71" s="142" t="str">
        <f t="shared" si="0"/>
        <v>-</v>
      </c>
    </row>
    <row r="72" spans="1:8" ht="26.25" customHeight="1" x14ac:dyDescent="0.4">
      <c r="A72" s="143"/>
      <c r="B72" s="143"/>
      <c r="C72" s="143"/>
      <c r="D72" s="143"/>
      <c r="E72" s="143"/>
      <c r="F72" s="145" t="s">
        <v>66</v>
      </c>
      <c r="G72" s="225">
        <f>AVERAGE(G60:G71)</f>
        <v>299.58613223441461</v>
      </c>
      <c r="H72" s="146">
        <f>AVERAGE(H60:H71)</f>
        <v>0.9986204407813819</v>
      </c>
    </row>
    <row r="73" spans="1:8" ht="26.25" customHeight="1" x14ac:dyDescent="0.4">
      <c r="C73" s="143"/>
      <c r="D73" s="143"/>
      <c r="E73" s="143"/>
      <c r="F73" s="147" t="s">
        <v>79</v>
      </c>
      <c r="G73" s="221">
        <f>STDEV(G60:G71)/G72</f>
        <v>1.765584071204844E-2</v>
      </c>
      <c r="H73" s="221">
        <f>STDEV(H60:H71)/H72</f>
        <v>1.7655840712048437E-2</v>
      </c>
    </row>
    <row r="74" spans="1:8" ht="27" customHeight="1" x14ac:dyDescent="0.4">
      <c r="A74" s="143"/>
      <c r="B74" s="143"/>
      <c r="C74" s="144"/>
      <c r="D74" s="144"/>
      <c r="E74" s="148"/>
      <c r="F74" s="149" t="s">
        <v>15</v>
      </c>
      <c r="G74" s="150">
        <f>COUNT(G60:G71)</f>
        <v>8</v>
      </c>
      <c r="H74" s="150">
        <f>COUNT(H60:H71)</f>
        <v>8</v>
      </c>
    </row>
    <row r="76" spans="1:8" ht="26.25" customHeight="1" x14ac:dyDescent="0.4">
      <c r="A76" s="55" t="s">
        <v>101</v>
      </c>
      <c r="B76" s="151" t="s">
        <v>102</v>
      </c>
      <c r="C76" s="299" t="str">
        <f>B20</f>
        <v>Lamivudine</v>
      </c>
      <c r="D76" s="299"/>
      <c r="E76" s="152" t="s">
        <v>103</v>
      </c>
      <c r="F76" s="152"/>
      <c r="G76" s="153">
        <f>H72</f>
        <v>0.9986204407813819</v>
      </c>
      <c r="H76" s="154"/>
    </row>
    <row r="77" spans="1:8" ht="18.75" x14ac:dyDescent="0.3">
      <c r="A77" s="54" t="s">
        <v>104</v>
      </c>
      <c r="B77" s="54" t="s">
        <v>105</v>
      </c>
    </row>
    <row r="78" spans="1:8" ht="18.75" x14ac:dyDescent="0.3">
      <c r="A78" s="54"/>
      <c r="B78" s="54"/>
    </row>
    <row r="79" spans="1:8" ht="26.25" customHeight="1" x14ac:dyDescent="0.4">
      <c r="A79" s="55" t="s">
        <v>4</v>
      </c>
      <c r="B79" s="322" t="str">
        <f>B26</f>
        <v>Lamivudine</v>
      </c>
      <c r="C79" s="322"/>
    </row>
    <row r="80" spans="1:8" ht="26.25" customHeight="1" x14ac:dyDescent="0.4">
      <c r="A80" s="56" t="s">
        <v>43</v>
      </c>
      <c r="B80" s="322" t="str">
        <f>B27</f>
        <v>L3 7</v>
      </c>
      <c r="C80" s="322"/>
    </row>
    <row r="81" spans="1:12" ht="27" customHeight="1" x14ac:dyDescent="0.4">
      <c r="A81" s="56" t="s">
        <v>5</v>
      </c>
      <c r="B81" s="155">
        <f>B28</f>
        <v>100.4</v>
      </c>
    </row>
    <row r="82" spans="1:12" s="8" customFormat="1" ht="27" customHeight="1" x14ac:dyDescent="0.4">
      <c r="A82" s="56" t="s">
        <v>44</v>
      </c>
      <c r="B82" s="58">
        <v>0</v>
      </c>
      <c r="C82" s="301" t="s">
        <v>45</v>
      </c>
      <c r="D82" s="302"/>
      <c r="E82" s="302"/>
      <c r="F82" s="302"/>
      <c r="G82" s="303"/>
      <c r="I82" s="59"/>
      <c r="J82" s="59"/>
      <c r="K82" s="59"/>
      <c r="L82" s="59"/>
    </row>
    <row r="83" spans="1:12" s="8" customFormat="1" ht="19.5" customHeight="1" x14ac:dyDescent="0.3">
      <c r="A83" s="56" t="s">
        <v>46</v>
      </c>
      <c r="B83" s="60">
        <f>B81-B82</f>
        <v>100.4</v>
      </c>
      <c r="C83" s="61"/>
      <c r="D83" s="61"/>
      <c r="E83" s="61"/>
      <c r="F83" s="61"/>
      <c r="G83" s="62"/>
      <c r="I83" s="59"/>
      <c r="J83" s="59"/>
      <c r="K83" s="59"/>
      <c r="L83" s="59"/>
    </row>
    <row r="84" spans="1:12" s="8" customFormat="1" ht="27" customHeight="1" x14ac:dyDescent="0.4">
      <c r="A84" s="56" t="s">
        <v>47</v>
      </c>
      <c r="B84" s="63">
        <v>1</v>
      </c>
      <c r="C84" s="304" t="s">
        <v>106</v>
      </c>
      <c r="D84" s="305"/>
      <c r="E84" s="305"/>
      <c r="F84" s="305"/>
      <c r="G84" s="305"/>
      <c r="H84" s="306"/>
      <c r="I84" s="59"/>
      <c r="J84" s="59"/>
      <c r="K84" s="59"/>
      <c r="L84" s="59"/>
    </row>
    <row r="85" spans="1:12" s="8" customFormat="1" ht="27" customHeight="1" x14ac:dyDescent="0.4">
      <c r="A85" s="56" t="s">
        <v>49</v>
      </c>
      <c r="B85" s="63">
        <v>1</v>
      </c>
      <c r="C85" s="304" t="s">
        <v>107</v>
      </c>
      <c r="D85" s="305"/>
      <c r="E85" s="305"/>
      <c r="F85" s="305"/>
      <c r="G85" s="305"/>
      <c r="H85" s="306"/>
      <c r="I85" s="59"/>
      <c r="J85" s="59"/>
      <c r="K85" s="59"/>
      <c r="L85" s="59"/>
    </row>
    <row r="86" spans="1:12" s="8" customFormat="1" ht="18.75" x14ac:dyDescent="0.3">
      <c r="A86" s="56"/>
      <c r="B86" s="66"/>
      <c r="C86" s="67"/>
      <c r="D86" s="67"/>
      <c r="E86" s="67"/>
      <c r="F86" s="67"/>
      <c r="G86" s="67"/>
      <c r="H86" s="67"/>
      <c r="I86" s="59"/>
      <c r="J86" s="59"/>
      <c r="K86" s="59"/>
      <c r="L86" s="59"/>
    </row>
    <row r="87" spans="1:12" s="8" customFormat="1" ht="18.75" x14ac:dyDescent="0.3">
      <c r="A87" s="56" t="s">
        <v>51</v>
      </c>
      <c r="B87" s="68">
        <f>B84/B85</f>
        <v>1</v>
      </c>
      <c r="C87" s="46" t="s">
        <v>52</v>
      </c>
      <c r="D87" s="46"/>
      <c r="E87" s="46"/>
      <c r="F87" s="46"/>
      <c r="G87" s="46"/>
      <c r="I87" s="59"/>
      <c r="J87" s="59"/>
      <c r="K87" s="59"/>
      <c r="L87" s="59"/>
    </row>
    <row r="88" spans="1:12" ht="19.5" customHeight="1" x14ac:dyDescent="0.3">
      <c r="A88" s="54"/>
      <c r="B88" s="54"/>
    </row>
    <row r="89" spans="1:12" ht="27" customHeight="1" x14ac:dyDescent="0.4">
      <c r="A89" s="69" t="s">
        <v>53</v>
      </c>
      <c r="B89" s="70">
        <v>25</v>
      </c>
      <c r="D89" s="156" t="s">
        <v>54</v>
      </c>
      <c r="E89" s="157"/>
      <c r="F89" s="307" t="s">
        <v>55</v>
      </c>
      <c r="G89" s="308"/>
    </row>
    <row r="90" spans="1:12" ht="27" customHeight="1" x14ac:dyDescent="0.4">
      <c r="A90" s="71" t="s">
        <v>56</v>
      </c>
      <c r="B90" s="72">
        <v>2</v>
      </c>
      <c r="C90" s="158" t="s">
        <v>57</v>
      </c>
      <c r="D90" s="74" t="s">
        <v>58</v>
      </c>
      <c r="E90" s="75" t="s">
        <v>59</v>
      </c>
      <c r="F90" s="74" t="s">
        <v>58</v>
      </c>
      <c r="G90" s="159" t="s">
        <v>59</v>
      </c>
      <c r="I90" s="77" t="s">
        <v>60</v>
      </c>
    </row>
    <row r="91" spans="1:12" ht="26.25" customHeight="1" x14ac:dyDescent="0.4">
      <c r="A91" s="71" t="s">
        <v>61</v>
      </c>
      <c r="B91" s="72">
        <v>10</v>
      </c>
      <c r="C91" s="160">
        <v>1</v>
      </c>
      <c r="D91" s="79">
        <v>78704239</v>
      </c>
      <c r="E91" s="80">
        <f>IF(ISBLANK(D91),"-",$D$101/$D$98*D91)</f>
        <v>111308230.25580373</v>
      </c>
      <c r="F91" s="79">
        <v>67673555</v>
      </c>
      <c r="G91" s="81">
        <f>IF(ISBLANK(F91),"-",$D$101/$F$98*F91)</f>
        <v>109849966.17181858</v>
      </c>
      <c r="I91" s="82"/>
    </row>
    <row r="92" spans="1:12" ht="26.25" customHeight="1" x14ac:dyDescent="0.4">
      <c r="A92" s="71" t="s">
        <v>62</v>
      </c>
      <c r="B92" s="72">
        <v>1</v>
      </c>
      <c r="C92" s="144">
        <v>2</v>
      </c>
      <c r="D92" s="84">
        <v>78740397</v>
      </c>
      <c r="E92" s="85">
        <f>IF(ISBLANK(D92),"-",$D$101/$D$98*D92)</f>
        <v>111359367.0565749</v>
      </c>
      <c r="F92" s="84">
        <v>67707936</v>
      </c>
      <c r="G92" s="86">
        <f>IF(ISBLANK(F92),"-",$D$101/$F$98*F92)</f>
        <v>109905774.55497436</v>
      </c>
      <c r="I92" s="309">
        <f>ABS((F96/D96*D95)-F95)/D95</f>
        <v>1.0900812510777558E-2</v>
      </c>
    </row>
    <row r="93" spans="1:12" ht="26.25" customHeight="1" x14ac:dyDescent="0.4">
      <c r="A93" s="71" t="s">
        <v>63</v>
      </c>
      <c r="B93" s="72">
        <v>1</v>
      </c>
      <c r="C93" s="144">
        <v>3</v>
      </c>
      <c r="D93" s="84">
        <v>78723635</v>
      </c>
      <c r="E93" s="85">
        <f>IF(ISBLANK(D93),"-",$D$101/$D$98*D93)</f>
        <v>111335661.23616098</v>
      </c>
      <c r="F93" s="84">
        <v>67808260</v>
      </c>
      <c r="G93" s="86">
        <f>IF(ISBLANK(F93),"-",$D$101/$F$98*F93)</f>
        <v>110068623.80984536</v>
      </c>
      <c r="I93" s="309"/>
    </row>
    <row r="94" spans="1:12" ht="27" customHeight="1" x14ac:dyDescent="0.4">
      <c r="A94" s="71" t="s">
        <v>64</v>
      </c>
      <c r="B94" s="72">
        <v>1</v>
      </c>
      <c r="C94" s="161">
        <v>4</v>
      </c>
      <c r="D94" s="89"/>
      <c r="E94" s="90" t="str">
        <f>IF(ISBLANK(D94),"-",$D$101/$D$98*D94)</f>
        <v>-</v>
      </c>
      <c r="F94" s="162"/>
      <c r="G94" s="91" t="str">
        <f>IF(ISBLANK(F94),"-",$D$101/$F$98*F94)</f>
        <v>-</v>
      </c>
      <c r="I94" s="92"/>
    </row>
    <row r="95" spans="1:12" ht="27" customHeight="1" x14ac:dyDescent="0.4">
      <c r="A95" s="71" t="s">
        <v>65</v>
      </c>
      <c r="B95" s="72">
        <v>1</v>
      </c>
      <c r="C95" s="163" t="s">
        <v>66</v>
      </c>
      <c r="D95" s="164">
        <f>AVERAGE(D91:D94)</f>
        <v>78722757</v>
      </c>
      <c r="E95" s="95">
        <f>AVERAGE(E91:E94)</f>
        <v>111334419.51617987</v>
      </c>
      <c r="F95" s="165">
        <f>AVERAGE(F91:F94)</f>
        <v>67729917</v>
      </c>
      <c r="G95" s="166">
        <f>AVERAGE(G91:G94)</f>
        <v>109941454.84554608</v>
      </c>
    </row>
    <row r="96" spans="1:12" ht="26.25" customHeight="1" x14ac:dyDescent="0.4">
      <c r="A96" s="71" t="s">
        <v>67</v>
      </c>
      <c r="B96" s="57">
        <v>1</v>
      </c>
      <c r="C96" s="167" t="s">
        <v>108</v>
      </c>
      <c r="D96" s="168">
        <v>26.41</v>
      </c>
      <c r="E96" s="87"/>
      <c r="F96" s="99">
        <v>23.01</v>
      </c>
    </row>
    <row r="97" spans="1:10" ht="26.25" customHeight="1" x14ac:dyDescent="0.4">
      <c r="A97" s="71" t="s">
        <v>69</v>
      </c>
      <c r="B97" s="57">
        <v>1</v>
      </c>
      <c r="C97" s="169" t="s">
        <v>109</v>
      </c>
      <c r="D97" s="170">
        <f>D96*$B$87</f>
        <v>26.41</v>
      </c>
      <c r="E97" s="102"/>
      <c r="F97" s="101">
        <f>F96*$B$87</f>
        <v>23.01</v>
      </c>
    </row>
    <row r="98" spans="1:10" ht="19.5" customHeight="1" x14ac:dyDescent="0.3">
      <c r="A98" s="71" t="s">
        <v>71</v>
      </c>
      <c r="B98" s="171">
        <f>(B97/B96)*(B95/B94)*(B93/B92)*(B91/B90)*B89</f>
        <v>125</v>
      </c>
      <c r="C98" s="169" t="s">
        <v>110</v>
      </c>
      <c r="D98" s="172">
        <f>D97*$B$83/100</f>
        <v>26.515640000000005</v>
      </c>
      <c r="E98" s="105"/>
      <c r="F98" s="104">
        <f>F97*$B$83/100</f>
        <v>23.102040000000002</v>
      </c>
    </row>
    <row r="99" spans="1:10" ht="19.5" customHeight="1" x14ac:dyDescent="0.3">
      <c r="A99" s="295" t="s">
        <v>73</v>
      </c>
      <c r="B99" s="310"/>
      <c r="C99" s="169" t="s">
        <v>111</v>
      </c>
      <c r="D99" s="173">
        <f>D98/$B$98</f>
        <v>0.21212512000000003</v>
      </c>
      <c r="E99" s="105"/>
      <c r="F99" s="108">
        <f>F98/$B$98</f>
        <v>0.18481632000000001</v>
      </c>
      <c r="G99" s="174"/>
      <c r="H99" s="97"/>
    </row>
    <row r="100" spans="1:10" ht="19.5" customHeight="1" x14ac:dyDescent="0.3">
      <c r="A100" s="297"/>
      <c r="B100" s="311"/>
      <c r="C100" s="169" t="s">
        <v>75</v>
      </c>
      <c r="D100" s="175">
        <f>$B$56/$B$116</f>
        <v>0.3</v>
      </c>
      <c r="F100" s="113"/>
      <c r="G100" s="176"/>
      <c r="H100" s="97"/>
    </row>
    <row r="101" spans="1:10" ht="18.75" x14ac:dyDescent="0.3">
      <c r="C101" s="169" t="s">
        <v>76</v>
      </c>
      <c r="D101" s="170">
        <f>D100*$B$98</f>
        <v>37.5</v>
      </c>
      <c r="F101" s="113"/>
      <c r="G101" s="174"/>
      <c r="H101" s="97"/>
    </row>
    <row r="102" spans="1:10" ht="19.5" customHeight="1" x14ac:dyDescent="0.3">
      <c r="C102" s="177" t="s">
        <v>77</v>
      </c>
      <c r="D102" s="178">
        <f>D101/B34</f>
        <v>37.5</v>
      </c>
      <c r="F102" s="117"/>
      <c r="G102" s="174"/>
      <c r="H102" s="97"/>
      <c r="J102" s="179"/>
    </row>
    <row r="103" spans="1:10" ht="18.75" x14ac:dyDescent="0.3">
      <c r="C103" s="180" t="s">
        <v>112</v>
      </c>
      <c r="D103" s="181">
        <f>AVERAGE(E91:E94,G91:G94)</f>
        <v>110637937.18086298</v>
      </c>
      <c r="F103" s="117"/>
      <c r="G103" s="182"/>
      <c r="H103" s="97"/>
      <c r="J103" s="183"/>
    </row>
    <row r="104" spans="1:10" ht="18.75" x14ac:dyDescent="0.3">
      <c r="C104" s="147" t="s">
        <v>79</v>
      </c>
      <c r="D104" s="184">
        <f>STDEV(E91:E94,G91:G94)/D103</f>
        <v>6.9280500692136425E-3</v>
      </c>
      <c r="F104" s="117"/>
      <c r="G104" s="174"/>
      <c r="H104" s="97"/>
      <c r="J104" s="183"/>
    </row>
    <row r="105" spans="1:10" ht="19.5" customHeight="1" x14ac:dyDescent="0.3">
      <c r="C105" s="149" t="s">
        <v>15</v>
      </c>
      <c r="D105" s="185">
        <f>COUNT(E91:E94,G91:G94)</f>
        <v>6</v>
      </c>
      <c r="F105" s="117"/>
      <c r="G105" s="174"/>
      <c r="H105" s="97"/>
      <c r="J105" s="183"/>
    </row>
    <row r="106" spans="1:10" ht="19.5" customHeight="1" x14ac:dyDescent="0.3">
      <c r="A106" s="121"/>
      <c r="B106" s="121"/>
      <c r="C106" s="121"/>
      <c r="D106" s="121"/>
      <c r="E106" s="121"/>
    </row>
    <row r="107" spans="1:10" ht="26.25" customHeight="1" x14ac:dyDescent="0.4">
      <c r="A107" s="69" t="s">
        <v>113</v>
      </c>
      <c r="B107" s="70">
        <v>1000</v>
      </c>
      <c r="C107" s="186" t="s">
        <v>114</v>
      </c>
      <c r="D107" s="187" t="s">
        <v>58</v>
      </c>
      <c r="E107" s="188" t="s">
        <v>115</v>
      </c>
      <c r="F107" s="189" t="s">
        <v>116</v>
      </c>
    </row>
    <row r="108" spans="1:10" ht="26.25" customHeight="1" x14ac:dyDescent="0.4">
      <c r="A108" s="71" t="s">
        <v>117</v>
      </c>
      <c r="B108" s="72">
        <v>1</v>
      </c>
      <c r="C108" s="190">
        <v>1</v>
      </c>
      <c r="D108" s="191">
        <v>103153806</v>
      </c>
      <c r="E108" s="222">
        <f t="shared" ref="E108:E113" si="1">IF(ISBLANK(D108),"-",D108/$D$103*$D$100*$B$116)</f>
        <v>279.70642429288483</v>
      </c>
      <c r="F108" s="192">
        <f t="shared" ref="F108:F113" si="2">IF(ISBLANK(D108), "-", E108/$B$56)</f>
        <v>0.93235474764294946</v>
      </c>
    </row>
    <row r="109" spans="1:10" ht="26.25" customHeight="1" x14ac:dyDescent="0.4">
      <c r="A109" s="71" t="s">
        <v>90</v>
      </c>
      <c r="B109" s="72">
        <v>1</v>
      </c>
      <c r="C109" s="190">
        <v>2</v>
      </c>
      <c r="D109" s="191">
        <v>103804226</v>
      </c>
      <c r="E109" s="223">
        <f t="shared" si="1"/>
        <v>281.47006888868947</v>
      </c>
      <c r="F109" s="193">
        <f t="shared" si="2"/>
        <v>0.93823356296229821</v>
      </c>
    </row>
    <row r="110" spans="1:10" ht="26.25" customHeight="1" x14ac:dyDescent="0.4">
      <c r="A110" s="71" t="s">
        <v>91</v>
      </c>
      <c r="B110" s="72">
        <v>1</v>
      </c>
      <c r="C110" s="190">
        <v>3</v>
      </c>
      <c r="D110" s="191">
        <v>103562337</v>
      </c>
      <c r="E110" s="223">
        <f t="shared" si="1"/>
        <v>280.81417542349067</v>
      </c>
      <c r="F110" s="193">
        <f t="shared" si="2"/>
        <v>0.93604725141163558</v>
      </c>
    </row>
    <row r="111" spans="1:10" ht="26.25" customHeight="1" x14ac:dyDescent="0.4">
      <c r="A111" s="71" t="s">
        <v>92</v>
      </c>
      <c r="B111" s="72">
        <v>1</v>
      </c>
      <c r="C111" s="190">
        <v>4</v>
      </c>
      <c r="D111" s="191">
        <v>103935055</v>
      </c>
      <c r="E111" s="223">
        <f t="shared" si="1"/>
        <v>281.82481791058996</v>
      </c>
      <c r="F111" s="193">
        <f t="shared" si="2"/>
        <v>0.93941605970196651</v>
      </c>
    </row>
    <row r="112" spans="1:10" ht="26.25" customHeight="1" x14ac:dyDescent="0.4">
      <c r="A112" s="71" t="s">
        <v>93</v>
      </c>
      <c r="B112" s="72">
        <v>1</v>
      </c>
      <c r="C112" s="190">
        <v>5</v>
      </c>
      <c r="D112" s="191">
        <v>103907130</v>
      </c>
      <c r="E112" s="223">
        <f t="shared" si="1"/>
        <v>281.74909795219713</v>
      </c>
      <c r="F112" s="193">
        <f t="shared" si="2"/>
        <v>0.93916365984065708</v>
      </c>
    </row>
    <row r="113" spans="1:10" ht="26.25" customHeight="1" x14ac:dyDescent="0.4">
      <c r="A113" s="71" t="s">
        <v>95</v>
      </c>
      <c r="B113" s="72">
        <v>1</v>
      </c>
      <c r="C113" s="194">
        <v>6</v>
      </c>
      <c r="D113" s="195">
        <v>103877227</v>
      </c>
      <c r="E113" s="224">
        <f t="shared" si="1"/>
        <v>281.66801455324207</v>
      </c>
      <c r="F113" s="196">
        <f t="shared" si="2"/>
        <v>0.93889338184414028</v>
      </c>
    </row>
    <row r="114" spans="1:10" ht="26.25" customHeight="1" x14ac:dyDescent="0.4">
      <c r="A114" s="71" t="s">
        <v>96</v>
      </c>
      <c r="B114" s="72">
        <v>1</v>
      </c>
      <c r="C114" s="190"/>
      <c r="D114" s="144"/>
      <c r="E114" s="45"/>
      <c r="F114" s="197"/>
    </row>
    <row r="115" spans="1:10" ht="26.25" customHeight="1" x14ac:dyDescent="0.4">
      <c r="A115" s="71" t="s">
        <v>97</v>
      </c>
      <c r="B115" s="72">
        <v>1</v>
      </c>
      <c r="C115" s="190"/>
      <c r="D115" s="198" t="s">
        <v>66</v>
      </c>
      <c r="E115" s="226">
        <f>AVERAGE(E108:E113)</f>
        <v>281.20543317018235</v>
      </c>
      <c r="F115" s="199">
        <f>AVERAGE(F108:F113)</f>
        <v>0.93735144390060787</v>
      </c>
    </row>
    <row r="116" spans="1:10" ht="27" customHeight="1" x14ac:dyDescent="0.4">
      <c r="A116" s="71" t="s">
        <v>98</v>
      </c>
      <c r="B116" s="103">
        <f>(B115/B114)*(B113/B112)*(B111/B110)*(B109/B108)*B107</f>
        <v>1000</v>
      </c>
      <c r="C116" s="200"/>
      <c r="D116" s="163" t="s">
        <v>79</v>
      </c>
      <c r="E116" s="201">
        <f>STDEV(E108:E113)/E115</f>
        <v>2.916595521669312E-3</v>
      </c>
      <c r="F116" s="201">
        <f>STDEV(F108:F113)/F115</f>
        <v>2.9165955216693021E-3</v>
      </c>
      <c r="I116" s="45"/>
    </row>
    <row r="117" spans="1:10" ht="27" customHeight="1" x14ac:dyDescent="0.4">
      <c r="A117" s="295" t="s">
        <v>73</v>
      </c>
      <c r="B117" s="296"/>
      <c r="C117" s="202"/>
      <c r="D117" s="203" t="s">
        <v>15</v>
      </c>
      <c r="E117" s="204">
        <f>COUNT(E108:E113)</f>
        <v>6</v>
      </c>
      <c r="F117" s="204">
        <f>COUNT(F108:F113)</f>
        <v>6</v>
      </c>
      <c r="I117" s="45"/>
      <c r="J117" s="183"/>
    </row>
    <row r="118" spans="1:10" ht="19.5" customHeight="1" x14ac:dyDescent="0.3">
      <c r="A118" s="297"/>
      <c r="B118" s="298"/>
      <c r="C118" s="45"/>
      <c r="D118" s="45"/>
      <c r="E118" s="45"/>
      <c r="F118" s="144"/>
      <c r="G118" s="45"/>
      <c r="H118" s="45"/>
      <c r="I118" s="45"/>
    </row>
    <row r="119" spans="1:10" ht="18.75" x14ac:dyDescent="0.3">
      <c r="A119" s="213"/>
      <c r="B119" s="67"/>
      <c r="C119" s="45"/>
      <c r="D119" s="45"/>
      <c r="E119" s="45"/>
      <c r="F119" s="144"/>
      <c r="G119" s="45"/>
      <c r="H119" s="45"/>
      <c r="I119" s="45"/>
    </row>
    <row r="120" spans="1:10" ht="26.25" customHeight="1" x14ac:dyDescent="0.4">
      <c r="A120" s="55" t="s">
        <v>101</v>
      </c>
      <c r="B120" s="151" t="s">
        <v>118</v>
      </c>
      <c r="C120" s="299" t="str">
        <f>B20</f>
        <v>Lamivudine</v>
      </c>
      <c r="D120" s="299"/>
      <c r="E120" s="152" t="s">
        <v>119</v>
      </c>
      <c r="F120" s="152"/>
      <c r="G120" s="153">
        <f>F115</f>
        <v>0.93735144390060787</v>
      </c>
      <c r="H120" s="45"/>
      <c r="I120" s="45"/>
    </row>
    <row r="121" spans="1:10" ht="19.5" customHeight="1" x14ac:dyDescent="0.3">
      <c r="A121" s="205"/>
      <c r="B121" s="205"/>
      <c r="C121" s="206"/>
      <c r="D121" s="206"/>
      <c r="E121" s="206"/>
      <c r="F121" s="206"/>
      <c r="G121" s="206"/>
      <c r="H121" s="206"/>
    </row>
    <row r="122" spans="1:10" ht="18.75" x14ac:dyDescent="0.3">
      <c r="B122" s="300" t="s">
        <v>21</v>
      </c>
      <c r="C122" s="300"/>
      <c r="E122" s="158" t="s">
        <v>22</v>
      </c>
      <c r="F122" s="207"/>
      <c r="G122" s="300" t="s">
        <v>23</v>
      </c>
      <c r="H122" s="300"/>
    </row>
    <row r="123" spans="1:10" ht="69.95" customHeight="1" x14ac:dyDescent="0.3">
      <c r="A123" s="208" t="s">
        <v>24</v>
      </c>
      <c r="B123" s="209"/>
      <c r="C123" s="209"/>
      <c r="E123" s="209"/>
      <c r="F123" s="45"/>
      <c r="G123" s="210"/>
      <c r="H123" s="210"/>
    </row>
    <row r="124" spans="1:10" ht="69.95" customHeight="1" x14ac:dyDescent="0.3">
      <c r="A124" s="208" t="s">
        <v>25</v>
      </c>
      <c r="B124" s="211"/>
      <c r="C124" s="211"/>
      <c r="E124" s="211"/>
      <c r="F124" s="45"/>
      <c r="G124" s="212"/>
      <c r="H124" s="212"/>
    </row>
    <row r="125" spans="1:10" ht="18.75" x14ac:dyDescent="0.3">
      <c r="A125" s="143"/>
      <c r="B125" s="143"/>
      <c r="C125" s="144"/>
      <c r="D125" s="144"/>
      <c r="E125" s="144"/>
      <c r="F125" s="148"/>
      <c r="G125" s="144"/>
      <c r="H125" s="144"/>
      <c r="I125" s="45"/>
    </row>
    <row r="126" spans="1:10" ht="18.75" x14ac:dyDescent="0.3">
      <c r="A126" s="143"/>
      <c r="B126" s="143"/>
      <c r="C126" s="144"/>
      <c r="D126" s="144"/>
      <c r="E126" s="144"/>
      <c r="F126" s="148"/>
      <c r="G126" s="144"/>
      <c r="H126" s="144"/>
      <c r="I126" s="45"/>
    </row>
    <row r="127" spans="1:10" ht="18.75" x14ac:dyDescent="0.3">
      <c r="A127" s="143"/>
      <c r="B127" s="143"/>
      <c r="C127" s="144"/>
      <c r="D127" s="144"/>
      <c r="E127" s="144"/>
      <c r="F127" s="148"/>
      <c r="G127" s="144"/>
      <c r="H127" s="144"/>
      <c r="I127" s="45"/>
    </row>
    <row r="128" spans="1:10" ht="18.75" x14ac:dyDescent="0.3">
      <c r="A128" s="143"/>
      <c r="B128" s="143"/>
      <c r="C128" s="144"/>
      <c r="D128" s="144"/>
      <c r="E128" s="144"/>
      <c r="F128" s="148"/>
      <c r="G128" s="144"/>
      <c r="H128" s="144"/>
      <c r="I128" s="45"/>
    </row>
    <row r="129" spans="1:9" ht="18.75" x14ac:dyDescent="0.3">
      <c r="A129" s="143"/>
      <c r="B129" s="143"/>
      <c r="C129" s="144"/>
      <c r="D129" s="144"/>
      <c r="E129" s="144"/>
      <c r="F129" s="148"/>
      <c r="G129" s="144"/>
      <c r="H129" s="144"/>
      <c r="I129" s="45"/>
    </row>
    <row r="130" spans="1:9" ht="18.75" x14ac:dyDescent="0.3">
      <c r="A130" s="143"/>
      <c r="B130" s="143"/>
      <c r="C130" s="144"/>
      <c r="D130" s="144"/>
      <c r="E130" s="144"/>
      <c r="F130" s="148"/>
      <c r="G130" s="144"/>
      <c r="H130" s="144"/>
      <c r="I130" s="45"/>
    </row>
    <row r="131" spans="1:9" ht="18.75" x14ac:dyDescent="0.3">
      <c r="A131" s="143"/>
      <c r="B131" s="143"/>
      <c r="C131" s="144"/>
      <c r="D131" s="144"/>
      <c r="E131" s="144"/>
      <c r="F131" s="148"/>
      <c r="G131" s="144"/>
      <c r="H131" s="144"/>
      <c r="I131" s="45"/>
    </row>
    <row r="132" spans="1:9" ht="18.75" x14ac:dyDescent="0.3">
      <c r="A132" s="143"/>
      <c r="B132" s="143"/>
      <c r="C132" s="144"/>
      <c r="D132" s="144"/>
      <c r="E132" s="144"/>
      <c r="F132" s="148"/>
      <c r="G132" s="144"/>
      <c r="H132" s="144"/>
      <c r="I132" s="45"/>
    </row>
    <row r="133" spans="1:9" ht="18.75" x14ac:dyDescent="0.3">
      <c r="A133" s="143"/>
      <c r="B133" s="143"/>
      <c r="C133" s="144"/>
      <c r="D133" s="144"/>
      <c r="E133" s="144"/>
      <c r="F133" s="148"/>
      <c r="G133" s="144"/>
      <c r="H133" s="144"/>
      <c r="I133" s="45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31" zoomScale="40" zoomScaleNormal="40" zoomScalePageLayoutView="40" workbookViewId="0">
      <selection activeCell="B58" sqref="B58"/>
    </sheetView>
  </sheetViews>
  <sheetFormatPr defaultColWidth="9.140625" defaultRowHeight="13.5" x14ac:dyDescent="0.25"/>
  <cols>
    <col min="1" max="1" width="55.42578125" style="229" customWidth="1"/>
    <col min="2" max="2" width="33.7109375" style="229" customWidth="1"/>
    <col min="3" max="3" width="42.28515625" style="229" customWidth="1"/>
    <col min="4" max="4" width="30.5703125" style="229" customWidth="1"/>
    <col min="5" max="5" width="39.85546875" style="229" customWidth="1"/>
    <col min="6" max="6" width="30.7109375" style="229" customWidth="1"/>
    <col min="7" max="7" width="39.85546875" style="229" customWidth="1"/>
    <col min="8" max="8" width="30" style="229" customWidth="1"/>
    <col min="9" max="9" width="30.28515625" style="229" hidden="1" customWidth="1"/>
    <col min="10" max="10" width="30.42578125" style="229" customWidth="1"/>
    <col min="11" max="11" width="21.28515625" style="229" customWidth="1"/>
    <col min="12" max="12" width="9.140625" style="229"/>
    <col min="13" max="16384" width="9.140625" style="33"/>
  </cols>
  <sheetData>
    <row r="1" spans="1:9" ht="18.75" customHeight="1" x14ac:dyDescent="0.25">
      <c r="A1" s="293" t="s">
        <v>40</v>
      </c>
      <c r="B1" s="293"/>
      <c r="C1" s="293"/>
      <c r="D1" s="293"/>
      <c r="E1" s="293"/>
      <c r="F1" s="293"/>
      <c r="G1" s="293"/>
      <c r="H1" s="293"/>
      <c r="I1" s="293"/>
    </row>
    <row r="2" spans="1:9" ht="18.75" customHeight="1" x14ac:dyDescent="0.25">
      <c r="A2" s="293"/>
      <c r="B2" s="293"/>
      <c r="C2" s="293"/>
      <c r="D2" s="293"/>
      <c r="E2" s="293"/>
      <c r="F2" s="293"/>
      <c r="G2" s="293"/>
      <c r="H2" s="293"/>
      <c r="I2" s="293"/>
    </row>
    <row r="3" spans="1:9" ht="18.75" customHeight="1" x14ac:dyDescent="0.25">
      <c r="A3" s="293"/>
      <c r="B3" s="293"/>
      <c r="C3" s="293"/>
      <c r="D3" s="293"/>
      <c r="E3" s="293"/>
      <c r="F3" s="293"/>
      <c r="G3" s="293"/>
      <c r="H3" s="293"/>
      <c r="I3" s="293"/>
    </row>
    <row r="4" spans="1:9" ht="18.75" customHeight="1" x14ac:dyDescent="0.25">
      <c r="A4" s="293"/>
      <c r="B4" s="293"/>
      <c r="C4" s="293"/>
      <c r="D4" s="293"/>
      <c r="E4" s="293"/>
      <c r="F4" s="293"/>
      <c r="G4" s="293"/>
      <c r="H4" s="293"/>
      <c r="I4" s="293"/>
    </row>
    <row r="5" spans="1:9" ht="18.75" customHeight="1" x14ac:dyDescent="0.25">
      <c r="A5" s="293"/>
      <c r="B5" s="293"/>
      <c r="C5" s="293"/>
      <c r="D5" s="293"/>
      <c r="E5" s="293"/>
      <c r="F5" s="293"/>
      <c r="G5" s="293"/>
      <c r="H5" s="293"/>
      <c r="I5" s="293"/>
    </row>
    <row r="6" spans="1:9" ht="18.75" customHeight="1" x14ac:dyDescent="0.25">
      <c r="A6" s="293"/>
      <c r="B6" s="293"/>
      <c r="C6" s="293"/>
      <c r="D6" s="293"/>
      <c r="E6" s="293"/>
      <c r="F6" s="293"/>
      <c r="G6" s="293"/>
      <c r="H6" s="293"/>
      <c r="I6" s="293"/>
    </row>
    <row r="7" spans="1:9" ht="18.75" customHeight="1" x14ac:dyDescent="0.25">
      <c r="A7" s="293"/>
      <c r="B7" s="293"/>
      <c r="C7" s="293"/>
      <c r="D7" s="293"/>
      <c r="E7" s="293"/>
      <c r="F7" s="293"/>
      <c r="G7" s="293"/>
      <c r="H7" s="293"/>
      <c r="I7" s="293"/>
    </row>
    <row r="8" spans="1:9" x14ac:dyDescent="0.25">
      <c r="A8" s="294" t="s">
        <v>41</v>
      </c>
      <c r="B8" s="294"/>
      <c r="C8" s="294"/>
      <c r="D8" s="294"/>
      <c r="E8" s="294"/>
      <c r="F8" s="294"/>
      <c r="G8" s="294"/>
      <c r="H8" s="294"/>
      <c r="I8" s="294"/>
    </row>
    <row r="9" spans="1:9" x14ac:dyDescent="0.25">
      <c r="A9" s="294"/>
      <c r="B9" s="294"/>
      <c r="C9" s="294"/>
      <c r="D9" s="294"/>
      <c r="E9" s="294"/>
      <c r="F9" s="294"/>
      <c r="G9" s="294"/>
      <c r="H9" s="294"/>
      <c r="I9" s="294"/>
    </row>
    <row r="10" spans="1:9" x14ac:dyDescent="0.25">
      <c r="A10" s="294"/>
      <c r="B10" s="294"/>
      <c r="C10" s="294"/>
      <c r="D10" s="294"/>
      <c r="E10" s="294"/>
      <c r="F10" s="294"/>
      <c r="G10" s="294"/>
      <c r="H10" s="294"/>
      <c r="I10" s="294"/>
    </row>
    <row r="11" spans="1:9" x14ac:dyDescent="0.25">
      <c r="A11" s="294"/>
      <c r="B11" s="294"/>
      <c r="C11" s="294"/>
      <c r="D11" s="294"/>
      <c r="E11" s="294"/>
      <c r="F11" s="294"/>
      <c r="G11" s="294"/>
      <c r="H11" s="294"/>
      <c r="I11" s="294"/>
    </row>
    <row r="12" spans="1:9" x14ac:dyDescent="0.25">
      <c r="A12" s="294"/>
      <c r="B12" s="294"/>
      <c r="C12" s="294"/>
      <c r="D12" s="294"/>
      <c r="E12" s="294"/>
      <c r="F12" s="294"/>
      <c r="G12" s="294"/>
      <c r="H12" s="294"/>
      <c r="I12" s="294"/>
    </row>
    <row r="13" spans="1:9" x14ac:dyDescent="0.25">
      <c r="A13" s="294"/>
      <c r="B13" s="294"/>
      <c r="C13" s="294"/>
      <c r="D13" s="294"/>
      <c r="E13" s="294"/>
      <c r="F13" s="294"/>
      <c r="G13" s="294"/>
      <c r="H13" s="294"/>
      <c r="I13" s="294"/>
    </row>
    <row r="14" spans="1:9" x14ac:dyDescent="0.25">
      <c r="A14" s="294"/>
      <c r="B14" s="294"/>
      <c r="C14" s="294"/>
      <c r="D14" s="294"/>
      <c r="E14" s="294"/>
      <c r="F14" s="294"/>
      <c r="G14" s="294"/>
      <c r="H14" s="294"/>
      <c r="I14" s="294"/>
    </row>
    <row r="15" spans="1:9" ht="19.5" customHeight="1" thickBot="1" x14ac:dyDescent="0.35">
      <c r="A15" s="152"/>
    </row>
    <row r="16" spans="1:9" ht="19.5" customHeight="1" thickBot="1" x14ac:dyDescent="0.35">
      <c r="A16" s="327" t="s">
        <v>26</v>
      </c>
      <c r="B16" s="328"/>
      <c r="C16" s="328"/>
      <c r="D16" s="328"/>
      <c r="E16" s="328"/>
      <c r="F16" s="328"/>
      <c r="G16" s="328"/>
      <c r="H16" s="329"/>
    </row>
    <row r="17" spans="1:14" ht="20.25" customHeight="1" x14ac:dyDescent="0.25">
      <c r="A17" s="330" t="s">
        <v>42</v>
      </c>
      <c r="B17" s="330"/>
      <c r="C17" s="330"/>
      <c r="D17" s="330"/>
      <c r="E17" s="330"/>
      <c r="F17" s="330"/>
      <c r="G17" s="330"/>
      <c r="H17" s="330"/>
    </row>
    <row r="18" spans="1:14" ht="26.25" customHeight="1" x14ac:dyDescent="0.4">
      <c r="A18" s="47" t="s">
        <v>28</v>
      </c>
      <c r="B18" s="326" t="s">
        <v>123</v>
      </c>
      <c r="C18" s="326"/>
      <c r="D18" s="214"/>
      <c r="E18" s="48"/>
      <c r="F18" s="227"/>
      <c r="G18" s="227"/>
      <c r="H18" s="227"/>
    </row>
    <row r="19" spans="1:14" ht="26.25" customHeight="1" x14ac:dyDescent="0.4">
      <c r="A19" s="47" t="s">
        <v>29</v>
      </c>
      <c r="B19" s="231" t="s">
        <v>124</v>
      </c>
      <c r="C19" s="227">
        <v>29</v>
      </c>
      <c r="D19" s="227"/>
      <c r="E19" s="227"/>
      <c r="F19" s="227"/>
      <c r="G19" s="227"/>
      <c r="H19" s="227"/>
    </row>
    <row r="20" spans="1:14" ht="26.25" customHeight="1" x14ac:dyDescent="0.4">
      <c r="A20" s="47" t="s">
        <v>30</v>
      </c>
      <c r="B20" s="331" t="s">
        <v>122</v>
      </c>
      <c r="C20" s="331"/>
      <c r="D20" s="227"/>
      <c r="E20" s="227"/>
      <c r="F20" s="227"/>
      <c r="G20" s="227"/>
      <c r="H20" s="227"/>
    </row>
    <row r="21" spans="1:14" ht="26.25" customHeight="1" x14ac:dyDescent="0.4">
      <c r="A21" s="47" t="s">
        <v>31</v>
      </c>
      <c r="B21" s="331" t="s">
        <v>132</v>
      </c>
      <c r="C21" s="331"/>
      <c r="D21" s="331"/>
      <c r="E21" s="331"/>
      <c r="F21" s="331"/>
      <c r="G21" s="331"/>
      <c r="H21" s="331"/>
      <c r="I21" s="51"/>
    </row>
    <row r="22" spans="1:14" ht="26.25" customHeight="1" x14ac:dyDescent="0.4">
      <c r="A22" s="47" t="s">
        <v>32</v>
      </c>
      <c r="B22" s="52">
        <v>42552</v>
      </c>
      <c r="C22" s="227"/>
      <c r="D22" s="227"/>
      <c r="E22" s="227"/>
      <c r="F22" s="227"/>
      <c r="G22" s="227"/>
      <c r="H22" s="227"/>
    </row>
    <row r="23" spans="1:14" ht="26.25" customHeight="1" x14ac:dyDescent="0.4">
      <c r="A23" s="47" t="s">
        <v>33</v>
      </c>
      <c r="B23" s="52">
        <v>42556</v>
      </c>
      <c r="C23" s="227"/>
      <c r="D23" s="227"/>
      <c r="E23" s="227"/>
      <c r="F23" s="227"/>
      <c r="G23" s="227"/>
      <c r="H23" s="227"/>
    </row>
    <row r="24" spans="1:14" ht="18.75" x14ac:dyDescent="0.3">
      <c r="A24" s="47"/>
      <c r="B24" s="53"/>
    </row>
    <row r="25" spans="1:14" ht="18.75" x14ac:dyDescent="0.3">
      <c r="A25" s="54" t="s">
        <v>1</v>
      </c>
      <c r="B25" s="53"/>
    </row>
    <row r="26" spans="1:14" ht="26.25" customHeight="1" x14ac:dyDescent="0.4">
      <c r="A26" s="208" t="s">
        <v>4</v>
      </c>
      <c r="B26" s="326" t="s">
        <v>127</v>
      </c>
      <c r="C26" s="326"/>
    </row>
    <row r="27" spans="1:14" ht="26.25" customHeight="1" x14ac:dyDescent="0.4">
      <c r="A27" s="163" t="s">
        <v>43</v>
      </c>
      <c r="B27" s="324" t="s">
        <v>128</v>
      </c>
      <c r="C27" s="324"/>
    </row>
    <row r="28" spans="1:14" ht="27" customHeight="1" thickBot="1" x14ac:dyDescent="0.45">
      <c r="A28" s="163" t="s">
        <v>5</v>
      </c>
      <c r="B28" s="155">
        <v>98.8</v>
      </c>
    </row>
    <row r="29" spans="1:14" s="10" customFormat="1" ht="27" customHeight="1" thickBot="1" x14ac:dyDescent="0.45">
      <c r="A29" s="163" t="s">
        <v>44</v>
      </c>
      <c r="B29" s="58">
        <v>0</v>
      </c>
      <c r="C29" s="301" t="s">
        <v>45</v>
      </c>
      <c r="D29" s="302"/>
      <c r="E29" s="302"/>
      <c r="F29" s="302"/>
      <c r="G29" s="303"/>
      <c r="I29" s="59"/>
      <c r="J29" s="59"/>
      <c r="K29" s="59"/>
      <c r="L29" s="59"/>
    </row>
    <row r="30" spans="1:14" s="10" customFormat="1" ht="19.5" customHeight="1" thickBot="1" x14ac:dyDescent="0.35">
      <c r="A30" s="163" t="s">
        <v>46</v>
      </c>
      <c r="B30" s="234">
        <f>B28-B29</f>
        <v>98.8</v>
      </c>
      <c r="C30" s="61"/>
      <c r="D30" s="61"/>
      <c r="E30" s="61"/>
      <c r="F30" s="61"/>
      <c r="G30" s="62"/>
      <c r="I30" s="59"/>
      <c r="J30" s="59"/>
      <c r="K30" s="59"/>
      <c r="L30" s="59"/>
    </row>
    <row r="31" spans="1:14" s="10" customFormat="1" ht="27" customHeight="1" thickBot="1" x14ac:dyDescent="0.45">
      <c r="A31" s="163" t="s">
        <v>47</v>
      </c>
      <c r="B31" s="63">
        <v>1</v>
      </c>
      <c r="C31" s="304" t="s">
        <v>48</v>
      </c>
      <c r="D31" s="305"/>
      <c r="E31" s="305"/>
      <c r="F31" s="305"/>
      <c r="G31" s="305"/>
      <c r="H31" s="306"/>
      <c r="I31" s="59"/>
      <c r="J31" s="59"/>
      <c r="K31" s="59"/>
      <c r="L31" s="59"/>
    </row>
    <row r="32" spans="1:14" s="10" customFormat="1" ht="27" customHeight="1" thickBot="1" x14ac:dyDescent="0.45">
      <c r="A32" s="163" t="s">
        <v>49</v>
      </c>
      <c r="B32" s="63">
        <v>1</v>
      </c>
      <c r="C32" s="304" t="s">
        <v>50</v>
      </c>
      <c r="D32" s="305"/>
      <c r="E32" s="305"/>
      <c r="F32" s="305"/>
      <c r="G32" s="305"/>
      <c r="H32" s="306"/>
      <c r="I32" s="59"/>
      <c r="J32" s="59"/>
      <c r="K32" s="59"/>
      <c r="L32" s="64"/>
      <c r="M32" s="64"/>
      <c r="N32" s="65"/>
    </row>
    <row r="33" spans="1:14" s="10" customFormat="1" ht="17.25" customHeight="1" x14ac:dyDescent="0.3">
      <c r="A33" s="163"/>
      <c r="B33" s="66"/>
      <c r="C33" s="67"/>
      <c r="D33" s="67"/>
      <c r="E33" s="67"/>
      <c r="F33" s="67"/>
      <c r="G33" s="67"/>
      <c r="H33" s="67"/>
      <c r="I33" s="59"/>
      <c r="J33" s="59"/>
      <c r="K33" s="59"/>
      <c r="L33" s="64"/>
      <c r="M33" s="64"/>
      <c r="N33" s="65"/>
    </row>
    <row r="34" spans="1:14" s="10" customFormat="1" ht="18.75" x14ac:dyDescent="0.3">
      <c r="A34" s="163" t="s">
        <v>51</v>
      </c>
      <c r="B34" s="68">
        <f>B31/B32</f>
        <v>1</v>
      </c>
      <c r="C34" s="152" t="s">
        <v>52</v>
      </c>
      <c r="D34" s="152"/>
      <c r="E34" s="152"/>
      <c r="F34" s="152"/>
      <c r="G34" s="152"/>
      <c r="I34" s="59"/>
      <c r="J34" s="59"/>
      <c r="K34" s="59"/>
      <c r="L34" s="64"/>
      <c r="M34" s="64"/>
      <c r="N34" s="65"/>
    </row>
    <row r="35" spans="1:14" s="10" customFormat="1" ht="19.5" customHeight="1" thickBot="1" x14ac:dyDescent="0.35">
      <c r="A35" s="163"/>
      <c r="B35" s="234"/>
      <c r="G35" s="152"/>
      <c r="I35" s="59"/>
      <c r="J35" s="59"/>
      <c r="K35" s="59"/>
      <c r="L35" s="64"/>
      <c r="M35" s="64"/>
      <c r="N35" s="65"/>
    </row>
    <row r="36" spans="1:14" s="10" customFormat="1" ht="27" customHeight="1" thickBot="1" x14ac:dyDescent="0.45">
      <c r="A36" s="69" t="s">
        <v>53</v>
      </c>
      <c r="B36" s="70">
        <v>25</v>
      </c>
      <c r="C36" s="152"/>
      <c r="D36" s="307" t="s">
        <v>54</v>
      </c>
      <c r="E36" s="325"/>
      <c r="F36" s="307" t="s">
        <v>55</v>
      </c>
      <c r="G36" s="308"/>
      <c r="J36" s="59"/>
      <c r="K36" s="59"/>
      <c r="L36" s="64"/>
      <c r="M36" s="64"/>
      <c r="N36" s="65"/>
    </row>
    <row r="37" spans="1:14" s="10" customFormat="1" ht="27" customHeight="1" thickBot="1" x14ac:dyDescent="0.45">
      <c r="A37" s="71" t="s">
        <v>56</v>
      </c>
      <c r="B37" s="72">
        <v>4</v>
      </c>
      <c r="C37" s="73" t="s">
        <v>57</v>
      </c>
      <c r="D37" s="74" t="s">
        <v>58</v>
      </c>
      <c r="E37" s="75" t="s">
        <v>59</v>
      </c>
      <c r="F37" s="74" t="s">
        <v>58</v>
      </c>
      <c r="G37" s="76" t="s">
        <v>59</v>
      </c>
      <c r="I37" s="77" t="s">
        <v>60</v>
      </c>
      <c r="J37" s="59"/>
      <c r="K37" s="59"/>
      <c r="L37" s="64"/>
      <c r="M37" s="64"/>
      <c r="N37" s="65"/>
    </row>
    <row r="38" spans="1:14" s="10" customFormat="1" ht="26.25" customHeight="1" x14ac:dyDescent="0.4">
      <c r="A38" s="71" t="s">
        <v>61</v>
      </c>
      <c r="B38" s="72">
        <v>50</v>
      </c>
      <c r="C38" s="78">
        <v>1</v>
      </c>
      <c r="D38" s="79">
        <v>25716256</v>
      </c>
      <c r="E38" s="80">
        <f>IF(ISBLANK(D38),"-",$D$48/$D$45*D38)</f>
        <v>35832322.673848294</v>
      </c>
      <c r="F38" s="79">
        <v>28472523</v>
      </c>
      <c r="G38" s="81">
        <f>IF(ISBLANK(F38),"-",$D$48/$F$45*F38)</f>
        <v>36534410.645802371</v>
      </c>
      <c r="I38" s="82"/>
      <c r="J38" s="59"/>
      <c r="K38" s="59"/>
      <c r="L38" s="64"/>
      <c r="M38" s="64"/>
      <c r="N38" s="65"/>
    </row>
    <row r="39" spans="1:14" s="10" customFormat="1" ht="26.25" customHeight="1" x14ac:dyDescent="0.4">
      <c r="A39" s="71" t="s">
        <v>62</v>
      </c>
      <c r="B39" s="72">
        <v>1</v>
      </c>
      <c r="C39" s="103">
        <v>2</v>
      </c>
      <c r="D39" s="84">
        <v>25898186</v>
      </c>
      <c r="E39" s="85">
        <f>IF(ISBLANK(D39),"-",$D$48/$D$45*D39)</f>
        <v>36085818.924004354</v>
      </c>
      <c r="F39" s="84">
        <v>28413301</v>
      </c>
      <c r="G39" s="86">
        <f>IF(ISBLANK(F39),"-",$D$48/$F$45*F39)</f>
        <v>36458420.159561805</v>
      </c>
      <c r="I39" s="309">
        <f>ABS((F43/D43*D42)-F42)/D42</f>
        <v>1.3461165047220246E-2</v>
      </c>
      <c r="J39" s="59"/>
      <c r="K39" s="59"/>
      <c r="L39" s="64"/>
      <c r="M39" s="64"/>
      <c r="N39" s="65"/>
    </row>
    <row r="40" spans="1:14" ht="26.25" customHeight="1" x14ac:dyDescent="0.4">
      <c r="A40" s="71" t="s">
        <v>63</v>
      </c>
      <c r="B40" s="72">
        <v>1</v>
      </c>
      <c r="C40" s="103">
        <v>3</v>
      </c>
      <c r="D40" s="84">
        <v>25953789</v>
      </c>
      <c r="E40" s="85">
        <f>IF(ISBLANK(D40),"-",$D$48/$D$45*D40)</f>
        <v>36163294.612441815</v>
      </c>
      <c r="F40" s="84">
        <v>28389916</v>
      </c>
      <c r="G40" s="86">
        <f>IF(ISBLANK(F40),"-",$D$48/$F$45*F40)</f>
        <v>36428413.784891315</v>
      </c>
      <c r="I40" s="309"/>
      <c r="L40" s="64"/>
      <c r="M40" s="64"/>
      <c r="N40" s="152"/>
    </row>
    <row r="41" spans="1:14" ht="27" customHeight="1" thickBot="1" x14ac:dyDescent="0.45">
      <c r="A41" s="71" t="s">
        <v>64</v>
      </c>
      <c r="B41" s="72">
        <v>1</v>
      </c>
      <c r="C41" s="88">
        <v>4</v>
      </c>
      <c r="D41" s="89"/>
      <c r="E41" s="90" t="str">
        <f>IF(ISBLANK(D41),"-",$D$48/$D$45*D41)</f>
        <v>-</v>
      </c>
      <c r="F41" s="89"/>
      <c r="G41" s="91" t="str">
        <f>IF(ISBLANK(F41),"-",$D$48/$F$45*F41)</f>
        <v>-</v>
      </c>
      <c r="I41" s="92"/>
      <c r="L41" s="64"/>
      <c r="M41" s="64"/>
      <c r="N41" s="152"/>
    </row>
    <row r="42" spans="1:14" ht="27" customHeight="1" thickBot="1" x14ac:dyDescent="0.45">
      <c r="A42" s="71" t="s">
        <v>65</v>
      </c>
      <c r="B42" s="72">
        <v>1</v>
      </c>
      <c r="C42" s="93" t="s">
        <v>66</v>
      </c>
      <c r="D42" s="94">
        <f>AVERAGE(D38:D41)</f>
        <v>25856077</v>
      </c>
      <c r="E42" s="95">
        <f>AVERAGE(E38:E41)</f>
        <v>36027145.403431483</v>
      </c>
      <c r="F42" s="94">
        <f>AVERAGE(F38:F41)</f>
        <v>28425246.666666668</v>
      </c>
      <c r="G42" s="96">
        <f>AVERAGE(G38:G41)</f>
        <v>36473748.196751833</v>
      </c>
      <c r="H42" s="228"/>
    </row>
    <row r="43" spans="1:14" ht="26.25" customHeight="1" x14ac:dyDescent="0.4">
      <c r="A43" s="71" t="s">
        <v>67</v>
      </c>
      <c r="B43" s="72">
        <v>1</v>
      </c>
      <c r="C43" s="98" t="s">
        <v>68</v>
      </c>
      <c r="D43" s="99">
        <v>13.62</v>
      </c>
      <c r="E43" s="152"/>
      <c r="F43" s="99">
        <v>14.79</v>
      </c>
      <c r="H43" s="228"/>
    </row>
    <row r="44" spans="1:14" ht="26.25" customHeight="1" x14ac:dyDescent="0.4">
      <c r="A44" s="71" t="s">
        <v>69</v>
      </c>
      <c r="B44" s="72">
        <v>1</v>
      </c>
      <c r="C44" s="100" t="s">
        <v>70</v>
      </c>
      <c r="D44" s="101">
        <f>D43*$B$34</f>
        <v>13.62</v>
      </c>
      <c r="E44" s="171"/>
      <c r="F44" s="101">
        <f>F43*$B$34</f>
        <v>14.79</v>
      </c>
      <c r="H44" s="228"/>
    </row>
    <row r="45" spans="1:14" ht="19.5" customHeight="1" thickBot="1" x14ac:dyDescent="0.35">
      <c r="A45" s="71" t="s">
        <v>71</v>
      </c>
      <c r="B45" s="103">
        <f>(B44/B43)*(B42/B41)*(B40/B39)*(B38/B37)*B36</f>
        <v>312.5</v>
      </c>
      <c r="C45" s="100" t="s">
        <v>72</v>
      </c>
      <c r="D45" s="104">
        <f>D44*$B$30/100</f>
        <v>13.45656</v>
      </c>
      <c r="E45" s="148"/>
      <c r="F45" s="104">
        <f>F44*$B$30/100</f>
        <v>14.61252</v>
      </c>
      <c r="H45" s="228"/>
    </row>
    <row r="46" spans="1:14" ht="19.5" customHeight="1" thickBot="1" x14ac:dyDescent="0.35">
      <c r="A46" s="295" t="s">
        <v>73</v>
      </c>
      <c r="B46" s="296"/>
      <c r="C46" s="100" t="s">
        <v>74</v>
      </c>
      <c r="D46" s="106">
        <f>D45/$B$45</f>
        <v>4.3060991999999999E-2</v>
      </c>
      <c r="E46" s="107"/>
      <c r="F46" s="108">
        <f>F45/$B$45</f>
        <v>4.6760063999999997E-2</v>
      </c>
      <c r="H46" s="228"/>
    </row>
    <row r="47" spans="1:14" ht="27" customHeight="1" thickBot="1" x14ac:dyDescent="0.45">
      <c r="A47" s="297"/>
      <c r="B47" s="298"/>
      <c r="C47" s="109" t="s">
        <v>75</v>
      </c>
      <c r="D47" s="110">
        <v>0.06</v>
      </c>
      <c r="E47" s="111"/>
      <c r="F47" s="107"/>
      <c r="H47" s="228"/>
    </row>
    <row r="48" spans="1:14" ht="18.75" x14ac:dyDescent="0.3">
      <c r="C48" s="112" t="s">
        <v>76</v>
      </c>
      <c r="D48" s="104">
        <f>D47*$B$45</f>
        <v>18.75</v>
      </c>
      <c r="F48" s="113"/>
      <c r="H48" s="228"/>
    </row>
    <row r="49" spans="1:12" ht="19.5" customHeight="1" thickBot="1" x14ac:dyDescent="0.35">
      <c r="C49" s="114" t="s">
        <v>77</v>
      </c>
      <c r="D49" s="115">
        <f>D48/B34</f>
        <v>18.75</v>
      </c>
      <c r="F49" s="113"/>
      <c r="H49" s="228"/>
    </row>
    <row r="50" spans="1:12" ht="18.75" x14ac:dyDescent="0.3">
      <c r="C50" s="69" t="s">
        <v>78</v>
      </c>
      <c r="D50" s="116">
        <f>AVERAGE(E38:E41,G38:G41)</f>
        <v>36250446.800091662</v>
      </c>
      <c r="F50" s="117"/>
      <c r="H50" s="228"/>
    </row>
    <row r="51" spans="1:12" ht="18.75" x14ac:dyDescent="0.3">
      <c r="C51" s="71" t="s">
        <v>79</v>
      </c>
      <c r="D51" s="118">
        <f>STDEV(E38:E41,G38:G41)/D50</f>
        <v>7.4541714429962238E-3</v>
      </c>
      <c r="F51" s="117"/>
      <c r="H51" s="228"/>
    </row>
    <row r="52" spans="1:12" ht="19.5" customHeight="1" thickBot="1" x14ac:dyDescent="0.35">
      <c r="C52" s="119" t="s">
        <v>15</v>
      </c>
      <c r="D52" s="120">
        <f>COUNT(E38:E41,G38:G41)</f>
        <v>6</v>
      </c>
      <c r="F52" s="117"/>
    </row>
    <row r="54" spans="1:12" ht="18.75" x14ac:dyDescent="0.3">
      <c r="A54" s="121" t="s">
        <v>1</v>
      </c>
      <c r="B54" s="122" t="s">
        <v>80</v>
      </c>
    </row>
    <row r="55" spans="1:12" ht="18.75" x14ac:dyDescent="0.3">
      <c r="A55" s="152" t="s">
        <v>81</v>
      </c>
      <c r="B55" s="124" t="str">
        <f>B21</f>
        <v>Tenofovir DF 300mg</v>
      </c>
    </row>
    <row r="56" spans="1:12" ht="26.25" customHeight="1" x14ac:dyDescent="0.4">
      <c r="A56" s="124" t="s">
        <v>82</v>
      </c>
      <c r="B56" s="125">
        <v>300</v>
      </c>
      <c r="C56" s="152" t="str">
        <f>B20</f>
        <v>Tenofovir DF</v>
      </c>
      <c r="H56" s="171"/>
    </row>
    <row r="57" spans="1:12" ht="18.75" x14ac:dyDescent="0.3">
      <c r="A57" s="124" t="s">
        <v>83</v>
      </c>
      <c r="B57" s="215">
        <f>'Uniformity (2)'!C46</f>
        <v>1899.9134999999999</v>
      </c>
      <c r="H57" s="171"/>
    </row>
    <row r="58" spans="1:12" ht="19.5" customHeight="1" thickBot="1" x14ac:dyDescent="0.35">
      <c r="H58" s="171"/>
    </row>
    <row r="59" spans="1:12" s="10" customFormat="1" ht="27" customHeight="1" thickBot="1" x14ac:dyDescent="0.45">
      <c r="A59" s="69" t="s">
        <v>84</v>
      </c>
      <c r="B59" s="70">
        <v>100</v>
      </c>
      <c r="C59" s="152"/>
      <c r="D59" s="127" t="s">
        <v>85</v>
      </c>
      <c r="E59" s="128" t="s">
        <v>57</v>
      </c>
      <c r="F59" s="128" t="s">
        <v>58</v>
      </c>
      <c r="G59" s="128" t="s">
        <v>86</v>
      </c>
      <c r="H59" s="73" t="s">
        <v>87</v>
      </c>
      <c r="L59" s="59"/>
    </row>
    <row r="60" spans="1:12" s="10" customFormat="1" ht="26.25" customHeight="1" x14ac:dyDescent="0.4">
      <c r="A60" s="71" t="s">
        <v>88</v>
      </c>
      <c r="B60" s="72">
        <v>5</v>
      </c>
      <c r="C60" s="312" t="s">
        <v>89</v>
      </c>
      <c r="D60" s="315">
        <v>1867.02</v>
      </c>
      <c r="E60" s="129">
        <v>1</v>
      </c>
      <c r="F60" s="130">
        <v>28605340</v>
      </c>
      <c r="G60" s="216">
        <f>IF(ISBLANK(F60),"-",(F60/$D$50*$D$47*$B$68)*($B$57/$D$60))</f>
        <v>240.90169929529628</v>
      </c>
      <c r="H60" s="131">
        <f t="shared" ref="H60:H71" si="0">IF(ISBLANK(F60),"-",G60/$B$56)</f>
        <v>0.8030056643176543</v>
      </c>
      <c r="L60" s="59"/>
    </row>
    <row r="61" spans="1:12" s="10" customFormat="1" ht="26.25" customHeight="1" x14ac:dyDescent="0.4">
      <c r="A61" s="71" t="s">
        <v>90</v>
      </c>
      <c r="B61" s="72">
        <v>50</v>
      </c>
      <c r="C61" s="313"/>
      <c r="D61" s="316"/>
      <c r="E61" s="132">
        <v>2</v>
      </c>
      <c r="F61" s="84">
        <v>28988785</v>
      </c>
      <c r="G61" s="217">
        <f>IF(ISBLANK(F61),"-",(F61/$D$50*$D$47*$B$68)*($B$57/$D$60))</f>
        <v>244.13090587302912</v>
      </c>
      <c r="H61" s="133">
        <f t="shared" si="0"/>
        <v>0.81376968624343038</v>
      </c>
      <c r="L61" s="59"/>
    </row>
    <row r="62" spans="1:12" s="10" customFormat="1" ht="26.25" customHeight="1" x14ac:dyDescent="0.4">
      <c r="A62" s="71" t="s">
        <v>91</v>
      </c>
      <c r="B62" s="72">
        <v>10</v>
      </c>
      <c r="C62" s="313"/>
      <c r="D62" s="316"/>
      <c r="E62" s="132">
        <v>3</v>
      </c>
      <c r="F62" s="134">
        <v>29132899</v>
      </c>
      <c r="G62" s="217">
        <f>IF(ISBLANK(F62),"-",(F62/$D$50*$D$47*$B$68)*($B$57/$D$60))</f>
        <v>245.34457113595707</v>
      </c>
      <c r="H62" s="133">
        <f t="shared" si="0"/>
        <v>0.81781523711985693</v>
      </c>
      <c r="L62" s="59"/>
    </row>
    <row r="63" spans="1:12" ht="27" customHeight="1" thickBot="1" x14ac:dyDescent="0.45">
      <c r="A63" s="71" t="s">
        <v>92</v>
      </c>
      <c r="B63" s="72">
        <v>50</v>
      </c>
      <c r="C63" s="323"/>
      <c r="D63" s="317"/>
      <c r="E63" s="135">
        <v>4</v>
      </c>
      <c r="F63" s="136"/>
      <c r="G63" s="217" t="str">
        <f>IF(ISBLANK(F63),"-",(F63/$D$50*$D$47*$B$68)*($B$57/$D$60))</f>
        <v>-</v>
      </c>
      <c r="H63" s="133" t="str">
        <f t="shared" si="0"/>
        <v>-</v>
      </c>
    </row>
    <row r="64" spans="1:12" ht="26.25" customHeight="1" x14ac:dyDescent="0.4">
      <c r="A64" s="71" t="s">
        <v>93</v>
      </c>
      <c r="B64" s="72">
        <v>1</v>
      </c>
      <c r="C64" s="312" t="s">
        <v>94</v>
      </c>
      <c r="D64" s="315">
        <v>1926.65</v>
      </c>
      <c r="E64" s="129">
        <v>1</v>
      </c>
      <c r="F64" s="130"/>
      <c r="G64" s="218" t="str">
        <f>IF(ISBLANK(F64),"-",(F64/$D$50*$D$47*$B$68)*($B$57/$D$64))</f>
        <v>-</v>
      </c>
      <c r="H64" s="137" t="str">
        <f t="shared" si="0"/>
        <v>-</v>
      </c>
    </row>
    <row r="65" spans="1:8" ht="26.25" customHeight="1" x14ac:dyDescent="0.4">
      <c r="A65" s="71" t="s">
        <v>95</v>
      </c>
      <c r="B65" s="72">
        <v>1</v>
      </c>
      <c r="C65" s="313"/>
      <c r="D65" s="316"/>
      <c r="E65" s="132">
        <v>2</v>
      </c>
      <c r="F65" s="84"/>
      <c r="G65" s="219" t="str">
        <f>IF(ISBLANK(F65),"-",(F65/$D$50*$D$47*$B$68)*($B$57/$D$64))</f>
        <v>-</v>
      </c>
      <c r="H65" s="138" t="str">
        <f t="shared" si="0"/>
        <v>-</v>
      </c>
    </row>
    <row r="66" spans="1:8" ht="26.25" customHeight="1" x14ac:dyDescent="0.4">
      <c r="A66" s="71" t="s">
        <v>96</v>
      </c>
      <c r="B66" s="72">
        <v>1</v>
      </c>
      <c r="C66" s="313"/>
      <c r="D66" s="316"/>
      <c r="E66" s="132">
        <v>3</v>
      </c>
      <c r="F66" s="84"/>
      <c r="G66" s="219" t="str">
        <f>IF(ISBLANK(F66),"-",(F66/$D$50*$D$47*$B$68)*($B$57/$D$64))</f>
        <v>-</v>
      </c>
      <c r="H66" s="138" t="str">
        <f t="shared" si="0"/>
        <v>-</v>
      </c>
    </row>
    <row r="67" spans="1:8" ht="27" customHeight="1" thickBot="1" x14ac:dyDescent="0.45">
      <c r="A67" s="71" t="s">
        <v>97</v>
      </c>
      <c r="B67" s="72">
        <v>1</v>
      </c>
      <c r="C67" s="323"/>
      <c r="D67" s="317"/>
      <c r="E67" s="135">
        <v>4</v>
      </c>
      <c r="F67" s="136"/>
      <c r="G67" s="220" t="str">
        <f>IF(ISBLANK(F67),"-",(F67/$D$50*$D$47*$B$68)*($B$57/$D$64))</f>
        <v>-</v>
      </c>
      <c r="H67" s="139" t="str">
        <f t="shared" si="0"/>
        <v>-</v>
      </c>
    </row>
    <row r="68" spans="1:8" ht="26.25" customHeight="1" x14ac:dyDescent="0.4">
      <c r="A68" s="71" t="s">
        <v>98</v>
      </c>
      <c r="B68" s="140">
        <f>(B67/B66)*(B65/B64)*(B63/B62)*(B61/B60)*B59</f>
        <v>5000</v>
      </c>
      <c r="C68" s="312" t="s">
        <v>99</v>
      </c>
      <c r="D68" s="315">
        <v>1875.43</v>
      </c>
      <c r="E68" s="129">
        <v>1</v>
      </c>
      <c r="F68" s="130">
        <v>29096883</v>
      </c>
      <c r="G68" s="218">
        <f>IF(ISBLANK(F68),"-",(F68/$D$50*$D$47*$B$68)*($B$57/$D$68))</f>
        <v>243.94242035842987</v>
      </c>
      <c r="H68" s="133">
        <f t="shared" si="0"/>
        <v>0.81314140119476619</v>
      </c>
    </row>
    <row r="69" spans="1:8" ht="27" customHeight="1" thickBot="1" x14ac:dyDescent="0.45">
      <c r="A69" s="119" t="s">
        <v>100</v>
      </c>
      <c r="B69" s="141">
        <f>(D47*B68)/B56*B57</f>
        <v>1899.9134999999999</v>
      </c>
      <c r="C69" s="313"/>
      <c r="D69" s="316"/>
      <c r="E69" s="132">
        <v>2</v>
      </c>
      <c r="F69" s="84">
        <v>28790966</v>
      </c>
      <c r="G69" s="219">
        <f>IF(ISBLANK(F69),"-",(F69/$D$50*$D$47*$B$68)*($B$57/$D$68))</f>
        <v>241.37767370124359</v>
      </c>
      <c r="H69" s="133">
        <f t="shared" si="0"/>
        <v>0.804592245670812</v>
      </c>
    </row>
    <row r="70" spans="1:8" ht="26.25" customHeight="1" x14ac:dyDescent="0.4">
      <c r="A70" s="318" t="s">
        <v>73</v>
      </c>
      <c r="B70" s="319"/>
      <c r="C70" s="313"/>
      <c r="D70" s="316"/>
      <c r="E70" s="132">
        <v>3</v>
      </c>
      <c r="F70" s="84">
        <v>28894741</v>
      </c>
      <c r="G70" s="219">
        <f>IF(ISBLANK(F70),"-",(F70/$D$50*$D$47*$B$68)*($B$57/$D$68))</f>
        <v>242.24770244874537</v>
      </c>
      <c r="H70" s="133">
        <f t="shared" si="0"/>
        <v>0.80749234149581794</v>
      </c>
    </row>
    <row r="71" spans="1:8" ht="27" customHeight="1" thickBot="1" x14ac:dyDescent="0.45">
      <c r="A71" s="320"/>
      <c r="B71" s="321"/>
      <c r="C71" s="314"/>
      <c r="D71" s="317"/>
      <c r="E71" s="135">
        <v>4</v>
      </c>
      <c r="F71" s="136"/>
      <c r="G71" s="220" t="str">
        <f>IF(ISBLANK(F71),"-",(F71/$D$50*$D$47*$B$68)*($B$57/$D$68))</f>
        <v>-</v>
      </c>
      <c r="H71" s="142" t="str">
        <f t="shared" si="0"/>
        <v>-</v>
      </c>
    </row>
    <row r="72" spans="1:8" ht="26.25" customHeight="1" x14ac:dyDescent="0.4">
      <c r="A72" s="171"/>
      <c r="B72" s="171"/>
      <c r="C72" s="171"/>
      <c r="D72" s="171"/>
      <c r="E72" s="171"/>
      <c r="F72" s="145" t="s">
        <v>66</v>
      </c>
      <c r="G72" s="225">
        <f>AVERAGE(G60:G71)</f>
        <v>242.99082880211691</v>
      </c>
      <c r="H72" s="146">
        <f>AVERAGE(H60:H71)</f>
        <v>0.80996942934038962</v>
      </c>
    </row>
    <row r="73" spans="1:8" ht="26.25" customHeight="1" x14ac:dyDescent="0.4">
      <c r="C73" s="171"/>
      <c r="D73" s="171"/>
      <c r="E73" s="171"/>
      <c r="F73" s="147" t="s">
        <v>79</v>
      </c>
      <c r="G73" s="221">
        <f>STDEV(G60:G71)/G72</f>
        <v>7.190591330038275E-3</v>
      </c>
      <c r="H73" s="221">
        <f>STDEV(H60:H71)/H72</f>
        <v>7.1905913300382611E-3</v>
      </c>
    </row>
    <row r="74" spans="1:8" ht="27" customHeight="1" thickBot="1" x14ac:dyDescent="0.45">
      <c r="A74" s="171"/>
      <c r="B74" s="171"/>
      <c r="C74" s="171"/>
      <c r="D74" s="171"/>
      <c r="E74" s="148"/>
      <c r="F74" s="149" t="s">
        <v>15</v>
      </c>
      <c r="G74" s="150">
        <f>COUNT(G60:G71)</f>
        <v>6</v>
      </c>
      <c r="H74" s="150">
        <f>COUNT(H60:H71)</f>
        <v>6</v>
      </c>
    </row>
    <row r="76" spans="1:8" ht="26.25" customHeight="1" x14ac:dyDescent="0.4">
      <c r="A76" s="208" t="s">
        <v>101</v>
      </c>
      <c r="B76" s="163" t="s">
        <v>102</v>
      </c>
      <c r="C76" s="299" t="str">
        <f>B20</f>
        <v>Tenofovir DF</v>
      </c>
      <c r="D76" s="299"/>
      <c r="E76" s="152" t="s">
        <v>103</v>
      </c>
      <c r="F76" s="152"/>
      <c r="G76" s="153">
        <f>H72</f>
        <v>0.80996942934038962</v>
      </c>
      <c r="H76" s="234"/>
    </row>
    <row r="77" spans="1:8" ht="18.75" x14ac:dyDescent="0.3">
      <c r="A77" s="54" t="s">
        <v>104</v>
      </c>
      <c r="B77" s="54" t="s">
        <v>105</v>
      </c>
    </row>
    <row r="78" spans="1:8" ht="18.75" x14ac:dyDescent="0.3">
      <c r="A78" s="54"/>
      <c r="B78" s="54"/>
    </row>
    <row r="79" spans="1:8" ht="26.25" customHeight="1" x14ac:dyDescent="0.4">
      <c r="A79" s="208" t="s">
        <v>4</v>
      </c>
      <c r="B79" s="322" t="str">
        <f>B26</f>
        <v>Tenofovir Df</v>
      </c>
      <c r="C79" s="322"/>
    </row>
    <row r="80" spans="1:8" ht="26.25" customHeight="1" x14ac:dyDescent="0.4">
      <c r="A80" s="163" t="s">
        <v>43</v>
      </c>
      <c r="B80" s="322" t="str">
        <f>B27</f>
        <v>T11 8</v>
      </c>
      <c r="C80" s="322"/>
    </row>
    <row r="81" spans="1:12" ht="27" customHeight="1" thickBot="1" x14ac:dyDescent="0.45">
      <c r="A81" s="163" t="s">
        <v>5</v>
      </c>
      <c r="B81" s="155">
        <f>B28</f>
        <v>98.8</v>
      </c>
    </row>
    <row r="82" spans="1:12" s="10" customFormat="1" ht="27" customHeight="1" thickBot="1" x14ac:dyDescent="0.45">
      <c r="A82" s="163" t="s">
        <v>44</v>
      </c>
      <c r="B82" s="58">
        <v>0</v>
      </c>
      <c r="C82" s="301" t="s">
        <v>45</v>
      </c>
      <c r="D82" s="302"/>
      <c r="E82" s="302"/>
      <c r="F82" s="302"/>
      <c r="G82" s="303"/>
      <c r="I82" s="59"/>
      <c r="J82" s="59"/>
      <c r="K82" s="59"/>
      <c r="L82" s="59"/>
    </row>
    <row r="83" spans="1:12" s="10" customFormat="1" ht="19.5" customHeight="1" thickBot="1" x14ac:dyDescent="0.35">
      <c r="A83" s="163" t="s">
        <v>46</v>
      </c>
      <c r="B83" s="234">
        <f>B81-B82</f>
        <v>98.8</v>
      </c>
      <c r="C83" s="61"/>
      <c r="D83" s="61"/>
      <c r="E83" s="61"/>
      <c r="F83" s="61"/>
      <c r="G83" s="62"/>
      <c r="I83" s="59"/>
      <c r="J83" s="59"/>
      <c r="K83" s="59"/>
      <c r="L83" s="59"/>
    </row>
    <row r="84" spans="1:12" s="10" customFormat="1" ht="27" customHeight="1" thickBot="1" x14ac:dyDescent="0.45">
      <c r="A84" s="163" t="s">
        <v>47</v>
      </c>
      <c r="B84" s="63">
        <v>1</v>
      </c>
      <c r="C84" s="304" t="s">
        <v>106</v>
      </c>
      <c r="D84" s="305"/>
      <c r="E84" s="305"/>
      <c r="F84" s="305"/>
      <c r="G84" s="305"/>
      <c r="H84" s="306"/>
      <c r="I84" s="59"/>
      <c r="J84" s="59"/>
      <c r="K84" s="59"/>
      <c r="L84" s="59"/>
    </row>
    <row r="85" spans="1:12" s="10" customFormat="1" ht="27" customHeight="1" thickBot="1" x14ac:dyDescent="0.45">
      <c r="A85" s="163" t="s">
        <v>49</v>
      </c>
      <c r="B85" s="63">
        <v>1</v>
      </c>
      <c r="C85" s="304" t="s">
        <v>107</v>
      </c>
      <c r="D85" s="305"/>
      <c r="E85" s="305"/>
      <c r="F85" s="305"/>
      <c r="G85" s="305"/>
      <c r="H85" s="306"/>
      <c r="I85" s="59"/>
      <c r="J85" s="59"/>
      <c r="K85" s="59"/>
      <c r="L85" s="59"/>
    </row>
    <row r="86" spans="1:12" s="10" customFormat="1" ht="18.75" x14ac:dyDescent="0.3">
      <c r="A86" s="163"/>
      <c r="B86" s="66"/>
      <c r="C86" s="67"/>
      <c r="D86" s="67"/>
      <c r="E86" s="67"/>
      <c r="F86" s="67"/>
      <c r="G86" s="67"/>
      <c r="H86" s="67"/>
      <c r="I86" s="59"/>
      <c r="J86" s="59"/>
      <c r="K86" s="59"/>
      <c r="L86" s="59"/>
    </row>
    <row r="87" spans="1:12" s="10" customFormat="1" ht="18.75" x14ac:dyDescent="0.3">
      <c r="A87" s="163" t="s">
        <v>51</v>
      </c>
      <c r="B87" s="68">
        <f>B84/B85</f>
        <v>1</v>
      </c>
      <c r="C87" s="152" t="s">
        <v>52</v>
      </c>
      <c r="D87" s="152"/>
      <c r="E87" s="152"/>
      <c r="F87" s="152"/>
      <c r="G87" s="152"/>
      <c r="I87" s="59"/>
      <c r="J87" s="59"/>
      <c r="K87" s="59"/>
      <c r="L87" s="59"/>
    </row>
    <row r="88" spans="1:12" ht="19.5" customHeight="1" thickBot="1" x14ac:dyDescent="0.35">
      <c r="A88" s="54"/>
      <c r="B88" s="54"/>
    </row>
    <row r="89" spans="1:12" ht="27" customHeight="1" thickBot="1" x14ac:dyDescent="0.45">
      <c r="A89" s="69" t="s">
        <v>53</v>
      </c>
      <c r="B89" s="70">
        <v>25</v>
      </c>
      <c r="D89" s="232" t="s">
        <v>54</v>
      </c>
      <c r="E89" s="233"/>
      <c r="F89" s="307" t="s">
        <v>55</v>
      </c>
      <c r="G89" s="308"/>
    </row>
    <row r="90" spans="1:12" ht="27" customHeight="1" thickBot="1" x14ac:dyDescent="0.45">
      <c r="A90" s="71" t="s">
        <v>56</v>
      </c>
      <c r="B90" s="72">
        <v>3</v>
      </c>
      <c r="C90" s="235" t="s">
        <v>57</v>
      </c>
      <c r="D90" s="74" t="s">
        <v>58</v>
      </c>
      <c r="E90" s="75" t="s">
        <v>59</v>
      </c>
      <c r="F90" s="74" t="s">
        <v>58</v>
      </c>
      <c r="G90" s="159" t="s">
        <v>59</v>
      </c>
      <c r="I90" s="77" t="s">
        <v>60</v>
      </c>
    </row>
    <row r="91" spans="1:12" ht="26.25" customHeight="1" x14ac:dyDescent="0.4">
      <c r="A91" s="71" t="s">
        <v>61</v>
      </c>
      <c r="B91" s="72">
        <v>10</v>
      </c>
      <c r="C91" s="160">
        <v>1</v>
      </c>
      <c r="D91" s="79">
        <v>50137685</v>
      </c>
      <c r="E91" s="80">
        <f>IF(ISBLANK(D91),"-",$D$101/$D$98*D91)</f>
        <v>47391338.00601618</v>
      </c>
      <c r="F91" s="79">
        <v>55329287</v>
      </c>
      <c r="G91" s="81">
        <f>IF(ISBLANK(F91),"-",$D$101/$F$98*F91)</f>
        <v>48849705.714915358</v>
      </c>
      <c r="I91" s="82"/>
    </row>
    <row r="92" spans="1:12" ht="26.25" customHeight="1" x14ac:dyDescent="0.4">
      <c r="A92" s="71" t="s">
        <v>62</v>
      </c>
      <c r="B92" s="72">
        <v>1</v>
      </c>
      <c r="C92" s="171">
        <v>2</v>
      </c>
      <c r="D92" s="84">
        <v>50182110</v>
      </c>
      <c r="E92" s="85">
        <f>IF(ISBLANK(D92),"-",$D$101/$D$98*D92)</f>
        <v>47433329.57764373</v>
      </c>
      <c r="F92" s="84">
        <v>55279300</v>
      </c>
      <c r="G92" s="86">
        <f>IF(ISBLANK(F92),"-",$D$101/$F$98*F92)</f>
        <v>48805572.664012827</v>
      </c>
      <c r="I92" s="309">
        <f>ABS((F96/D96*D95)-F95)/D95</f>
        <v>3.1010433841636938E-2</v>
      </c>
    </row>
    <row r="93" spans="1:12" ht="26.25" customHeight="1" x14ac:dyDescent="0.4">
      <c r="A93" s="71" t="s">
        <v>63</v>
      </c>
      <c r="B93" s="72">
        <v>1</v>
      </c>
      <c r="C93" s="171">
        <v>3</v>
      </c>
      <c r="D93" s="84">
        <v>50197497</v>
      </c>
      <c r="E93" s="85">
        <f>IF(ISBLANK(D93),"-",$D$101/$D$98*D93)</f>
        <v>47447873.737748027</v>
      </c>
      <c r="F93" s="84">
        <v>55203046</v>
      </c>
      <c r="G93" s="86">
        <f>IF(ISBLANK(F93),"-",$D$101/$F$98*F93)</f>
        <v>48738248.726518653</v>
      </c>
      <c r="I93" s="309"/>
    </row>
    <row r="94" spans="1:12" ht="27" customHeight="1" thickBot="1" x14ac:dyDescent="0.45">
      <c r="A94" s="71" t="s">
        <v>64</v>
      </c>
      <c r="B94" s="72">
        <v>1</v>
      </c>
      <c r="C94" s="161">
        <v>4</v>
      </c>
      <c r="D94" s="89"/>
      <c r="E94" s="90" t="str">
        <f>IF(ISBLANK(D94),"-",$D$101/$D$98*D94)</f>
        <v>-</v>
      </c>
      <c r="F94" s="162"/>
      <c r="G94" s="91" t="str">
        <f>IF(ISBLANK(F94),"-",$D$101/$F$98*F94)</f>
        <v>-</v>
      </c>
      <c r="I94" s="92"/>
    </row>
    <row r="95" spans="1:12" ht="27" customHeight="1" thickBot="1" x14ac:dyDescent="0.45">
      <c r="A95" s="71" t="s">
        <v>65</v>
      </c>
      <c r="B95" s="72">
        <v>1</v>
      </c>
      <c r="C95" s="163" t="s">
        <v>66</v>
      </c>
      <c r="D95" s="164">
        <f>AVERAGE(D91:D94)</f>
        <v>50172430.666666664</v>
      </c>
      <c r="E95" s="95">
        <f>AVERAGE(E91:E94)</f>
        <v>47424180.440469317</v>
      </c>
      <c r="F95" s="165">
        <f>AVERAGE(F91:F94)</f>
        <v>55270544.333333336</v>
      </c>
      <c r="G95" s="166">
        <f>AVERAGE(G91:G94)</f>
        <v>48797842.368482284</v>
      </c>
    </row>
    <row r="96" spans="1:12" ht="26.25" customHeight="1" x14ac:dyDescent="0.4">
      <c r="A96" s="71" t="s">
        <v>67</v>
      </c>
      <c r="B96" s="155">
        <v>1</v>
      </c>
      <c r="C96" s="167" t="s">
        <v>108</v>
      </c>
      <c r="D96" s="168">
        <v>26.77</v>
      </c>
      <c r="E96" s="152"/>
      <c r="F96" s="99">
        <v>28.66</v>
      </c>
    </row>
    <row r="97" spans="1:10" ht="26.25" customHeight="1" x14ac:dyDescent="0.4">
      <c r="A97" s="71" t="s">
        <v>69</v>
      </c>
      <c r="B97" s="155">
        <v>1</v>
      </c>
      <c r="C97" s="169" t="s">
        <v>109</v>
      </c>
      <c r="D97" s="170">
        <f>D96*$B$87</f>
        <v>26.77</v>
      </c>
      <c r="E97" s="171"/>
      <c r="F97" s="101">
        <f>F96*$B$87</f>
        <v>28.66</v>
      </c>
    </row>
    <row r="98" spans="1:10" ht="19.5" customHeight="1" thickBot="1" x14ac:dyDescent="0.35">
      <c r="A98" s="71" t="s">
        <v>71</v>
      </c>
      <c r="B98" s="171">
        <f>(B97/B96)*(B95/B94)*(B93/B92)*(B91/B90)*B89</f>
        <v>83.333333333333343</v>
      </c>
      <c r="C98" s="169" t="s">
        <v>110</v>
      </c>
      <c r="D98" s="172">
        <f>D97*$B$83/100</f>
        <v>26.448759999999996</v>
      </c>
      <c r="E98" s="148"/>
      <c r="F98" s="104">
        <f>F97*$B$83/100</f>
        <v>28.316079999999996</v>
      </c>
    </row>
    <row r="99" spans="1:10" ht="19.5" customHeight="1" thickBot="1" x14ac:dyDescent="0.35">
      <c r="A99" s="295" t="s">
        <v>73</v>
      </c>
      <c r="B99" s="310"/>
      <c r="C99" s="169" t="s">
        <v>111</v>
      </c>
      <c r="D99" s="173">
        <f>D98/$B$98</f>
        <v>0.31738511999999991</v>
      </c>
      <c r="E99" s="148"/>
      <c r="F99" s="108">
        <f>F98/$B$98</f>
        <v>0.33979295999999992</v>
      </c>
      <c r="H99" s="228"/>
    </row>
    <row r="100" spans="1:10" ht="19.5" customHeight="1" thickBot="1" x14ac:dyDescent="0.35">
      <c r="A100" s="297"/>
      <c r="B100" s="311"/>
      <c r="C100" s="169" t="s">
        <v>75</v>
      </c>
      <c r="D100" s="175">
        <f>$B$56/$B$116</f>
        <v>0.3</v>
      </c>
      <c r="F100" s="113"/>
      <c r="G100" s="182"/>
      <c r="H100" s="228"/>
    </row>
    <row r="101" spans="1:10" ht="18.75" x14ac:dyDescent="0.3">
      <c r="C101" s="169" t="s">
        <v>76</v>
      </c>
      <c r="D101" s="170">
        <f>D100*$B$98</f>
        <v>25.000000000000004</v>
      </c>
      <c r="F101" s="113"/>
      <c r="H101" s="228"/>
    </row>
    <row r="102" spans="1:10" ht="19.5" customHeight="1" thickBot="1" x14ac:dyDescent="0.35">
      <c r="C102" s="177" t="s">
        <v>77</v>
      </c>
      <c r="D102" s="178">
        <f>D101/B34</f>
        <v>25.000000000000004</v>
      </c>
      <c r="F102" s="117"/>
      <c r="H102" s="228"/>
      <c r="J102" s="179"/>
    </row>
    <row r="103" spans="1:10" ht="18.75" x14ac:dyDescent="0.3">
      <c r="C103" s="180" t="s">
        <v>112</v>
      </c>
      <c r="D103" s="181">
        <f>AVERAGE(E91:E94,G91:G94)</f>
        <v>48111011.404475801</v>
      </c>
      <c r="F103" s="117"/>
      <c r="G103" s="182"/>
      <c r="H103" s="228"/>
      <c r="J103" s="183"/>
    </row>
    <row r="104" spans="1:10" ht="18.75" x14ac:dyDescent="0.3">
      <c r="C104" s="147" t="s">
        <v>79</v>
      </c>
      <c r="D104" s="184">
        <f>STDEV(E91:E94,G91:G94)/D103</f>
        <v>1.5660685797779277E-2</v>
      </c>
      <c r="F104" s="117"/>
      <c r="H104" s="228"/>
      <c r="J104" s="183"/>
    </row>
    <row r="105" spans="1:10" ht="19.5" customHeight="1" thickBot="1" x14ac:dyDescent="0.35">
      <c r="C105" s="149" t="s">
        <v>15</v>
      </c>
      <c r="D105" s="185">
        <f>COUNT(E91:E94,G91:G94)</f>
        <v>6</v>
      </c>
      <c r="F105" s="117"/>
      <c r="H105" s="228"/>
      <c r="J105" s="183"/>
    </row>
    <row r="106" spans="1:10" ht="19.5" customHeight="1" thickBot="1" x14ac:dyDescent="0.35">
      <c r="A106" s="121"/>
      <c r="B106" s="121"/>
      <c r="C106" s="121"/>
      <c r="D106" s="121"/>
      <c r="E106" s="121"/>
    </row>
    <row r="107" spans="1:10" ht="26.25" customHeight="1" x14ac:dyDescent="0.4">
      <c r="A107" s="69" t="s">
        <v>113</v>
      </c>
      <c r="B107" s="70">
        <v>1000</v>
      </c>
      <c r="C107" s="232" t="s">
        <v>114</v>
      </c>
      <c r="D107" s="187" t="s">
        <v>58</v>
      </c>
      <c r="E107" s="188" t="s">
        <v>115</v>
      </c>
      <c r="F107" s="189" t="s">
        <v>116</v>
      </c>
    </row>
    <row r="108" spans="1:10" ht="26.25" customHeight="1" x14ac:dyDescent="0.4">
      <c r="A108" s="71" t="s">
        <v>117</v>
      </c>
      <c r="B108" s="72">
        <v>1</v>
      </c>
      <c r="C108" s="190">
        <v>1</v>
      </c>
      <c r="D108" s="191">
        <v>45026331</v>
      </c>
      <c r="E108" s="222">
        <f t="shared" ref="E108:E113" si="1">IF(ISBLANK(D108),"-",D108/$D$103*$D$100*$B$116)</f>
        <v>280.76523244205487</v>
      </c>
      <c r="F108" s="192">
        <f t="shared" ref="F108:F113" si="2">IF(ISBLANK(D108), "-", E108/$B$56)</f>
        <v>0.93588410814018286</v>
      </c>
    </row>
    <row r="109" spans="1:10" ht="26.25" customHeight="1" x14ac:dyDescent="0.4">
      <c r="A109" s="71" t="s">
        <v>90</v>
      </c>
      <c r="B109" s="72">
        <v>1</v>
      </c>
      <c r="C109" s="190">
        <v>2</v>
      </c>
      <c r="D109" s="191">
        <v>45270434</v>
      </c>
      <c r="E109" s="223">
        <f t="shared" si="1"/>
        <v>282.28735591986617</v>
      </c>
      <c r="F109" s="193">
        <f t="shared" si="2"/>
        <v>0.9409578530662206</v>
      </c>
    </row>
    <row r="110" spans="1:10" ht="26.25" customHeight="1" x14ac:dyDescent="0.4">
      <c r="A110" s="71" t="s">
        <v>91</v>
      </c>
      <c r="B110" s="72">
        <v>1</v>
      </c>
      <c r="C110" s="190">
        <v>3</v>
      </c>
      <c r="D110" s="191">
        <v>45180554</v>
      </c>
      <c r="E110" s="223">
        <f t="shared" si="1"/>
        <v>281.7269021024789</v>
      </c>
      <c r="F110" s="193">
        <f t="shared" si="2"/>
        <v>0.93908967367492968</v>
      </c>
    </row>
    <row r="111" spans="1:10" ht="26.25" customHeight="1" x14ac:dyDescent="0.4">
      <c r="A111" s="71" t="s">
        <v>92</v>
      </c>
      <c r="B111" s="72">
        <v>1</v>
      </c>
      <c r="C111" s="190">
        <v>4</v>
      </c>
      <c r="D111" s="191">
        <v>45365112</v>
      </c>
      <c r="E111" s="223">
        <f t="shared" si="1"/>
        <v>282.87772804406052</v>
      </c>
      <c r="F111" s="193">
        <f t="shared" si="2"/>
        <v>0.94292576014686835</v>
      </c>
    </row>
    <row r="112" spans="1:10" ht="26.25" customHeight="1" x14ac:dyDescent="0.4">
      <c r="A112" s="71" t="s">
        <v>93</v>
      </c>
      <c r="B112" s="72">
        <v>1</v>
      </c>
      <c r="C112" s="190">
        <v>5</v>
      </c>
      <c r="D112" s="191">
        <v>45336839</v>
      </c>
      <c r="E112" s="223">
        <f t="shared" si="1"/>
        <v>282.70142952627026</v>
      </c>
      <c r="F112" s="193">
        <f t="shared" si="2"/>
        <v>0.94233809842090088</v>
      </c>
    </row>
    <row r="113" spans="1:10" ht="26.25" customHeight="1" x14ac:dyDescent="0.4">
      <c r="A113" s="71" t="s">
        <v>95</v>
      </c>
      <c r="B113" s="72">
        <v>1</v>
      </c>
      <c r="C113" s="194">
        <v>6</v>
      </c>
      <c r="D113" s="195">
        <v>45328946</v>
      </c>
      <c r="E113" s="224">
        <f t="shared" si="1"/>
        <v>282.65221210325467</v>
      </c>
      <c r="F113" s="196">
        <f t="shared" si="2"/>
        <v>0.94217404034418228</v>
      </c>
    </row>
    <row r="114" spans="1:10" ht="26.25" customHeight="1" x14ac:dyDescent="0.4">
      <c r="A114" s="71" t="s">
        <v>96</v>
      </c>
      <c r="B114" s="72">
        <v>1</v>
      </c>
      <c r="C114" s="190"/>
      <c r="D114" s="171"/>
      <c r="E114" s="152"/>
      <c r="F114" s="197"/>
    </row>
    <row r="115" spans="1:10" ht="26.25" customHeight="1" x14ac:dyDescent="0.4">
      <c r="A115" s="71" t="s">
        <v>97</v>
      </c>
      <c r="B115" s="72">
        <v>1</v>
      </c>
      <c r="C115" s="190"/>
      <c r="D115" s="198" t="s">
        <v>66</v>
      </c>
      <c r="E115" s="226">
        <f>AVERAGE(E108:E113)</f>
        <v>282.16847668966426</v>
      </c>
      <c r="F115" s="199">
        <f>AVERAGE(F108:F113)</f>
        <v>0.94056158896554753</v>
      </c>
    </row>
    <row r="116" spans="1:10" ht="27" customHeight="1" thickBot="1" x14ac:dyDescent="0.45">
      <c r="A116" s="71" t="s">
        <v>98</v>
      </c>
      <c r="B116" s="103">
        <f>(B115/B114)*(B113/B112)*(B111/B110)*(B109/B108)*B107</f>
        <v>1000</v>
      </c>
      <c r="C116" s="200"/>
      <c r="D116" s="163" t="s">
        <v>79</v>
      </c>
      <c r="E116" s="201">
        <f>STDEV(E108:E113)/E115</f>
        <v>2.8348714754505453E-3</v>
      </c>
      <c r="F116" s="201">
        <f>STDEV(F108:F113)/F115</f>
        <v>2.8348714754505584E-3</v>
      </c>
      <c r="I116" s="152"/>
    </row>
    <row r="117" spans="1:10" ht="27" customHeight="1" thickBot="1" x14ac:dyDescent="0.45">
      <c r="A117" s="295" t="s">
        <v>73</v>
      </c>
      <c r="B117" s="296"/>
      <c r="C117" s="202"/>
      <c r="D117" s="203" t="s">
        <v>15</v>
      </c>
      <c r="E117" s="204">
        <f>COUNT(E108:E113)</f>
        <v>6</v>
      </c>
      <c r="F117" s="204">
        <f>COUNT(F108:F113)</f>
        <v>6</v>
      </c>
      <c r="I117" s="152"/>
      <c r="J117" s="183"/>
    </row>
    <row r="118" spans="1:10" ht="19.5" customHeight="1" thickBot="1" x14ac:dyDescent="0.35">
      <c r="A118" s="297"/>
      <c r="B118" s="298"/>
      <c r="C118" s="152"/>
      <c r="D118" s="152"/>
      <c r="E118" s="152"/>
      <c r="F118" s="171"/>
      <c r="G118" s="152"/>
      <c r="H118" s="152"/>
      <c r="I118" s="152"/>
    </row>
    <row r="119" spans="1:10" ht="18.75" x14ac:dyDescent="0.3">
      <c r="A119" s="213"/>
      <c r="B119" s="67"/>
      <c r="C119" s="152"/>
      <c r="D119" s="152"/>
      <c r="E119" s="152"/>
      <c r="F119" s="171"/>
      <c r="G119" s="152"/>
      <c r="H119" s="152"/>
      <c r="I119" s="152"/>
    </row>
    <row r="120" spans="1:10" ht="26.25" customHeight="1" x14ac:dyDescent="0.4">
      <c r="A120" s="208" t="s">
        <v>101</v>
      </c>
      <c r="B120" s="163" t="s">
        <v>118</v>
      </c>
      <c r="C120" s="299" t="str">
        <f>B20</f>
        <v>Tenofovir DF</v>
      </c>
      <c r="D120" s="299"/>
      <c r="E120" s="152" t="s">
        <v>119</v>
      </c>
      <c r="F120" s="152"/>
      <c r="G120" s="153">
        <f>F115</f>
        <v>0.94056158896554753</v>
      </c>
      <c r="H120" s="152"/>
      <c r="I120" s="152"/>
    </row>
    <row r="121" spans="1:10" ht="19.5" customHeight="1" thickBot="1" x14ac:dyDescent="0.35">
      <c r="A121" s="236"/>
      <c r="B121" s="236"/>
      <c r="C121" s="206"/>
      <c r="D121" s="206"/>
      <c r="E121" s="206"/>
      <c r="F121" s="206"/>
      <c r="G121" s="206"/>
      <c r="H121" s="206"/>
    </row>
    <row r="122" spans="1:10" ht="18.75" x14ac:dyDescent="0.3">
      <c r="B122" s="300" t="s">
        <v>21</v>
      </c>
      <c r="C122" s="300"/>
      <c r="E122" s="235" t="s">
        <v>22</v>
      </c>
      <c r="F122" s="207"/>
      <c r="G122" s="300" t="s">
        <v>23</v>
      </c>
      <c r="H122" s="300"/>
    </row>
    <row r="123" spans="1:10" ht="69.95" customHeight="1" x14ac:dyDescent="0.3">
      <c r="A123" s="208" t="s">
        <v>24</v>
      </c>
      <c r="B123" s="210"/>
      <c r="C123" s="210"/>
      <c r="E123" s="210"/>
      <c r="F123" s="152"/>
      <c r="G123" s="210"/>
      <c r="H123" s="210"/>
    </row>
    <row r="124" spans="1:10" ht="69.95" customHeight="1" x14ac:dyDescent="0.3">
      <c r="A124" s="208" t="s">
        <v>25</v>
      </c>
      <c r="B124" s="211"/>
      <c r="C124" s="211"/>
      <c r="E124" s="211"/>
      <c r="F124" s="152"/>
      <c r="G124" s="212"/>
      <c r="H124" s="212"/>
    </row>
    <row r="125" spans="1:10" ht="18.75" x14ac:dyDescent="0.3">
      <c r="A125" s="171"/>
      <c r="B125" s="171"/>
      <c r="C125" s="171"/>
      <c r="D125" s="171"/>
      <c r="E125" s="171"/>
      <c r="F125" s="148"/>
      <c r="G125" s="171"/>
      <c r="H125" s="171"/>
      <c r="I125" s="152"/>
    </row>
    <row r="126" spans="1:10" ht="18.75" x14ac:dyDescent="0.3">
      <c r="A126" s="171"/>
      <c r="B126" s="171"/>
      <c r="C126" s="171"/>
      <c r="D126" s="171"/>
      <c r="E126" s="171"/>
      <c r="F126" s="148"/>
      <c r="G126" s="171"/>
      <c r="H126" s="171"/>
      <c r="I126" s="152"/>
    </row>
    <row r="127" spans="1:10" ht="18.75" x14ac:dyDescent="0.3">
      <c r="A127" s="171"/>
      <c r="B127" s="171"/>
      <c r="C127" s="171"/>
      <c r="D127" s="171"/>
      <c r="E127" s="171"/>
      <c r="F127" s="148"/>
      <c r="G127" s="171"/>
      <c r="H127" s="171"/>
      <c r="I127" s="152"/>
    </row>
    <row r="128" spans="1:10" ht="18.75" x14ac:dyDescent="0.3">
      <c r="A128" s="171"/>
      <c r="B128" s="171"/>
      <c r="C128" s="171"/>
      <c r="D128" s="171"/>
      <c r="E128" s="171"/>
      <c r="F128" s="148"/>
      <c r="G128" s="171"/>
      <c r="H128" s="171"/>
      <c r="I128" s="152"/>
    </row>
    <row r="129" spans="1:9" ht="18.75" x14ac:dyDescent="0.3">
      <c r="A129" s="171"/>
      <c r="B129" s="171"/>
      <c r="C129" s="171"/>
      <c r="D129" s="171"/>
      <c r="E129" s="171"/>
      <c r="F129" s="148"/>
      <c r="G129" s="171"/>
      <c r="H129" s="171"/>
      <c r="I129" s="152"/>
    </row>
    <row r="130" spans="1:9" ht="18.75" x14ac:dyDescent="0.3">
      <c r="A130" s="171"/>
      <c r="B130" s="171"/>
      <c r="C130" s="171"/>
      <c r="D130" s="171"/>
      <c r="E130" s="171"/>
      <c r="F130" s="148"/>
      <c r="G130" s="171"/>
      <c r="H130" s="171"/>
      <c r="I130" s="152"/>
    </row>
    <row r="131" spans="1:9" ht="18.75" x14ac:dyDescent="0.3">
      <c r="A131" s="171"/>
      <c r="B131" s="171"/>
      <c r="C131" s="171"/>
      <c r="D131" s="171"/>
      <c r="E131" s="171"/>
      <c r="F131" s="148"/>
      <c r="G131" s="171"/>
      <c r="H131" s="171"/>
      <c r="I131" s="152"/>
    </row>
    <row r="132" spans="1:9" ht="18.75" x14ac:dyDescent="0.3">
      <c r="A132" s="171"/>
      <c r="B132" s="171"/>
      <c r="C132" s="171"/>
      <c r="D132" s="171"/>
      <c r="E132" s="171"/>
      <c r="F132" s="148"/>
      <c r="G132" s="171"/>
      <c r="H132" s="171"/>
      <c r="I132" s="152"/>
    </row>
    <row r="133" spans="1:9" ht="18.75" x14ac:dyDescent="0.3">
      <c r="A133" s="171"/>
      <c r="B133" s="171"/>
      <c r="C133" s="171"/>
      <c r="D133" s="171"/>
      <c r="E133" s="171"/>
      <c r="F133" s="148"/>
      <c r="G133" s="171"/>
      <c r="H133" s="171"/>
      <c r="I133" s="152"/>
    </row>
    <row r="250" spans="1:1" x14ac:dyDescent="0.25">
      <c r="A250" s="229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55" zoomScale="40" zoomScaleNormal="40" zoomScalePageLayoutView="40" workbookViewId="0">
      <selection activeCell="B58" sqref="B58"/>
    </sheetView>
  </sheetViews>
  <sheetFormatPr defaultColWidth="9.140625" defaultRowHeight="13.5" x14ac:dyDescent="0.25"/>
  <cols>
    <col min="1" max="1" width="55.42578125" style="229" customWidth="1"/>
    <col min="2" max="2" width="33.7109375" style="229" customWidth="1"/>
    <col min="3" max="3" width="42.28515625" style="229" customWidth="1"/>
    <col min="4" max="4" width="30.5703125" style="229" customWidth="1"/>
    <col min="5" max="5" width="39.85546875" style="229" customWidth="1"/>
    <col min="6" max="6" width="30.7109375" style="229" customWidth="1"/>
    <col min="7" max="7" width="39.85546875" style="229" customWidth="1"/>
    <col min="8" max="8" width="30" style="229" customWidth="1"/>
    <col min="9" max="9" width="30.28515625" style="229" hidden="1" customWidth="1"/>
    <col min="10" max="10" width="30.42578125" style="229" customWidth="1"/>
    <col min="11" max="11" width="21.28515625" style="229" customWidth="1"/>
    <col min="12" max="12" width="9.140625" style="229"/>
    <col min="13" max="16384" width="9.140625" style="33"/>
  </cols>
  <sheetData>
    <row r="1" spans="1:9" ht="18.75" customHeight="1" x14ac:dyDescent="0.25">
      <c r="A1" s="293" t="s">
        <v>40</v>
      </c>
      <c r="B1" s="293"/>
      <c r="C1" s="293"/>
      <c r="D1" s="293"/>
      <c r="E1" s="293"/>
      <c r="F1" s="293"/>
      <c r="G1" s="293"/>
      <c r="H1" s="293"/>
      <c r="I1" s="293"/>
    </row>
    <row r="2" spans="1:9" ht="18.75" customHeight="1" x14ac:dyDescent="0.25">
      <c r="A2" s="293"/>
      <c r="B2" s="293"/>
      <c r="C2" s="293"/>
      <c r="D2" s="293"/>
      <c r="E2" s="293"/>
      <c r="F2" s="293"/>
      <c r="G2" s="293"/>
      <c r="H2" s="293"/>
      <c r="I2" s="293"/>
    </row>
    <row r="3" spans="1:9" ht="18.75" customHeight="1" x14ac:dyDescent="0.25">
      <c r="A3" s="293"/>
      <c r="B3" s="293"/>
      <c r="C3" s="293"/>
      <c r="D3" s="293"/>
      <c r="E3" s="293"/>
      <c r="F3" s="293"/>
      <c r="G3" s="293"/>
      <c r="H3" s="293"/>
      <c r="I3" s="293"/>
    </row>
    <row r="4" spans="1:9" ht="18.75" customHeight="1" x14ac:dyDescent="0.25">
      <c r="A4" s="293"/>
      <c r="B4" s="293"/>
      <c r="C4" s="293"/>
      <c r="D4" s="293"/>
      <c r="E4" s="293"/>
      <c r="F4" s="293"/>
      <c r="G4" s="293"/>
      <c r="H4" s="293"/>
      <c r="I4" s="293"/>
    </row>
    <row r="5" spans="1:9" ht="18.75" customHeight="1" x14ac:dyDescent="0.25">
      <c r="A5" s="293"/>
      <c r="B5" s="293"/>
      <c r="C5" s="293"/>
      <c r="D5" s="293"/>
      <c r="E5" s="293"/>
      <c r="F5" s="293"/>
      <c r="G5" s="293"/>
      <c r="H5" s="293"/>
      <c r="I5" s="293"/>
    </row>
    <row r="6" spans="1:9" ht="18.75" customHeight="1" x14ac:dyDescent="0.25">
      <c r="A6" s="293"/>
      <c r="B6" s="293"/>
      <c r="C6" s="293"/>
      <c r="D6" s="293"/>
      <c r="E6" s="293"/>
      <c r="F6" s="293"/>
      <c r="G6" s="293"/>
      <c r="H6" s="293"/>
      <c r="I6" s="293"/>
    </row>
    <row r="7" spans="1:9" ht="18.75" customHeight="1" x14ac:dyDescent="0.25">
      <c r="A7" s="293"/>
      <c r="B7" s="293"/>
      <c r="C7" s="293"/>
      <c r="D7" s="293"/>
      <c r="E7" s="293"/>
      <c r="F7" s="293"/>
      <c r="G7" s="293"/>
      <c r="H7" s="293"/>
      <c r="I7" s="293"/>
    </row>
    <row r="8" spans="1:9" x14ac:dyDescent="0.25">
      <c r="A8" s="294" t="s">
        <v>41</v>
      </c>
      <c r="B8" s="294"/>
      <c r="C8" s="294"/>
      <c r="D8" s="294"/>
      <c r="E8" s="294"/>
      <c r="F8" s="294"/>
      <c r="G8" s="294"/>
      <c r="H8" s="294"/>
      <c r="I8" s="294"/>
    </row>
    <row r="9" spans="1:9" x14ac:dyDescent="0.25">
      <c r="A9" s="294"/>
      <c r="B9" s="294"/>
      <c r="C9" s="294"/>
      <c r="D9" s="294"/>
      <c r="E9" s="294"/>
      <c r="F9" s="294"/>
      <c r="G9" s="294"/>
      <c r="H9" s="294"/>
      <c r="I9" s="294"/>
    </row>
    <row r="10" spans="1:9" x14ac:dyDescent="0.25">
      <c r="A10" s="294"/>
      <c r="B10" s="294"/>
      <c r="C10" s="294"/>
      <c r="D10" s="294"/>
      <c r="E10" s="294"/>
      <c r="F10" s="294"/>
      <c r="G10" s="294"/>
      <c r="H10" s="294"/>
      <c r="I10" s="294"/>
    </row>
    <row r="11" spans="1:9" x14ac:dyDescent="0.25">
      <c r="A11" s="294"/>
      <c r="B11" s="294"/>
      <c r="C11" s="294"/>
      <c r="D11" s="294"/>
      <c r="E11" s="294"/>
      <c r="F11" s="294"/>
      <c r="G11" s="294"/>
      <c r="H11" s="294"/>
      <c r="I11" s="294"/>
    </row>
    <row r="12" spans="1:9" x14ac:dyDescent="0.25">
      <c r="A12" s="294"/>
      <c r="B12" s="294"/>
      <c r="C12" s="294"/>
      <c r="D12" s="294"/>
      <c r="E12" s="294"/>
      <c r="F12" s="294"/>
      <c r="G12" s="294"/>
      <c r="H12" s="294"/>
      <c r="I12" s="294"/>
    </row>
    <row r="13" spans="1:9" x14ac:dyDescent="0.25">
      <c r="A13" s="294"/>
      <c r="B13" s="294"/>
      <c r="C13" s="294"/>
      <c r="D13" s="294"/>
      <c r="E13" s="294"/>
      <c r="F13" s="294"/>
      <c r="G13" s="294"/>
      <c r="H13" s="294"/>
      <c r="I13" s="294"/>
    </row>
    <row r="14" spans="1:9" x14ac:dyDescent="0.25">
      <c r="A14" s="294"/>
      <c r="B14" s="294"/>
      <c r="C14" s="294"/>
      <c r="D14" s="294"/>
      <c r="E14" s="294"/>
      <c r="F14" s="294"/>
      <c r="G14" s="294"/>
      <c r="H14" s="294"/>
      <c r="I14" s="294"/>
    </row>
    <row r="15" spans="1:9" ht="19.5" customHeight="1" thickBot="1" x14ac:dyDescent="0.35">
      <c r="A15" s="152"/>
    </row>
    <row r="16" spans="1:9" ht="19.5" customHeight="1" thickBot="1" x14ac:dyDescent="0.35">
      <c r="A16" s="327" t="s">
        <v>26</v>
      </c>
      <c r="B16" s="328"/>
      <c r="C16" s="328"/>
      <c r="D16" s="328"/>
      <c r="E16" s="328"/>
      <c r="F16" s="328"/>
      <c r="G16" s="328"/>
      <c r="H16" s="329"/>
    </row>
    <row r="17" spans="1:14" ht="20.25" customHeight="1" x14ac:dyDescent="0.25">
      <c r="A17" s="330" t="s">
        <v>42</v>
      </c>
      <c r="B17" s="330"/>
      <c r="C17" s="330"/>
      <c r="D17" s="330"/>
      <c r="E17" s="330"/>
      <c r="F17" s="330"/>
      <c r="G17" s="330"/>
      <c r="H17" s="330"/>
    </row>
    <row r="18" spans="1:14" ht="26.25" customHeight="1" x14ac:dyDescent="0.4">
      <c r="A18" s="47" t="s">
        <v>28</v>
      </c>
      <c r="B18" s="326" t="s">
        <v>123</v>
      </c>
      <c r="C18" s="326"/>
      <c r="D18" s="214"/>
      <c r="E18" s="48"/>
      <c r="F18" s="227"/>
      <c r="G18" s="227"/>
      <c r="H18" s="227"/>
    </row>
    <row r="19" spans="1:14" ht="26.25" customHeight="1" x14ac:dyDescent="0.4">
      <c r="A19" s="47" t="s">
        <v>29</v>
      </c>
      <c r="B19" s="231" t="s">
        <v>124</v>
      </c>
      <c r="C19" s="227">
        <v>29</v>
      </c>
      <c r="D19" s="227"/>
      <c r="E19" s="227"/>
      <c r="F19" s="227"/>
      <c r="G19" s="227"/>
      <c r="H19" s="227"/>
    </row>
    <row r="20" spans="1:14" ht="26.25" customHeight="1" x14ac:dyDescent="0.4">
      <c r="A20" s="47" t="s">
        <v>30</v>
      </c>
      <c r="B20" s="331" t="s">
        <v>129</v>
      </c>
      <c r="C20" s="331"/>
      <c r="D20" s="227"/>
      <c r="E20" s="227"/>
      <c r="F20" s="227"/>
      <c r="G20" s="227"/>
      <c r="H20" s="227"/>
    </row>
    <row r="21" spans="1:14" ht="26.25" customHeight="1" x14ac:dyDescent="0.4">
      <c r="A21" s="47" t="s">
        <v>31</v>
      </c>
      <c r="B21" s="331" t="s">
        <v>131</v>
      </c>
      <c r="C21" s="331"/>
      <c r="D21" s="331"/>
      <c r="E21" s="331"/>
      <c r="F21" s="331"/>
      <c r="G21" s="331"/>
      <c r="H21" s="331"/>
      <c r="I21" s="51"/>
    </row>
    <row r="22" spans="1:14" ht="26.25" customHeight="1" x14ac:dyDescent="0.4">
      <c r="A22" s="47" t="s">
        <v>32</v>
      </c>
      <c r="B22" s="52">
        <v>42552</v>
      </c>
      <c r="C22" s="227"/>
      <c r="D22" s="227"/>
      <c r="E22" s="227"/>
      <c r="F22" s="227"/>
      <c r="G22" s="227"/>
      <c r="H22" s="227"/>
    </row>
    <row r="23" spans="1:14" ht="26.25" customHeight="1" x14ac:dyDescent="0.4">
      <c r="A23" s="47" t="s">
        <v>33</v>
      </c>
      <c r="B23" s="52">
        <v>42556</v>
      </c>
      <c r="C23" s="227"/>
      <c r="D23" s="227"/>
      <c r="E23" s="227"/>
      <c r="F23" s="227"/>
      <c r="G23" s="227"/>
      <c r="H23" s="227"/>
    </row>
    <row r="24" spans="1:14" ht="18.75" x14ac:dyDescent="0.3">
      <c r="A24" s="47"/>
      <c r="B24" s="53"/>
    </row>
    <row r="25" spans="1:14" ht="18.75" x14ac:dyDescent="0.3">
      <c r="A25" s="54" t="s">
        <v>1</v>
      </c>
      <c r="B25" s="53"/>
    </row>
    <row r="26" spans="1:14" ht="26.25" customHeight="1" x14ac:dyDescent="0.4">
      <c r="A26" s="208" t="s">
        <v>4</v>
      </c>
      <c r="B26" s="326" t="s">
        <v>129</v>
      </c>
      <c r="C26" s="326"/>
    </row>
    <row r="27" spans="1:14" ht="26.25" customHeight="1" x14ac:dyDescent="0.4">
      <c r="A27" s="163" t="s">
        <v>43</v>
      </c>
      <c r="B27" s="324" t="s">
        <v>130</v>
      </c>
      <c r="C27" s="324"/>
    </row>
    <row r="28" spans="1:14" ht="27" customHeight="1" thickBot="1" x14ac:dyDescent="0.45">
      <c r="A28" s="163" t="s">
        <v>5</v>
      </c>
      <c r="B28" s="155">
        <v>99.3</v>
      </c>
    </row>
    <row r="29" spans="1:14" s="10" customFormat="1" ht="27" customHeight="1" thickBot="1" x14ac:dyDescent="0.45">
      <c r="A29" s="163" t="s">
        <v>44</v>
      </c>
      <c r="B29" s="58">
        <v>0</v>
      </c>
      <c r="C29" s="301" t="s">
        <v>45</v>
      </c>
      <c r="D29" s="302"/>
      <c r="E29" s="302"/>
      <c r="F29" s="302"/>
      <c r="G29" s="303"/>
      <c r="I29" s="59"/>
      <c r="J29" s="59"/>
      <c r="K29" s="59"/>
      <c r="L29" s="59"/>
    </row>
    <row r="30" spans="1:14" s="10" customFormat="1" ht="19.5" customHeight="1" thickBot="1" x14ac:dyDescent="0.35">
      <c r="A30" s="163" t="s">
        <v>46</v>
      </c>
      <c r="B30" s="234">
        <f>B28-B29</f>
        <v>99.3</v>
      </c>
      <c r="C30" s="61"/>
      <c r="D30" s="61"/>
      <c r="E30" s="61"/>
      <c r="F30" s="61"/>
      <c r="G30" s="62"/>
      <c r="I30" s="59"/>
      <c r="J30" s="59"/>
      <c r="K30" s="59"/>
      <c r="L30" s="59"/>
    </row>
    <row r="31" spans="1:14" s="10" customFormat="1" ht="27" customHeight="1" thickBot="1" x14ac:dyDescent="0.45">
      <c r="A31" s="163" t="s">
        <v>47</v>
      </c>
      <c r="B31" s="63">
        <v>1</v>
      </c>
      <c r="C31" s="304" t="s">
        <v>48</v>
      </c>
      <c r="D31" s="305"/>
      <c r="E31" s="305"/>
      <c r="F31" s="305"/>
      <c r="G31" s="305"/>
      <c r="H31" s="306"/>
      <c r="I31" s="59"/>
      <c r="J31" s="59"/>
      <c r="K31" s="59"/>
      <c r="L31" s="59"/>
    </row>
    <row r="32" spans="1:14" s="10" customFormat="1" ht="27" customHeight="1" thickBot="1" x14ac:dyDescent="0.45">
      <c r="A32" s="163" t="s">
        <v>49</v>
      </c>
      <c r="B32" s="63">
        <v>1</v>
      </c>
      <c r="C32" s="304" t="s">
        <v>50</v>
      </c>
      <c r="D32" s="305"/>
      <c r="E32" s="305"/>
      <c r="F32" s="305"/>
      <c r="G32" s="305"/>
      <c r="H32" s="306"/>
      <c r="I32" s="59"/>
      <c r="J32" s="59"/>
      <c r="K32" s="59"/>
      <c r="L32" s="64"/>
      <c r="M32" s="64"/>
      <c r="N32" s="65"/>
    </row>
    <row r="33" spans="1:14" s="10" customFormat="1" ht="17.25" customHeight="1" x14ac:dyDescent="0.3">
      <c r="A33" s="163"/>
      <c r="B33" s="66"/>
      <c r="C33" s="67"/>
      <c r="D33" s="67"/>
      <c r="E33" s="67"/>
      <c r="F33" s="67"/>
      <c r="G33" s="67"/>
      <c r="H33" s="67"/>
      <c r="I33" s="59"/>
      <c r="J33" s="59"/>
      <c r="K33" s="59"/>
      <c r="L33" s="64"/>
      <c r="M33" s="64"/>
      <c r="N33" s="65"/>
    </row>
    <row r="34" spans="1:14" s="10" customFormat="1" ht="18.75" x14ac:dyDescent="0.3">
      <c r="A34" s="163" t="s">
        <v>51</v>
      </c>
      <c r="B34" s="68">
        <f>B31/B32</f>
        <v>1</v>
      </c>
      <c r="C34" s="152" t="s">
        <v>52</v>
      </c>
      <c r="D34" s="152"/>
      <c r="E34" s="152"/>
      <c r="F34" s="152"/>
      <c r="G34" s="152"/>
      <c r="I34" s="59"/>
      <c r="J34" s="59"/>
      <c r="K34" s="59"/>
      <c r="L34" s="64"/>
      <c r="M34" s="64"/>
      <c r="N34" s="65"/>
    </row>
    <row r="35" spans="1:14" s="10" customFormat="1" ht="19.5" customHeight="1" thickBot="1" x14ac:dyDescent="0.35">
      <c r="A35" s="163"/>
      <c r="B35" s="234"/>
      <c r="G35" s="152"/>
      <c r="I35" s="59"/>
      <c r="J35" s="59"/>
      <c r="K35" s="59"/>
      <c r="L35" s="64"/>
      <c r="M35" s="64"/>
      <c r="N35" s="65"/>
    </row>
    <row r="36" spans="1:14" s="10" customFormat="1" ht="27" customHeight="1" thickBot="1" x14ac:dyDescent="0.45">
      <c r="A36" s="69" t="s">
        <v>53</v>
      </c>
      <c r="B36" s="70">
        <v>5</v>
      </c>
      <c r="C36" s="152"/>
      <c r="D36" s="307" t="s">
        <v>54</v>
      </c>
      <c r="E36" s="325"/>
      <c r="F36" s="307" t="s">
        <v>55</v>
      </c>
      <c r="G36" s="308"/>
      <c r="J36" s="59"/>
      <c r="K36" s="59"/>
      <c r="L36" s="64"/>
      <c r="M36" s="64"/>
      <c r="N36" s="65"/>
    </row>
    <row r="37" spans="1:14" s="10" customFormat="1" ht="27" customHeight="1" thickBot="1" x14ac:dyDescent="0.45">
      <c r="A37" s="71" t="s">
        <v>56</v>
      </c>
      <c r="B37" s="72">
        <v>4</v>
      </c>
      <c r="C37" s="73" t="s">
        <v>57</v>
      </c>
      <c r="D37" s="74" t="s">
        <v>58</v>
      </c>
      <c r="E37" s="75" t="s">
        <v>59</v>
      </c>
      <c r="F37" s="74" t="s">
        <v>58</v>
      </c>
      <c r="G37" s="76" t="s">
        <v>59</v>
      </c>
      <c r="I37" s="77" t="s">
        <v>60</v>
      </c>
      <c r="J37" s="59"/>
      <c r="K37" s="59"/>
      <c r="L37" s="64"/>
      <c r="M37" s="64"/>
      <c r="N37" s="65"/>
    </row>
    <row r="38" spans="1:14" s="10" customFormat="1" ht="26.25" customHeight="1" x14ac:dyDescent="0.4">
      <c r="A38" s="71" t="s">
        <v>61</v>
      </c>
      <c r="B38" s="72">
        <v>10</v>
      </c>
      <c r="C38" s="78">
        <v>1</v>
      </c>
      <c r="D38" s="79">
        <v>105750699</v>
      </c>
      <c r="E38" s="80">
        <f>IF(ISBLANK(D38),"-",$D$48/$D$45*D38)</f>
        <v>79736576.973224089</v>
      </c>
      <c r="F38" s="79">
        <v>92157039</v>
      </c>
      <c r="G38" s="81">
        <f>IF(ISBLANK(F38),"-",$D$48/$F$45*F38)</f>
        <v>83041057.445064634</v>
      </c>
      <c r="I38" s="82"/>
      <c r="J38" s="59"/>
      <c r="K38" s="59"/>
      <c r="L38" s="64"/>
      <c r="M38" s="64"/>
      <c r="N38" s="65"/>
    </row>
    <row r="39" spans="1:14" s="10" customFormat="1" ht="26.25" customHeight="1" x14ac:dyDescent="0.4">
      <c r="A39" s="71" t="s">
        <v>62</v>
      </c>
      <c r="B39" s="72">
        <v>3</v>
      </c>
      <c r="C39" s="103">
        <v>2</v>
      </c>
      <c r="D39" s="84">
        <v>106285640</v>
      </c>
      <c r="E39" s="85">
        <f>IF(ISBLANK(D39),"-",$D$48/$D$45*D39)</f>
        <v>80139925.269036606</v>
      </c>
      <c r="F39" s="84">
        <v>91875897</v>
      </c>
      <c r="G39" s="86">
        <f>IF(ISBLANK(F39),"-",$D$48/$F$45*F39)</f>
        <v>82787725.42370683</v>
      </c>
      <c r="I39" s="309">
        <f>ABS((F43/D43*D42)-F42)/D42</f>
        <v>2.9368277811341482E-2</v>
      </c>
      <c r="J39" s="59"/>
      <c r="K39" s="59"/>
      <c r="L39" s="64"/>
      <c r="M39" s="64"/>
      <c r="N39" s="65"/>
    </row>
    <row r="40" spans="1:14" ht="26.25" customHeight="1" x14ac:dyDescent="0.4">
      <c r="A40" s="71" t="s">
        <v>63</v>
      </c>
      <c r="B40" s="72">
        <v>50</v>
      </c>
      <c r="C40" s="103">
        <v>3</v>
      </c>
      <c r="D40" s="84">
        <v>106465038</v>
      </c>
      <c r="E40" s="85">
        <f>IF(ISBLANK(D40),"-",$D$48/$D$45*D40)</f>
        <v>80275192.293946236</v>
      </c>
      <c r="F40" s="84">
        <v>91835680</v>
      </c>
      <c r="G40" s="86">
        <f>IF(ISBLANK(F40),"-",$D$48/$F$45*F40)</f>
        <v>82751486.605234504</v>
      </c>
      <c r="I40" s="309"/>
      <c r="L40" s="64"/>
      <c r="M40" s="64"/>
      <c r="N40" s="152"/>
    </row>
    <row r="41" spans="1:14" ht="27" customHeight="1" thickBot="1" x14ac:dyDescent="0.45">
      <c r="A41" s="71" t="s">
        <v>64</v>
      </c>
      <c r="B41" s="72">
        <v>1</v>
      </c>
      <c r="C41" s="88">
        <v>4</v>
      </c>
      <c r="D41" s="89"/>
      <c r="E41" s="90" t="str">
        <f>IF(ISBLANK(D41),"-",$D$48/$D$45*D41)</f>
        <v>-</v>
      </c>
      <c r="F41" s="89"/>
      <c r="G41" s="91" t="str">
        <f>IF(ISBLANK(F41),"-",$D$48/$F$45*F41)</f>
        <v>-</v>
      </c>
      <c r="I41" s="92"/>
      <c r="L41" s="64"/>
      <c r="M41" s="64"/>
      <c r="N41" s="152"/>
    </row>
    <row r="42" spans="1:14" ht="27" customHeight="1" thickBot="1" x14ac:dyDescent="0.45">
      <c r="A42" s="71" t="s">
        <v>65</v>
      </c>
      <c r="B42" s="72">
        <v>1</v>
      </c>
      <c r="C42" s="93" t="s">
        <v>66</v>
      </c>
      <c r="D42" s="94">
        <f>AVERAGE(D38:D41)</f>
        <v>106167125.66666667</v>
      </c>
      <c r="E42" s="95">
        <f>AVERAGE(E38:E41)</f>
        <v>80050564.845402315</v>
      </c>
      <c r="F42" s="94">
        <f>AVERAGE(F38:F41)</f>
        <v>91956205.333333328</v>
      </c>
      <c r="G42" s="96">
        <f>AVERAGE(G38:G41)</f>
        <v>82860089.824668661</v>
      </c>
      <c r="H42" s="228"/>
    </row>
    <row r="43" spans="1:14" ht="26.25" customHeight="1" x14ac:dyDescent="0.4">
      <c r="A43" s="71" t="s">
        <v>67</v>
      </c>
      <c r="B43" s="72">
        <v>1</v>
      </c>
      <c r="C43" s="98" t="s">
        <v>68</v>
      </c>
      <c r="D43" s="99">
        <v>33.39</v>
      </c>
      <c r="E43" s="152"/>
      <c r="F43" s="99">
        <v>27.94</v>
      </c>
      <c r="H43" s="228"/>
    </row>
    <row r="44" spans="1:14" ht="26.25" customHeight="1" x14ac:dyDescent="0.4">
      <c r="A44" s="71" t="s">
        <v>69</v>
      </c>
      <c r="B44" s="72">
        <v>1</v>
      </c>
      <c r="C44" s="100" t="s">
        <v>70</v>
      </c>
      <c r="D44" s="101">
        <f>D43*$B$34</f>
        <v>33.39</v>
      </c>
      <c r="E44" s="171"/>
      <c r="F44" s="101">
        <f>F43*$B$34</f>
        <v>27.94</v>
      </c>
      <c r="H44" s="228"/>
    </row>
    <row r="45" spans="1:14" ht="19.5" customHeight="1" thickBot="1" x14ac:dyDescent="0.35">
      <c r="A45" s="71" t="s">
        <v>71</v>
      </c>
      <c r="B45" s="103">
        <f>(B44/B43)*(B42/B41)*(B40/B39)*(B38/B37)*B36</f>
        <v>208.33333333333337</v>
      </c>
      <c r="C45" s="100" t="s">
        <v>72</v>
      </c>
      <c r="D45" s="104">
        <f>D44*$B$30/100</f>
        <v>33.156269999999999</v>
      </c>
      <c r="E45" s="148"/>
      <c r="F45" s="104">
        <f>F44*$B$30/100</f>
        <v>27.744420000000002</v>
      </c>
      <c r="H45" s="228"/>
    </row>
    <row r="46" spans="1:14" ht="19.5" customHeight="1" thickBot="1" x14ac:dyDescent="0.35">
      <c r="A46" s="295" t="s">
        <v>73</v>
      </c>
      <c r="B46" s="296"/>
      <c r="C46" s="100" t="s">
        <v>74</v>
      </c>
      <c r="D46" s="106">
        <f>D45/$B$45</f>
        <v>0.15915009599999996</v>
      </c>
      <c r="E46" s="107"/>
      <c r="F46" s="108">
        <f>F45/$B$45</f>
        <v>0.13317321599999998</v>
      </c>
      <c r="H46" s="228"/>
    </row>
    <row r="47" spans="1:14" ht="27" customHeight="1" thickBot="1" x14ac:dyDescent="0.45">
      <c r="A47" s="297"/>
      <c r="B47" s="298"/>
      <c r="C47" s="109" t="s">
        <v>75</v>
      </c>
      <c r="D47" s="110">
        <v>0.12</v>
      </c>
      <c r="E47" s="111"/>
      <c r="F47" s="107"/>
      <c r="H47" s="228"/>
    </row>
    <row r="48" spans="1:14" ht="18.75" x14ac:dyDescent="0.3">
      <c r="C48" s="112" t="s">
        <v>76</v>
      </c>
      <c r="D48" s="104">
        <f>D47*$B$45</f>
        <v>25.000000000000004</v>
      </c>
      <c r="F48" s="113"/>
      <c r="H48" s="228"/>
    </row>
    <row r="49" spans="1:12" ht="19.5" customHeight="1" thickBot="1" x14ac:dyDescent="0.35">
      <c r="C49" s="114" t="s">
        <v>77</v>
      </c>
      <c r="D49" s="115">
        <f>D48/B34</f>
        <v>25.000000000000004</v>
      </c>
      <c r="F49" s="113"/>
      <c r="H49" s="228"/>
    </row>
    <row r="50" spans="1:12" ht="18.75" x14ac:dyDescent="0.3">
      <c r="C50" s="69" t="s">
        <v>78</v>
      </c>
      <c r="D50" s="116">
        <f>AVERAGE(E38:E41,G38:G41)</f>
        <v>81455327.335035488</v>
      </c>
      <c r="F50" s="117"/>
      <c r="H50" s="228"/>
    </row>
    <row r="51" spans="1:12" ht="18.75" x14ac:dyDescent="0.3">
      <c r="C51" s="71" t="s">
        <v>79</v>
      </c>
      <c r="D51" s="118">
        <f>STDEV(E38:E41,G38:G41)/D50</f>
        <v>1.9056107575110948E-2</v>
      </c>
      <c r="F51" s="117"/>
      <c r="H51" s="228"/>
    </row>
    <row r="52" spans="1:12" ht="19.5" customHeight="1" thickBot="1" x14ac:dyDescent="0.35">
      <c r="C52" s="119" t="s">
        <v>15</v>
      </c>
      <c r="D52" s="120">
        <f>COUNT(E38:E41,G38:G41)</f>
        <v>6</v>
      </c>
      <c r="F52" s="117"/>
    </row>
    <row r="54" spans="1:12" ht="18.75" x14ac:dyDescent="0.3">
      <c r="A54" s="121" t="s">
        <v>1</v>
      </c>
      <c r="B54" s="122" t="s">
        <v>80</v>
      </c>
    </row>
    <row r="55" spans="1:12" ht="18.75" x14ac:dyDescent="0.3">
      <c r="A55" s="152" t="s">
        <v>81</v>
      </c>
      <c r="B55" s="124" t="str">
        <f>B21</f>
        <v>Efavirenz 600mg</v>
      </c>
    </row>
    <row r="56" spans="1:12" ht="26.25" customHeight="1" x14ac:dyDescent="0.4">
      <c r="A56" s="124" t="s">
        <v>82</v>
      </c>
      <c r="B56" s="125">
        <v>600</v>
      </c>
      <c r="C56" s="152" t="str">
        <f>B20</f>
        <v>Efavirenz</v>
      </c>
      <c r="H56" s="171"/>
    </row>
    <row r="57" spans="1:12" ht="18.75" x14ac:dyDescent="0.3">
      <c r="A57" s="124" t="s">
        <v>83</v>
      </c>
      <c r="B57" s="215">
        <f>'Uniformity (2)'!C46</f>
        <v>1899.9134999999999</v>
      </c>
      <c r="H57" s="171"/>
    </row>
    <row r="58" spans="1:12" ht="19.5" customHeight="1" thickBot="1" x14ac:dyDescent="0.35">
      <c r="H58" s="171"/>
    </row>
    <row r="59" spans="1:12" s="10" customFormat="1" ht="27" customHeight="1" thickBot="1" x14ac:dyDescent="0.45">
      <c r="A59" s="69" t="s">
        <v>84</v>
      </c>
      <c r="B59" s="70">
        <v>100</v>
      </c>
      <c r="C59" s="152"/>
      <c r="D59" s="127" t="s">
        <v>85</v>
      </c>
      <c r="E59" s="128" t="s">
        <v>57</v>
      </c>
      <c r="F59" s="128" t="s">
        <v>58</v>
      </c>
      <c r="G59" s="128" t="s">
        <v>86</v>
      </c>
      <c r="H59" s="73" t="s">
        <v>87</v>
      </c>
      <c r="L59" s="59"/>
    </row>
    <row r="60" spans="1:12" s="10" customFormat="1" ht="26.25" customHeight="1" x14ac:dyDescent="0.4">
      <c r="A60" s="71" t="s">
        <v>88</v>
      </c>
      <c r="B60" s="72">
        <v>5</v>
      </c>
      <c r="C60" s="312" t="s">
        <v>89</v>
      </c>
      <c r="D60" s="315">
        <v>1867.02</v>
      </c>
      <c r="E60" s="129">
        <v>1</v>
      </c>
      <c r="F60" s="130">
        <v>72997773</v>
      </c>
      <c r="G60" s="216">
        <f>IF(ISBLANK(F60),"-",(F60/$D$50*$D$47*$B$68)*($B$57/$D$60))</f>
        <v>547.17497469603586</v>
      </c>
      <c r="H60" s="131">
        <f t="shared" ref="H60:H71" si="0">IF(ISBLANK(F60),"-",G60/$B$56)</f>
        <v>0.91195829116005978</v>
      </c>
      <c r="L60" s="59"/>
    </row>
    <row r="61" spans="1:12" s="10" customFormat="1" ht="26.25" customHeight="1" x14ac:dyDescent="0.4">
      <c r="A61" s="71" t="s">
        <v>90</v>
      </c>
      <c r="B61" s="72">
        <v>50</v>
      </c>
      <c r="C61" s="313"/>
      <c r="D61" s="316"/>
      <c r="E61" s="132">
        <v>2</v>
      </c>
      <c r="F61" s="84">
        <v>73689950</v>
      </c>
      <c r="G61" s="217">
        <f>IF(ISBLANK(F61),"-",(F61/$D$50*$D$47*$B$68)*($B$57/$D$60))</f>
        <v>552.36337862803225</v>
      </c>
      <c r="H61" s="133">
        <f t="shared" si="0"/>
        <v>0.92060563104672044</v>
      </c>
      <c r="L61" s="59"/>
    </row>
    <row r="62" spans="1:12" s="10" customFormat="1" ht="26.25" customHeight="1" x14ac:dyDescent="0.4">
      <c r="A62" s="71" t="s">
        <v>91</v>
      </c>
      <c r="B62" s="72">
        <v>10</v>
      </c>
      <c r="C62" s="313"/>
      <c r="D62" s="316"/>
      <c r="E62" s="132">
        <v>3</v>
      </c>
      <c r="F62" s="134">
        <v>74139495</v>
      </c>
      <c r="G62" s="217">
        <f>IF(ISBLANK(F62),"-",(F62/$D$50*$D$47*$B$68)*($B$57/$D$60))</f>
        <v>555.73306737182065</v>
      </c>
      <c r="H62" s="133">
        <f t="shared" si="0"/>
        <v>0.92622177895303437</v>
      </c>
      <c r="L62" s="59"/>
    </row>
    <row r="63" spans="1:12" ht="27" customHeight="1" thickBot="1" x14ac:dyDescent="0.45">
      <c r="A63" s="71" t="s">
        <v>92</v>
      </c>
      <c r="B63" s="72">
        <v>50</v>
      </c>
      <c r="C63" s="323"/>
      <c r="D63" s="317"/>
      <c r="E63" s="135">
        <v>4</v>
      </c>
      <c r="F63" s="136"/>
      <c r="G63" s="217" t="str">
        <f>IF(ISBLANK(F63),"-",(F63/$D$50*$D$47*$B$68)*($B$57/$D$60))</f>
        <v>-</v>
      </c>
      <c r="H63" s="133" t="str">
        <f t="shared" si="0"/>
        <v>-</v>
      </c>
    </row>
    <row r="64" spans="1:12" ht="26.25" customHeight="1" x14ac:dyDescent="0.4">
      <c r="A64" s="71" t="s">
        <v>93</v>
      </c>
      <c r="B64" s="72">
        <v>1</v>
      </c>
      <c r="C64" s="312" t="s">
        <v>94</v>
      </c>
      <c r="D64" s="315">
        <v>1926.65</v>
      </c>
      <c r="E64" s="129">
        <v>1</v>
      </c>
      <c r="F64" s="130">
        <v>74334219</v>
      </c>
      <c r="G64" s="218">
        <f>IF(ISBLANK(F64),"-",(F64/$D$50*$D$47*$B$68)*($B$57/$D$64))</f>
        <v>539.94750884243467</v>
      </c>
      <c r="H64" s="137">
        <f t="shared" si="0"/>
        <v>0.89991251473739109</v>
      </c>
    </row>
    <row r="65" spans="1:8" ht="26.25" customHeight="1" x14ac:dyDescent="0.4">
      <c r="A65" s="71" t="s">
        <v>95</v>
      </c>
      <c r="B65" s="72">
        <v>1</v>
      </c>
      <c r="C65" s="313"/>
      <c r="D65" s="316"/>
      <c r="E65" s="132">
        <v>2</v>
      </c>
      <c r="F65" s="84">
        <v>74082757</v>
      </c>
      <c r="G65" s="219">
        <f>IF(ISBLANK(F65),"-",(F65/$D$50*$D$47*$B$68)*($B$57/$D$64))</f>
        <v>538.12094387282718</v>
      </c>
      <c r="H65" s="138">
        <f t="shared" si="0"/>
        <v>0.89686823978804531</v>
      </c>
    </row>
    <row r="66" spans="1:8" ht="26.25" customHeight="1" x14ac:dyDescent="0.4">
      <c r="A66" s="71" t="s">
        <v>96</v>
      </c>
      <c r="B66" s="72">
        <v>1</v>
      </c>
      <c r="C66" s="313"/>
      <c r="D66" s="316"/>
      <c r="E66" s="132">
        <v>3</v>
      </c>
      <c r="F66" s="84">
        <v>73917243</v>
      </c>
      <c r="G66" s="219">
        <f>IF(ISBLANK(F66),"-",(F66/$D$50*$D$47*$B$68)*($B$57/$D$64))</f>
        <v>536.91868637714344</v>
      </c>
      <c r="H66" s="138">
        <f t="shared" si="0"/>
        <v>0.8948644772952391</v>
      </c>
    </row>
    <row r="67" spans="1:8" ht="27" customHeight="1" thickBot="1" x14ac:dyDescent="0.45">
      <c r="A67" s="71" t="s">
        <v>97</v>
      </c>
      <c r="B67" s="72">
        <v>1</v>
      </c>
      <c r="C67" s="323"/>
      <c r="D67" s="317"/>
      <c r="E67" s="135">
        <v>4</v>
      </c>
      <c r="F67" s="136"/>
      <c r="G67" s="220" t="str">
        <f>IF(ISBLANK(F67),"-",(F67/$D$50*$D$47*$B$68)*($B$57/$D$64))</f>
        <v>-</v>
      </c>
      <c r="H67" s="139" t="str">
        <f t="shared" si="0"/>
        <v>-</v>
      </c>
    </row>
    <row r="68" spans="1:8" ht="26.25" customHeight="1" x14ac:dyDescent="0.4">
      <c r="A68" s="71" t="s">
        <v>98</v>
      </c>
      <c r="B68" s="140">
        <f>(B67/B66)*(B65/B64)*(B63/B62)*(B61/B60)*B59</f>
        <v>5000</v>
      </c>
      <c r="C68" s="312" t="s">
        <v>99</v>
      </c>
      <c r="D68" s="315">
        <v>1875.43</v>
      </c>
      <c r="E68" s="129">
        <v>1</v>
      </c>
      <c r="F68" s="130">
        <v>75419302</v>
      </c>
      <c r="G68" s="218">
        <f>IF(ISBLANK(F68),"-",(F68/$D$50*$D$47*$B$68)*($B$57/$D$68))</f>
        <v>562.79111918254671</v>
      </c>
      <c r="H68" s="133">
        <f t="shared" si="0"/>
        <v>0.9379851986375779</v>
      </c>
    </row>
    <row r="69" spans="1:8" ht="27" customHeight="1" thickBot="1" x14ac:dyDescent="0.45">
      <c r="A69" s="119" t="s">
        <v>100</v>
      </c>
      <c r="B69" s="141">
        <f>(D47*B68)/B56*B57</f>
        <v>1899.9134999999999</v>
      </c>
      <c r="C69" s="313"/>
      <c r="D69" s="316"/>
      <c r="E69" s="132">
        <v>2</v>
      </c>
      <c r="F69" s="84">
        <v>74640807</v>
      </c>
      <c r="G69" s="219">
        <f>IF(ISBLANK(F69),"-",(F69/$D$50*$D$47*$B$68)*($B$57/$D$68))</f>
        <v>556.98186265657125</v>
      </c>
      <c r="H69" s="133">
        <f t="shared" si="0"/>
        <v>0.92830310442761876</v>
      </c>
    </row>
    <row r="70" spans="1:8" ht="26.25" customHeight="1" x14ac:dyDescent="0.4">
      <c r="A70" s="318" t="s">
        <v>73</v>
      </c>
      <c r="B70" s="319"/>
      <c r="C70" s="313"/>
      <c r="D70" s="316"/>
      <c r="E70" s="132">
        <v>3</v>
      </c>
      <c r="F70" s="84">
        <v>74874175</v>
      </c>
      <c r="G70" s="219">
        <f>IF(ISBLANK(F70),"-",(F70/$D$50*$D$47*$B$68)*($B$57/$D$68))</f>
        <v>558.72329269395607</v>
      </c>
      <c r="H70" s="133">
        <f t="shared" si="0"/>
        <v>0.93120548782326007</v>
      </c>
    </row>
    <row r="71" spans="1:8" ht="27" customHeight="1" thickBot="1" x14ac:dyDescent="0.45">
      <c r="A71" s="320"/>
      <c r="B71" s="321"/>
      <c r="C71" s="314"/>
      <c r="D71" s="317"/>
      <c r="E71" s="135">
        <v>4</v>
      </c>
      <c r="F71" s="136"/>
      <c r="G71" s="220" t="str">
        <f>IF(ISBLANK(F71),"-",(F71/$D$50*$D$47*$B$68)*($B$57/$D$68))</f>
        <v>-</v>
      </c>
      <c r="H71" s="142" t="str">
        <f t="shared" si="0"/>
        <v>-</v>
      </c>
    </row>
    <row r="72" spans="1:8" ht="26.25" customHeight="1" x14ac:dyDescent="0.4">
      <c r="A72" s="171"/>
      <c r="B72" s="171"/>
      <c r="C72" s="171"/>
      <c r="D72" s="171"/>
      <c r="E72" s="171"/>
      <c r="F72" s="145" t="s">
        <v>66</v>
      </c>
      <c r="G72" s="225">
        <f>AVERAGE(G60:G71)</f>
        <v>549.86164825792969</v>
      </c>
      <c r="H72" s="146">
        <f>AVERAGE(H60:H71)</f>
        <v>0.91643608042988289</v>
      </c>
    </row>
    <row r="73" spans="1:8" ht="26.25" customHeight="1" x14ac:dyDescent="0.4">
      <c r="C73" s="171"/>
      <c r="D73" s="171"/>
      <c r="E73" s="171"/>
      <c r="F73" s="147" t="s">
        <v>79</v>
      </c>
      <c r="G73" s="221">
        <f>STDEV(G60:G71)/G72</f>
        <v>1.7585433346879363E-2</v>
      </c>
      <c r="H73" s="221">
        <f>STDEV(H60:H71)/H72</f>
        <v>1.7585433346879356E-2</v>
      </c>
    </row>
    <row r="74" spans="1:8" ht="27" customHeight="1" thickBot="1" x14ac:dyDescent="0.45">
      <c r="A74" s="171"/>
      <c r="B74" s="171"/>
      <c r="C74" s="171"/>
      <c r="D74" s="171"/>
      <c r="E74" s="148"/>
      <c r="F74" s="149" t="s">
        <v>15</v>
      </c>
      <c r="G74" s="150">
        <f>COUNT(G60:G71)</f>
        <v>9</v>
      </c>
      <c r="H74" s="150">
        <f>COUNT(H60:H71)</f>
        <v>9</v>
      </c>
    </row>
    <row r="76" spans="1:8" ht="26.25" customHeight="1" x14ac:dyDescent="0.4">
      <c r="A76" s="208" t="s">
        <v>101</v>
      </c>
      <c r="B76" s="163" t="s">
        <v>102</v>
      </c>
      <c r="C76" s="299" t="str">
        <f>B20</f>
        <v>Efavirenz</v>
      </c>
      <c r="D76" s="299"/>
      <c r="E76" s="152" t="s">
        <v>103</v>
      </c>
      <c r="F76" s="152"/>
      <c r="G76" s="153">
        <f>H72</f>
        <v>0.91643608042988289</v>
      </c>
      <c r="H76" s="234"/>
    </row>
    <row r="77" spans="1:8" ht="18.75" x14ac:dyDescent="0.3">
      <c r="A77" s="54" t="s">
        <v>104</v>
      </c>
      <c r="B77" s="54" t="s">
        <v>105</v>
      </c>
    </row>
    <row r="78" spans="1:8" ht="18.75" x14ac:dyDescent="0.3">
      <c r="A78" s="54"/>
      <c r="B78" s="54"/>
    </row>
    <row r="79" spans="1:8" ht="26.25" customHeight="1" x14ac:dyDescent="0.4">
      <c r="A79" s="208" t="s">
        <v>4</v>
      </c>
      <c r="B79" s="322" t="str">
        <f>B26</f>
        <v>Efavirenz</v>
      </c>
      <c r="C79" s="322"/>
    </row>
    <row r="80" spans="1:8" ht="26.25" customHeight="1" x14ac:dyDescent="0.4">
      <c r="A80" s="163" t="s">
        <v>43</v>
      </c>
      <c r="B80" s="322" t="str">
        <f>B27</f>
        <v>E15 3</v>
      </c>
      <c r="C80" s="322"/>
    </row>
    <row r="81" spans="1:12" ht="27" customHeight="1" thickBot="1" x14ac:dyDescent="0.45">
      <c r="A81" s="163" t="s">
        <v>5</v>
      </c>
      <c r="B81" s="155">
        <f>B28</f>
        <v>99.3</v>
      </c>
    </row>
    <row r="82" spans="1:12" s="10" customFormat="1" ht="27" customHeight="1" thickBot="1" x14ac:dyDescent="0.45">
      <c r="A82" s="163" t="s">
        <v>44</v>
      </c>
      <c r="B82" s="58">
        <v>0</v>
      </c>
      <c r="C82" s="301" t="s">
        <v>45</v>
      </c>
      <c r="D82" s="302"/>
      <c r="E82" s="302"/>
      <c r="F82" s="302"/>
      <c r="G82" s="303"/>
      <c r="I82" s="59"/>
      <c r="J82" s="59"/>
      <c r="K82" s="59"/>
      <c r="L82" s="59"/>
    </row>
    <row r="83" spans="1:12" s="10" customFormat="1" ht="19.5" customHeight="1" thickBot="1" x14ac:dyDescent="0.35">
      <c r="A83" s="163" t="s">
        <v>46</v>
      </c>
      <c r="B83" s="234">
        <f>B81-B82</f>
        <v>99.3</v>
      </c>
      <c r="C83" s="61"/>
      <c r="D83" s="61"/>
      <c r="E83" s="61"/>
      <c r="F83" s="61"/>
      <c r="G83" s="62"/>
      <c r="I83" s="59"/>
      <c r="J83" s="59"/>
      <c r="K83" s="59"/>
      <c r="L83" s="59"/>
    </row>
    <row r="84" spans="1:12" s="10" customFormat="1" ht="27" customHeight="1" thickBot="1" x14ac:dyDescent="0.45">
      <c r="A84" s="163" t="s">
        <v>47</v>
      </c>
      <c r="B84" s="63">
        <v>1</v>
      </c>
      <c r="C84" s="304" t="s">
        <v>106</v>
      </c>
      <c r="D84" s="305"/>
      <c r="E84" s="305"/>
      <c r="F84" s="305"/>
      <c r="G84" s="305"/>
      <c r="H84" s="306"/>
      <c r="I84" s="59"/>
      <c r="J84" s="59"/>
      <c r="K84" s="59"/>
      <c r="L84" s="59"/>
    </row>
    <row r="85" spans="1:12" s="10" customFormat="1" ht="27" customHeight="1" thickBot="1" x14ac:dyDescent="0.45">
      <c r="A85" s="163" t="s">
        <v>49</v>
      </c>
      <c r="B85" s="63">
        <v>1</v>
      </c>
      <c r="C85" s="304" t="s">
        <v>107</v>
      </c>
      <c r="D85" s="305"/>
      <c r="E85" s="305"/>
      <c r="F85" s="305"/>
      <c r="G85" s="305"/>
      <c r="H85" s="306"/>
      <c r="I85" s="59"/>
      <c r="J85" s="59"/>
      <c r="K85" s="59"/>
      <c r="L85" s="59"/>
    </row>
    <row r="86" spans="1:12" s="10" customFormat="1" ht="18.75" x14ac:dyDescent="0.3">
      <c r="A86" s="163"/>
      <c r="B86" s="66"/>
      <c r="C86" s="67"/>
      <c r="D86" s="67"/>
      <c r="E86" s="67"/>
      <c r="F86" s="67"/>
      <c r="G86" s="67"/>
      <c r="H86" s="67"/>
      <c r="I86" s="59"/>
      <c r="J86" s="59"/>
      <c r="K86" s="59"/>
      <c r="L86" s="59"/>
    </row>
    <row r="87" spans="1:12" s="10" customFormat="1" ht="18.75" x14ac:dyDescent="0.3">
      <c r="A87" s="163" t="s">
        <v>51</v>
      </c>
      <c r="B87" s="68">
        <f>B84/B85</f>
        <v>1</v>
      </c>
      <c r="C87" s="152" t="s">
        <v>52</v>
      </c>
      <c r="D87" s="152"/>
      <c r="E87" s="152"/>
      <c r="F87" s="152"/>
      <c r="G87" s="152"/>
      <c r="I87" s="59"/>
      <c r="J87" s="59"/>
      <c r="K87" s="59"/>
      <c r="L87" s="59"/>
    </row>
    <row r="88" spans="1:12" ht="19.5" customHeight="1" thickBot="1" x14ac:dyDescent="0.35">
      <c r="A88" s="54"/>
      <c r="B88" s="54"/>
    </row>
    <row r="89" spans="1:12" ht="27" customHeight="1" thickBot="1" x14ac:dyDescent="0.45">
      <c r="A89" s="69" t="s">
        <v>53</v>
      </c>
      <c r="B89" s="70">
        <v>10</v>
      </c>
      <c r="D89" s="232" t="s">
        <v>54</v>
      </c>
      <c r="E89" s="233"/>
      <c r="F89" s="307" t="s">
        <v>55</v>
      </c>
      <c r="G89" s="308"/>
    </row>
    <row r="90" spans="1:12" ht="27" customHeight="1" thickBot="1" x14ac:dyDescent="0.45">
      <c r="A90" s="71" t="s">
        <v>56</v>
      </c>
      <c r="B90" s="72">
        <v>2</v>
      </c>
      <c r="C90" s="235" t="s">
        <v>57</v>
      </c>
      <c r="D90" s="74" t="s">
        <v>58</v>
      </c>
      <c r="E90" s="75" t="s">
        <v>59</v>
      </c>
      <c r="F90" s="74" t="s">
        <v>58</v>
      </c>
      <c r="G90" s="159" t="s">
        <v>59</v>
      </c>
      <c r="I90" s="77" t="s">
        <v>60</v>
      </c>
    </row>
    <row r="91" spans="1:12" ht="26.25" customHeight="1" x14ac:dyDescent="0.4">
      <c r="A91" s="71" t="s">
        <v>61</v>
      </c>
      <c r="B91" s="72">
        <v>10</v>
      </c>
      <c r="C91" s="160">
        <v>1</v>
      </c>
      <c r="D91" s="79">
        <v>172896605</v>
      </c>
      <c r="E91" s="80">
        <f>IF(ISBLANK(D91),"-",$D$101/$D$98*D91)</f>
        <v>151492528.61679086</v>
      </c>
      <c r="F91" s="79">
        <v>155521802</v>
      </c>
      <c r="G91" s="81">
        <f>IF(ISBLANK(F91),"-",$D$101/$F$98*F91)</f>
        <v>149112785.37192911</v>
      </c>
      <c r="I91" s="82"/>
    </row>
    <row r="92" spans="1:12" ht="26.25" customHeight="1" x14ac:dyDescent="0.4">
      <c r="A92" s="71" t="s">
        <v>62</v>
      </c>
      <c r="B92" s="72">
        <v>1</v>
      </c>
      <c r="C92" s="171">
        <v>2</v>
      </c>
      <c r="D92" s="84">
        <v>172601430</v>
      </c>
      <c r="E92" s="85">
        <f>IF(ISBLANK(D92),"-",$D$101/$D$98*D92)</f>
        <v>151233895.38836825</v>
      </c>
      <c r="F92" s="84">
        <v>155792556</v>
      </c>
      <c r="G92" s="86">
        <f>IF(ISBLANK(F92),"-",$D$101/$F$98*F92)</f>
        <v>149372381.66371199</v>
      </c>
      <c r="I92" s="309">
        <f>ABS((F96/D96*D95)-F95)/D95</f>
        <v>1.3148920174564529E-2</v>
      </c>
    </row>
    <row r="93" spans="1:12" ht="26.25" customHeight="1" x14ac:dyDescent="0.4">
      <c r="A93" s="71" t="s">
        <v>63</v>
      </c>
      <c r="B93" s="72">
        <v>1</v>
      </c>
      <c r="C93" s="171">
        <v>3</v>
      </c>
      <c r="D93" s="84">
        <v>172823117</v>
      </c>
      <c r="E93" s="85">
        <f>IF(ISBLANK(D93),"-",$D$101/$D$98*D93)</f>
        <v>151428138.20876065</v>
      </c>
      <c r="F93" s="84">
        <v>155544858</v>
      </c>
      <c r="G93" s="86">
        <f>IF(ISBLANK(F93),"-",$D$101/$F$98*F93)</f>
        <v>149134891.23962948</v>
      </c>
      <c r="I93" s="309"/>
    </row>
    <row r="94" spans="1:12" ht="27" customHeight="1" thickBot="1" x14ac:dyDescent="0.45">
      <c r="A94" s="71" t="s">
        <v>64</v>
      </c>
      <c r="B94" s="72">
        <v>1</v>
      </c>
      <c r="C94" s="161">
        <v>4</v>
      </c>
      <c r="D94" s="89"/>
      <c r="E94" s="90" t="str">
        <f>IF(ISBLANK(D94),"-",$D$101/$D$98*D94)</f>
        <v>-</v>
      </c>
      <c r="F94" s="162"/>
      <c r="G94" s="91" t="str">
        <f>IF(ISBLANK(F94),"-",$D$101/$F$98*F94)</f>
        <v>-</v>
      </c>
      <c r="I94" s="92"/>
    </row>
    <row r="95" spans="1:12" ht="27" customHeight="1" thickBot="1" x14ac:dyDescent="0.45">
      <c r="A95" s="71" t="s">
        <v>65</v>
      </c>
      <c r="B95" s="72">
        <v>1</v>
      </c>
      <c r="C95" s="163" t="s">
        <v>66</v>
      </c>
      <c r="D95" s="164">
        <f>AVERAGE(D91:D94)</f>
        <v>172773717.33333334</v>
      </c>
      <c r="E95" s="95">
        <f>AVERAGE(E91:E94)</f>
        <v>151384854.07130659</v>
      </c>
      <c r="F95" s="165">
        <f>AVERAGE(F91:F94)</f>
        <v>155619738.66666666</v>
      </c>
      <c r="G95" s="166">
        <f>AVERAGE(G91:G94)</f>
        <v>149206686.09175685</v>
      </c>
    </row>
    <row r="96" spans="1:12" ht="26.25" customHeight="1" x14ac:dyDescent="0.4">
      <c r="A96" s="71" t="s">
        <v>67</v>
      </c>
      <c r="B96" s="155">
        <v>1</v>
      </c>
      <c r="C96" s="167" t="s">
        <v>108</v>
      </c>
      <c r="D96" s="168">
        <v>34.479999999999997</v>
      </c>
      <c r="E96" s="152"/>
      <c r="F96" s="99">
        <v>31.51</v>
      </c>
    </row>
    <row r="97" spans="1:10" ht="26.25" customHeight="1" x14ac:dyDescent="0.4">
      <c r="A97" s="71" t="s">
        <v>69</v>
      </c>
      <c r="B97" s="155">
        <v>1</v>
      </c>
      <c r="C97" s="169" t="s">
        <v>109</v>
      </c>
      <c r="D97" s="170">
        <f>D96*$B$87</f>
        <v>34.479999999999997</v>
      </c>
      <c r="E97" s="171"/>
      <c r="F97" s="101">
        <f>F96*$B$87</f>
        <v>31.51</v>
      </c>
    </row>
    <row r="98" spans="1:10" ht="19.5" customHeight="1" thickBot="1" x14ac:dyDescent="0.35">
      <c r="A98" s="71" t="s">
        <v>71</v>
      </c>
      <c r="B98" s="171">
        <f>(B97/B96)*(B95/B94)*(B93/B92)*(B91/B90)*B89</f>
        <v>50</v>
      </c>
      <c r="C98" s="169" t="s">
        <v>110</v>
      </c>
      <c r="D98" s="172">
        <f>D97*$B$83/100</f>
        <v>34.238639999999997</v>
      </c>
      <c r="E98" s="148"/>
      <c r="F98" s="104">
        <f>F97*$B$83/100</f>
        <v>31.289430000000003</v>
      </c>
    </row>
    <row r="99" spans="1:10" ht="19.5" customHeight="1" thickBot="1" x14ac:dyDescent="0.35">
      <c r="A99" s="295" t="s">
        <v>73</v>
      </c>
      <c r="B99" s="310"/>
      <c r="C99" s="169" t="s">
        <v>111</v>
      </c>
      <c r="D99" s="173">
        <f>D98/$B$98</f>
        <v>0.68477279999999996</v>
      </c>
      <c r="E99" s="148"/>
      <c r="F99" s="108">
        <f>F98/$B$98</f>
        <v>0.62578860000000003</v>
      </c>
      <c r="H99" s="228"/>
    </row>
    <row r="100" spans="1:10" ht="19.5" customHeight="1" thickBot="1" x14ac:dyDescent="0.35">
      <c r="A100" s="297"/>
      <c r="B100" s="311"/>
      <c r="C100" s="169" t="s">
        <v>75</v>
      </c>
      <c r="D100" s="175">
        <f>$B$56/$B$116</f>
        <v>0.6</v>
      </c>
      <c r="F100" s="113"/>
      <c r="G100" s="182"/>
      <c r="H100" s="228"/>
    </row>
    <row r="101" spans="1:10" ht="18.75" x14ac:dyDescent="0.3">
      <c r="C101" s="169" t="s">
        <v>76</v>
      </c>
      <c r="D101" s="170">
        <f>D100*$B$98</f>
        <v>30</v>
      </c>
      <c r="F101" s="113"/>
      <c r="H101" s="228"/>
    </row>
    <row r="102" spans="1:10" ht="19.5" customHeight="1" thickBot="1" x14ac:dyDescent="0.35">
      <c r="C102" s="177" t="s">
        <v>77</v>
      </c>
      <c r="D102" s="178">
        <f>D101/B34</f>
        <v>30</v>
      </c>
      <c r="F102" s="117"/>
      <c r="H102" s="228"/>
      <c r="J102" s="179"/>
    </row>
    <row r="103" spans="1:10" ht="18.75" x14ac:dyDescent="0.3">
      <c r="C103" s="180" t="s">
        <v>112</v>
      </c>
      <c r="D103" s="181">
        <f>AVERAGE(E91:E94,G91:G94)</f>
        <v>150295770.08153173</v>
      </c>
      <c r="F103" s="117"/>
      <c r="G103" s="182"/>
      <c r="H103" s="228"/>
      <c r="J103" s="183"/>
    </row>
    <row r="104" spans="1:10" ht="18.75" x14ac:dyDescent="0.3">
      <c r="C104" s="147" t="s">
        <v>79</v>
      </c>
      <c r="D104" s="184">
        <f>STDEV(E91:E94,G91:G94)/D103</f>
        <v>7.9810990930464041E-3</v>
      </c>
      <c r="F104" s="117"/>
      <c r="H104" s="228"/>
      <c r="J104" s="183"/>
    </row>
    <row r="105" spans="1:10" ht="19.5" customHeight="1" thickBot="1" x14ac:dyDescent="0.35">
      <c r="C105" s="149" t="s">
        <v>15</v>
      </c>
      <c r="D105" s="185">
        <f>COUNT(E91:E94,G91:G94)</f>
        <v>6</v>
      </c>
      <c r="F105" s="117"/>
      <c r="H105" s="228"/>
      <c r="J105" s="183"/>
    </row>
    <row r="106" spans="1:10" ht="19.5" customHeight="1" thickBot="1" x14ac:dyDescent="0.35">
      <c r="A106" s="121"/>
      <c r="B106" s="121"/>
      <c r="C106" s="121"/>
      <c r="D106" s="121"/>
      <c r="E106" s="121"/>
    </row>
    <row r="107" spans="1:10" ht="26.25" customHeight="1" x14ac:dyDescent="0.4">
      <c r="A107" s="69" t="s">
        <v>113</v>
      </c>
      <c r="B107" s="70">
        <v>1000</v>
      </c>
      <c r="C107" s="232" t="s">
        <v>114</v>
      </c>
      <c r="D107" s="187" t="s">
        <v>58</v>
      </c>
      <c r="E107" s="188" t="s">
        <v>115</v>
      </c>
      <c r="F107" s="189" t="s">
        <v>116</v>
      </c>
    </row>
    <row r="108" spans="1:10" ht="26.25" customHeight="1" x14ac:dyDescent="0.4">
      <c r="A108" s="71" t="s">
        <v>117</v>
      </c>
      <c r="B108" s="72">
        <v>1</v>
      </c>
      <c r="C108" s="190">
        <v>1</v>
      </c>
      <c r="D108" s="191">
        <v>124342528</v>
      </c>
      <c r="E108" s="222">
        <f t="shared" ref="E108:E113" si="1">IF(ISBLANK(D108),"-",D108/$D$103*$D$100*$B$116)</f>
        <v>496.39132731099716</v>
      </c>
      <c r="F108" s="192">
        <f t="shared" ref="F108:F113" si="2">IF(ISBLANK(D108), "-", E108/$B$56)</f>
        <v>0.82731887885166189</v>
      </c>
    </row>
    <row r="109" spans="1:10" ht="26.25" customHeight="1" x14ac:dyDescent="0.4">
      <c r="A109" s="71" t="s">
        <v>90</v>
      </c>
      <c r="B109" s="72">
        <v>1</v>
      </c>
      <c r="C109" s="190">
        <v>2</v>
      </c>
      <c r="D109" s="191">
        <v>125016296</v>
      </c>
      <c r="E109" s="223">
        <f t="shared" si="1"/>
        <v>499.08109562437488</v>
      </c>
      <c r="F109" s="193">
        <f t="shared" si="2"/>
        <v>0.8318018260406248</v>
      </c>
    </row>
    <row r="110" spans="1:10" ht="26.25" customHeight="1" x14ac:dyDescent="0.4">
      <c r="A110" s="71" t="s">
        <v>91</v>
      </c>
      <c r="B110" s="72">
        <v>1</v>
      </c>
      <c r="C110" s="190">
        <v>3</v>
      </c>
      <c r="D110" s="191">
        <v>124539262</v>
      </c>
      <c r="E110" s="223">
        <f t="shared" si="1"/>
        <v>497.17671468374874</v>
      </c>
      <c r="F110" s="193">
        <f t="shared" si="2"/>
        <v>0.82862785780624792</v>
      </c>
    </row>
    <row r="111" spans="1:10" ht="26.25" customHeight="1" x14ac:dyDescent="0.4">
      <c r="A111" s="71" t="s">
        <v>92</v>
      </c>
      <c r="B111" s="72">
        <v>1</v>
      </c>
      <c r="C111" s="190">
        <v>4</v>
      </c>
      <c r="D111" s="191">
        <v>124653475</v>
      </c>
      <c r="E111" s="223">
        <f t="shared" si="1"/>
        <v>497.63266763547063</v>
      </c>
      <c r="F111" s="193">
        <f t="shared" si="2"/>
        <v>0.82938777939245101</v>
      </c>
    </row>
    <row r="112" spans="1:10" ht="26.25" customHeight="1" x14ac:dyDescent="0.4">
      <c r="A112" s="71" t="s">
        <v>93</v>
      </c>
      <c r="B112" s="72">
        <v>1</v>
      </c>
      <c r="C112" s="190">
        <v>5</v>
      </c>
      <c r="D112" s="191">
        <v>125725615</v>
      </c>
      <c r="E112" s="223">
        <f t="shared" si="1"/>
        <v>501.91278809162878</v>
      </c>
      <c r="F112" s="193">
        <f t="shared" si="2"/>
        <v>0.83652131348604797</v>
      </c>
    </row>
    <row r="113" spans="1:10" ht="26.25" customHeight="1" x14ac:dyDescent="0.4">
      <c r="A113" s="71" t="s">
        <v>95</v>
      </c>
      <c r="B113" s="72">
        <v>1</v>
      </c>
      <c r="C113" s="194">
        <v>6</v>
      </c>
      <c r="D113" s="195">
        <v>125225070</v>
      </c>
      <c r="E113" s="224">
        <f t="shared" si="1"/>
        <v>499.91454822208971</v>
      </c>
      <c r="F113" s="196">
        <f t="shared" si="2"/>
        <v>0.83319091370348286</v>
      </c>
    </row>
    <row r="114" spans="1:10" ht="26.25" customHeight="1" x14ac:dyDescent="0.4">
      <c r="A114" s="71" t="s">
        <v>96</v>
      </c>
      <c r="B114" s="72">
        <v>1</v>
      </c>
      <c r="C114" s="190"/>
      <c r="D114" s="171"/>
      <c r="E114" s="152"/>
      <c r="F114" s="197"/>
    </row>
    <row r="115" spans="1:10" ht="26.25" customHeight="1" x14ac:dyDescent="0.4">
      <c r="A115" s="71" t="s">
        <v>97</v>
      </c>
      <c r="B115" s="72">
        <v>1</v>
      </c>
      <c r="C115" s="190"/>
      <c r="D115" s="198" t="s">
        <v>66</v>
      </c>
      <c r="E115" s="226">
        <f>AVERAGE(E108:E113)</f>
        <v>498.68485692805166</v>
      </c>
      <c r="F115" s="199">
        <f>AVERAGE(F108:F113)</f>
        <v>0.83114142821341941</v>
      </c>
    </row>
    <row r="116" spans="1:10" ht="27" customHeight="1" thickBot="1" x14ac:dyDescent="0.45">
      <c r="A116" s="71" t="s">
        <v>98</v>
      </c>
      <c r="B116" s="103">
        <f>(B115/B114)*(B113/B112)*(B111/B110)*(B109/B108)*B107</f>
        <v>1000</v>
      </c>
      <c r="C116" s="200"/>
      <c r="D116" s="163" t="s">
        <v>79</v>
      </c>
      <c r="E116" s="201">
        <f>STDEV(E108:E113)/E115</f>
        <v>4.0831404781196288E-3</v>
      </c>
      <c r="F116" s="201">
        <f>STDEV(F108:F113)/F115</f>
        <v>4.0831404781196401E-3</v>
      </c>
      <c r="I116" s="152"/>
    </row>
    <row r="117" spans="1:10" ht="27" customHeight="1" thickBot="1" x14ac:dyDescent="0.45">
      <c r="A117" s="295" t="s">
        <v>73</v>
      </c>
      <c r="B117" s="296"/>
      <c r="C117" s="202"/>
      <c r="D117" s="203" t="s">
        <v>15</v>
      </c>
      <c r="E117" s="204">
        <f>COUNT(E108:E113)</f>
        <v>6</v>
      </c>
      <c r="F117" s="204">
        <f>COUNT(F108:F113)</f>
        <v>6</v>
      </c>
      <c r="I117" s="152"/>
      <c r="J117" s="183"/>
    </row>
    <row r="118" spans="1:10" ht="19.5" customHeight="1" thickBot="1" x14ac:dyDescent="0.35">
      <c r="A118" s="297"/>
      <c r="B118" s="298"/>
      <c r="C118" s="152"/>
      <c r="D118" s="152"/>
      <c r="E118" s="152"/>
      <c r="F118" s="171"/>
      <c r="G118" s="152"/>
      <c r="H118" s="152"/>
      <c r="I118" s="152"/>
    </row>
    <row r="119" spans="1:10" ht="18.75" x14ac:dyDescent="0.3">
      <c r="A119" s="213"/>
      <c r="B119" s="67"/>
      <c r="C119" s="152"/>
      <c r="D119" s="152"/>
      <c r="E119" s="152"/>
      <c r="F119" s="171"/>
      <c r="G119" s="152"/>
      <c r="H119" s="152"/>
      <c r="I119" s="152"/>
    </row>
    <row r="120" spans="1:10" ht="26.25" customHeight="1" x14ac:dyDescent="0.4">
      <c r="A120" s="208" t="s">
        <v>101</v>
      </c>
      <c r="B120" s="163" t="s">
        <v>118</v>
      </c>
      <c r="C120" s="299" t="str">
        <f>B20</f>
        <v>Efavirenz</v>
      </c>
      <c r="D120" s="299"/>
      <c r="E120" s="152" t="s">
        <v>119</v>
      </c>
      <c r="F120" s="152"/>
      <c r="G120" s="153">
        <f>F115</f>
        <v>0.83114142821341941</v>
      </c>
      <c r="H120" s="152"/>
      <c r="I120" s="152"/>
    </row>
    <row r="121" spans="1:10" ht="19.5" customHeight="1" thickBot="1" x14ac:dyDescent="0.35">
      <c r="A121" s="236"/>
      <c r="B121" s="236"/>
      <c r="C121" s="206"/>
      <c r="D121" s="206"/>
      <c r="E121" s="206"/>
      <c r="F121" s="206"/>
      <c r="G121" s="206"/>
      <c r="H121" s="206"/>
    </row>
    <row r="122" spans="1:10" ht="18.75" x14ac:dyDescent="0.3">
      <c r="B122" s="300" t="s">
        <v>21</v>
      </c>
      <c r="C122" s="300"/>
      <c r="E122" s="235" t="s">
        <v>22</v>
      </c>
      <c r="F122" s="207"/>
      <c r="G122" s="300" t="s">
        <v>23</v>
      </c>
      <c r="H122" s="300"/>
    </row>
    <row r="123" spans="1:10" ht="69.95" customHeight="1" x14ac:dyDescent="0.3">
      <c r="A123" s="208" t="s">
        <v>24</v>
      </c>
      <c r="B123" s="210"/>
      <c r="C123" s="210"/>
      <c r="E123" s="210"/>
      <c r="F123" s="152"/>
      <c r="G123" s="210"/>
      <c r="H123" s="210"/>
    </row>
    <row r="124" spans="1:10" ht="69.95" customHeight="1" x14ac:dyDescent="0.3">
      <c r="A124" s="208" t="s">
        <v>25</v>
      </c>
      <c r="B124" s="211"/>
      <c r="C124" s="211"/>
      <c r="E124" s="211"/>
      <c r="F124" s="152"/>
      <c r="G124" s="212"/>
      <c r="H124" s="212"/>
    </row>
    <row r="125" spans="1:10" ht="18.75" x14ac:dyDescent="0.3">
      <c r="A125" s="171"/>
      <c r="B125" s="171"/>
      <c r="C125" s="171"/>
      <c r="D125" s="171"/>
      <c r="E125" s="171"/>
      <c r="F125" s="148"/>
      <c r="G125" s="171"/>
      <c r="H125" s="171"/>
      <c r="I125" s="152"/>
    </row>
    <row r="126" spans="1:10" ht="18.75" x14ac:dyDescent="0.3">
      <c r="A126" s="171"/>
      <c r="B126" s="171"/>
      <c r="C126" s="171"/>
      <c r="D126" s="171"/>
      <c r="E126" s="171"/>
      <c r="F126" s="148"/>
      <c r="G126" s="171"/>
      <c r="H126" s="171"/>
      <c r="I126" s="152"/>
    </row>
    <row r="127" spans="1:10" ht="18.75" x14ac:dyDescent="0.3">
      <c r="A127" s="171"/>
      <c r="B127" s="171"/>
      <c r="C127" s="171"/>
      <c r="D127" s="171"/>
      <c r="E127" s="171"/>
      <c r="F127" s="148"/>
      <c r="G127" s="171"/>
      <c r="H127" s="171"/>
      <c r="I127" s="152"/>
    </row>
    <row r="128" spans="1:10" ht="18.75" x14ac:dyDescent="0.3">
      <c r="A128" s="171"/>
      <c r="B128" s="171"/>
      <c r="C128" s="171"/>
      <c r="D128" s="171"/>
      <c r="E128" s="171"/>
      <c r="F128" s="148"/>
      <c r="G128" s="171"/>
      <c r="H128" s="171"/>
      <c r="I128" s="152"/>
    </row>
    <row r="129" spans="1:9" ht="18.75" x14ac:dyDescent="0.3">
      <c r="A129" s="171"/>
      <c r="B129" s="171"/>
      <c r="C129" s="171"/>
      <c r="D129" s="171"/>
      <c r="E129" s="171"/>
      <c r="F129" s="148"/>
      <c r="G129" s="171"/>
      <c r="H129" s="171"/>
      <c r="I129" s="152"/>
    </row>
    <row r="130" spans="1:9" ht="18.75" x14ac:dyDescent="0.3">
      <c r="A130" s="171"/>
      <c r="B130" s="171"/>
      <c r="C130" s="171"/>
      <c r="D130" s="171"/>
      <c r="E130" s="171"/>
      <c r="F130" s="148"/>
      <c r="G130" s="171"/>
      <c r="H130" s="171"/>
      <c r="I130" s="152"/>
    </row>
    <row r="131" spans="1:9" ht="18.75" x14ac:dyDescent="0.3">
      <c r="A131" s="171"/>
      <c r="B131" s="171"/>
      <c r="C131" s="171"/>
      <c r="D131" s="171"/>
      <c r="E131" s="171"/>
      <c r="F131" s="148"/>
      <c r="G131" s="171"/>
      <c r="H131" s="171"/>
      <c r="I131" s="152"/>
    </row>
    <row r="132" spans="1:9" ht="18.75" x14ac:dyDescent="0.3">
      <c r="A132" s="171"/>
      <c r="B132" s="171"/>
      <c r="C132" s="171"/>
      <c r="D132" s="171"/>
      <c r="E132" s="171"/>
      <c r="F132" s="148"/>
      <c r="G132" s="171"/>
      <c r="H132" s="171"/>
      <c r="I132" s="152"/>
    </row>
    <row r="133" spans="1:9" ht="18.75" x14ac:dyDescent="0.3">
      <c r="A133" s="171"/>
      <c r="B133" s="171"/>
      <c r="C133" s="171"/>
      <c r="D133" s="171"/>
      <c r="E133" s="171"/>
      <c r="F133" s="148"/>
      <c r="G133" s="171"/>
      <c r="H133" s="171"/>
      <c r="I133" s="152"/>
    </row>
    <row r="250" spans="1:1" x14ac:dyDescent="0.25">
      <c r="A250" s="229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Efa SST</vt:lpstr>
      <vt:lpstr>TDF SST</vt:lpstr>
      <vt:lpstr>Lam SST</vt:lpstr>
      <vt:lpstr>Uniformity (2)</vt:lpstr>
      <vt:lpstr>Lam</vt:lpstr>
      <vt:lpstr>TDF</vt:lpstr>
      <vt:lpstr>Efa</vt:lpstr>
      <vt:lpstr>Efa!Print_Area</vt:lpstr>
      <vt:lpstr>Lam!Print_Area</vt:lpstr>
      <vt:lpstr>TDF!Print_Area</vt:lpstr>
      <vt:lpstr>'Uniformity (2)'!Print_Area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HPLC2_NQCL</cp:lastModifiedBy>
  <cp:lastPrinted>2016-07-06T04:49:38Z</cp:lastPrinted>
  <dcterms:created xsi:type="dcterms:W3CDTF">2005-07-05T10:19:27Z</dcterms:created>
  <dcterms:modified xsi:type="dcterms:W3CDTF">2016-07-06T04:56:47Z</dcterms:modified>
</cp:coreProperties>
</file>