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minimized="1" xWindow="510" yWindow="585" windowWidth="14055" windowHeight="6090" activeTab="6"/>
  </bookViews>
  <sheets>
    <sheet name="Uniformity (2)" sheetId="15" r:id="rId1"/>
    <sheet name="Efa SST" sheetId="10" r:id="rId2"/>
    <sheet name="TDF SST" sheetId="9" r:id="rId3"/>
    <sheet name="Lam SST" sheetId="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C46" i="15" l="1"/>
  <c r="D50" i="15" s="1"/>
  <c r="C45" i="15"/>
  <c r="D40" i="15"/>
  <c r="D36" i="15"/>
  <c r="D32" i="15"/>
  <c r="D28" i="15"/>
  <c r="D24" i="15"/>
  <c r="C19" i="15"/>
  <c r="C50" i="15" l="1"/>
  <c r="D26" i="15"/>
  <c r="D34" i="15"/>
  <c r="D38" i="15"/>
  <c r="D27" i="15"/>
  <c r="D31" i="15"/>
  <c r="D35" i="15"/>
  <c r="D39" i="15"/>
  <c r="D43" i="15"/>
  <c r="C49" i="15"/>
  <c r="D49" i="15"/>
  <c r="D25" i="15"/>
  <c r="D29" i="15"/>
  <c r="D33" i="15"/>
  <c r="D37" i="15"/>
  <c r="D41" i="15"/>
  <c r="D30" i="15"/>
  <c r="D42" i="15"/>
  <c r="B49" i="15"/>
  <c r="B19" i="14"/>
  <c r="B19" i="13"/>
  <c r="B57" i="14" l="1"/>
  <c r="B57" i="13"/>
  <c r="D68" i="14" l="1"/>
  <c r="D64" i="14"/>
  <c r="D60" i="14"/>
  <c r="D68" i="13"/>
  <c r="D64" i="13"/>
  <c r="D60" i="13"/>
  <c r="F96" i="14"/>
  <c r="D96" i="14"/>
  <c r="F96" i="13"/>
  <c r="D96" i="13"/>
  <c r="F96" i="3"/>
  <c r="D96" i="3"/>
  <c r="B21" i="5" l="1"/>
  <c r="B20" i="5"/>
  <c r="B41" i="5" s="1"/>
  <c r="B17" i="5"/>
  <c r="B21" i="9"/>
  <c r="B42" i="9" s="1"/>
  <c r="B20" i="9"/>
  <c r="B17" i="9"/>
  <c r="B21" i="10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D101" i="14" l="1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<sst xmlns="http://schemas.openxmlformats.org/spreadsheetml/2006/main" count="639" uniqueCount="138">
  <si>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</si>
  <si>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</si>
  <si>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</si>
  <si>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</si>
  <si>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</si>
  <si>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</si>
  <si>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</si>
  <si>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</si>
  <si>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</si>
  <si>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</si>
  <si>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</si>
  <si>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</si>
  <si>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</si>
  <si>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</si>
  <si>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</si>
  <si>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</si>
  <si>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</si>
  <si>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</si>
  <si>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</si>
  <si>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</si>
  <si>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</si>
  <si>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</si>
  <si>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</si>
  <si>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</si>
  <si>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</si>
  <si>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</si>
  <si>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</si>
  <si>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</si>
  <si>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</si>
  <si>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</si>
  <si>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</si>
  <si>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</si>
  <si>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</si>
  <si>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</si>
  <si>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</si>
  <si>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</si>
  <si>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</si>
  <si>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</si>
  <si>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</si>
  <si>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</si>
  <si>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</si>
  <si>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</si>
  <si>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</si>
  <si>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</si>
  <si>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</si>
  <si>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</si>
  <si>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</si>
  <si>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</si>
  <si>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</si>
  <si>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</si>
  <si>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</si>
  <si>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</si>
  <si>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</si>
  <si>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</si>
  <si>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</si>
  <si>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</si>
  <si>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</si>
  <si>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</si>
  <si>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</si>
  <si>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</si>
  <si>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</si>
  <si>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</si>
  <si>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</si>
  <si>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</si>
  <si>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</si>
  <si>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</si>
  <si>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</si>
  <si>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</si>
  <si>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</si>
  <si>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</si>
  <si>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</si>
  <si>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</si>
  <si>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</si>
  <si>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</si>
  <si>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</si>
  <si>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</si>
  <si>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</si>
  <si>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</si>
  <si>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</si>
  <si>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</si>
  <si>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</si>
  <si>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</si>
  <si>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</si>
  <si>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</si>
  <si>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</si>
  <si>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</si>
  <si>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</si>
  <si>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</si>
  <si>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</si>
  <si>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</si>
  <si>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</si>
  <si>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</si>
  <si>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</si>
  <si>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</si>
  <si>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</si>
  <si>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</si>
  <si>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</si>
  <si>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</si>
  <si>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</si>
  <si>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</si>
  <si>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</si>
  <si>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</si>
  <si>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</si>
  <si>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</si>
  <si>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</si>
  <si>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</si>
  <si>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</si>
  <si>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</si>
  <si>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</si>
  <si>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</si>
  <si>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</si>
  <si>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</si>
  <si>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</si>
  <si>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</si>
  <si>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</si>
  <si>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</si>
  <si>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</si>
  <si>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</si>
  <si>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</si>
  <si>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</si>
  <si>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</si>
  <si>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</si>
  <si>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</si>
  <si>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</si>
  <si>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</si>
  <si>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</si>
  <si>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</si>
  <si>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</si>
  <si>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</si>
  <si>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</si>
  <si>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</si>
  <si>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</si>
  <si>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NDQD2016061056</t>
  </si>
  <si>
    <t>TENOFOVIR DISOPROXIL FUMARATE/  LAMIVUDINE/ EFAVIRENZ  TABLETS 300 MG/300 MG /600 MG</t>
  </si>
  <si>
    <t>NDQD2016061052</t>
  </si>
  <si>
    <t xml:space="preserve">Tenofovir Disoproxil Fumarate , Lamivudine  &amp; Efavirenz </t>
  </si>
  <si>
    <t>Tenofovir Disoproxil Fumarate 300mg/Lamivudine 300mg/Efavirenz 600mg</t>
  </si>
  <si>
    <t>2016-06-10 15:22:34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</si>
</sst>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80" customWidth="1"/>
    <col min="2" max="2" width="18.42578125" style="280" customWidth="1"/>
    <col min="3" max="3" width="14.28515625" style="280" customWidth="1"/>
    <col min="4" max="4" width="15" style="280" customWidth="1"/>
    <col min="5" max="5" width="9.140625" style="280" customWidth="1"/>
    <col min="6" max="6" width="27.85546875" style="280" customWidth="1"/>
    <col min="7" max="7" width="12.28515625" style="280" customWidth="1"/>
    <col min="8" max="8" width="9.140625" style="280" customWidth="1"/>
    <col min="9" max="16384" width="9.140625" style="331"/>
  </cols>
  <sheetData>
    <row r="10" spans="1:7" ht="13.5" customHeight="1" thickBot="1" x14ac:dyDescent="0.35"/>
    <row r="11" spans="1:7" ht="13.5" customHeight="1" thickBot="1" x14ac:dyDescent="0.35">
      <c r="A11" s="281" t="s">
        <v>26</v>
      </c>
      <c r="B11" s="282"/>
      <c r="C11" s="282"/>
      <c r="D11" s="282"/>
      <c r="E11" s="282"/>
      <c r="F11" s="283"/>
      <c r="G11" s="284"/>
    </row>
    <row r="12" spans="1:7" ht="16.5" customHeight="1" x14ac:dyDescent="0.3">
      <c r="A12" s="285" t="s">
        <v>27</v>
      </c>
      <c r="B12" s="285"/>
      <c r="C12" s="285"/>
      <c r="D12" s="285"/>
      <c r="E12" s="285"/>
      <c r="F12" s="285"/>
      <c r="G12" s="286"/>
    </row>
    <row r="14" spans="1:7" ht="16.5" customHeight="1" x14ac:dyDescent="0.3">
      <c r="A14" s="287" t="s">
        <v>28</v>
      </c>
      <c r="B14" s="287"/>
      <c r="C14" s="288" t="s">
        <v>133</v>
      </c>
    </row>
    <row r="15" spans="1:7" ht="16.5" customHeight="1" x14ac:dyDescent="0.3">
      <c r="A15" s="287" t="s">
        <v>29</v>
      </c>
      <c r="B15" s="287"/>
      <c r="C15" s="288" t="s">
        <v>134</v>
      </c>
    </row>
    <row r="16" spans="1:7" ht="16.5" customHeight="1" x14ac:dyDescent="0.3">
      <c r="A16" s="287" t="s">
        <v>30</v>
      </c>
      <c r="B16" s="287"/>
      <c r="C16" s="288" t="s">
        <v>135</v>
      </c>
    </row>
    <row r="17" spans="1:5" ht="16.5" customHeight="1" x14ac:dyDescent="0.3">
      <c r="A17" s="287" t="s">
        <v>31</v>
      </c>
      <c r="B17" s="287"/>
      <c r="C17" s="288" t="s">
        <v>136</v>
      </c>
    </row>
    <row r="18" spans="1:5" ht="16.5" customHeight="1" x14ac:dyDescent="0.3">
      <c r="A18" s="287" t="s">
        <v>32</v>
      </c>
      <c r="B18" s="287"/>
      <c r="C18" s="289" t="s">
        <v>137</v>
      </c>
    </row>
    <row r="19" spans="1:5" ht="16.5" customHeight="1" x14ac:dyDescent="0.3">
      <c r="A19" s="287" t="s">
        <v>33</v>
      </c>
      <c r="B19" s="287"/>
      <c r="C19" s="289" t="e">
        <f>#REF!</f>
        <v>#REF!</v>
      </c>
    </row>
    <row r="20" spans="1:5" ht="16.5" customHeight="1" x14ac:dyDescent="0.3">
      <c r="A20" s="290"/>
      <c r="B20" s="290"/>
      <c r="C20" s="291"/>
    </row>
    <row r="21" spans="1:5" ht="16.5" customHeight="1" x14ac:dyDescent="0.3">
      <c r="A21" s="285" t="s">
        <v>1</v>
      </c>
      <c r="B21" s="285"/>
      <c r="C21" s="292" t="s">
        <v>34</v>
      </c>
      <c r="D21" s="293"/>
    </row>
    <row r="22" spans="1:5" ht="15.75" customHeight="1" thickBot="1" x14ac:dyDescent="0.35">
      <c r="A22" s="294"/>
      <c r="B22" s="294"/>
      <c r="C22" s="295"/>
      <c r="D22" s="294"/>
      <c r="E22" s="294"/>
    </row>
    <row r="23" spans="1:5" ht="33.75" customHeight="1" thickBot="1" x14ac:dyDescent="0.35">
      <c r="C23" s="296" t="s">
        <v>35</v>
      </c>
      <c r="D23" s="297" t="s">
        <v>36</v>
      </c>
      <c r="E23" s="298"/>
    </row>
    <row r="24" spans="1:5" ht="15.75" customHeight="1" x14ac:dyDescent="0.3">
      <c r="C24" s="299">
        <v>1895.91</v>
      </c>
      <c r="D24" s="300">
        <f t="shared" ref="D24:D43" si="0">(C24-$C$46)/$C$46</f>
        <v>4.2461624317905024E-5</v>
      </c>
      <c r="E24" s="301"/>
    </row>
    <row r="25" spans="1:5" ht="15.75" customHeight="1" x14ac:dyDescent="0.3">
      <c r="C25" s="299">
        <v>1921.45</v>
      </c>
      <c r="D25" s="302">
        <f t="shared" si="0"/>
        <v>1.35141372153982E-2</v>
      </c>
      <c r="E25" s="301"/>
    </row>
    <row r="26" spans="1:5" ht="15.75" customHeight="1" x14ac:dyDescent="0.3">
      <c r="C26" s="299">
        <v>1925.96</v>
      </c>
      <c r="D26" s="302">
        <f t="shared" si="0"/>
        <v>1.5893043124394757E-2</v>
      </c>
      <c r="E26" s="301"/>
    </row>
    <row r="27" spans="1:5" ht="15.75" customHeight="1" x14ac:dyDescent="0.3">
      <c r="C27" s="299">
        <v>1891.62</v>
      </c>
      <c r="D27" s="302">
        <f t="shared" si="0"/>
        <v>-2.2204000939959993E-3</v>
      </c>
      <c r="E27" s="301"/>
    </row>
    <row r="28" spans="1:5" ht="15.75" customHeight="1" x14ac:dyDescent="0.3">
      <c r="C28" s="299">
        <v>1894.21</v>
      </c>
      <c r="D28" s="302">
        <f t="shared" si="0"/>
        <v>-8.5424348550343983E-4</v>
      </c>
      <c r="E28" s="301"/>
    </row>
    <row r="29" spans="1:5" ht="15.75" customHeight="1" x14ac:dyDescent="0.3">
      <c r="C29" s="299">
        <v>1890.88</v>
      </c>
      <c r="D29" s="302">
        <f t="shared" si="0"/>
        <v>-2.610730553565165E-3</v>
      </c>
      <c r="E29" s="301"/>
    </row>
    <row r="30" spans="1:5" ht="15.75" customHeight="1" x14ac:dyDescent="0.3">
      <c r="C30" s="299">
        <v>1863.49</v>
      </c>
      <c r="D30" s="302">
        <f t="shared" si="0"/>
        <v>-1.7058232293568735E-2</v>
      </c>
      <c r="E30" s="301"/>
    </row>
    <row r="31" spans="1:5" ht="15.75" customHeight="1" x14ac:dyDescent="0.3">
      <c r="C31" s="299">
        <v>1904.59</v>
      </c>
      <c r="D31" s="302">
        <f t="shared" si="0"/>
        <v>4.6209324203466805E-3</v>
      </c>
      <c r="E31" s="301"/>
    </row>
    <row r="32" spans="1:5" ht="15.75" customHeight="1" x14ac:dyDescent="0.3">
      <c r="C32" s="299">
        <v>1894.85</v>
      </c>
      <c r="D32" s="302">
        <f t="shared" si="0"/>
        <v>-5.1666038533548027E-4</v>
      </c>
      <c r="E32" s="301"/>
    </row>
    <row r="33" spans="1:7" ht="15.75" customHeight="1" x14ac:dyDescent="0.3">
      <c r="C33" s="299">
        <v>1877.67</v>
      </c>
      <c r="D33" s="302">
        <f t="shared" si="0"/>
        <v>-9.5786567304708605E-3</v>
      </c>
      <c r="E33" s="301"/>
    </row>
    <row r="34" spans="1:7" ht="15.75" customHeight="1" x14ac:dyDescent="0.3">
      <c r="C34" s="299">
        <v>1819.61</v>
      </c>
      <c r="D34" s="302">
        <f t="shared" si="0"/>
        <v>-4.0203773598839122E-2</v>
      </c>
      <c r="E34" s="301"/>
    </row>
    <row r="35" spans="1:7" ht="15.75" customHeight="1" x14ac:dyDescent="0.3">
      <c r="C35" s="299">
        <v>1890.94</v>
      </c>
      <c r="D35" s="302">
        <f t="shared" si="0"/>
        <v>-2.5790821379244413E-3</v>
      </c>
      <c r="E35" s="301"/>
    </row>
    <row r="36" spans="1:7" ht="15.75" customHeight="1" x14ac:dyDescent="0.3">
      <c r="C36" s="299">
        <v>1899.72</v>
      </c>
      <c r="D36" s="302">
        <f t="shared" si="0"/>
        <v>2.0521360175056601E-3</v>
      </c>
      <c r="E36" s="301"/>
    </row>
    <row r="37" spans="1:7" ht="15.75" customHeight="1" x14ac:dyDescent="0.3">
      <c r="C37" s="299">
        <v>1923.15</v>
      </c>
      <c r="D37" s="302">
        <f t="shared" si="0"/>
        <v>1.4410842325219544E-2</v>
      </c>
      <c r="E37" s="301"/>
    </row>
    <row r="38" spans="1:7" ht="15.75" customHeight="1" x14ac:dyDescent="0.3">
      <c r="C38" s="299">
        <v>1898.54</v>
      </c>
      <c r="D38" s="302">
        <f t="shared" si="0"/>
        <v>1.4297171765708272E-3</v>
      </c>
      <c r="E38" s="301"/>
    </row>
    <row r="39" spans="1:7" ht="15.75" customHeight="1" x14ac:dyDescent="0.3">
      <c r="C39" s="299">
        <v>1904.48</v>
      </c>
      <c r="D39" s="302">
        <f t="shared" si="0"/>
        <v>4.5629103250053532E-3</v>
      </c>
      <c r="E39" s="301"/>
    </row>
    <row r="40" spans="1:7" ht="15.75" customHeight="1" x14ac:dyDescent="0.3">
      <c r="C40" s="299">
        <v>1935.82</v>
      </c>
      <c r="D40" s="302">
        <f t="shared" si="0"/>
        <v>2.1093932761358365E-2</v>
      </c>
      <c r="E40" s="301"/>
    </row>
    <row r="41" spans="1:7" ht="15.75" customHeight="1" x14ac:dyDescent="0.3">
      <c r="C41" s="299">
        <v>1881.62</v>
      </c>
      <c r="D41" s="302">
        <f t="shared" si="0"/>
        <v>-7.4951360341214161E-3</v>
      </c>
      <c r="E41" s="301"/>
    </row>
    <row r="42" spans="1:7" ht="15.75" customHeight="1" x14ac:dyDescent="0.3">
      <c r="C42" s="299">
        <v>1903.76</v>
      </c>
      <c r="D42" s="302">
        <f t="shared" si="0"/>
        <v>4.1831293373163093E-3</v>
      </c>
      <c r="E42" s="301"/>
    </row>
    <row r="43" spans="1:7" ht="16.5" customHeight="1" thickBot="1" x14ac:dyDescent="0.35">
      <c r="C43" s="303">
        <v>1898.32</v>
      </c>
      <c r="D43" s="304">
        <f t="shared" si="0"/>
        <v>1.3136729858880536E-3</v>
      </c>
      <c r="E43" s="301"/>
    </row>
    <row r="44" spans="1:7" ht="16.5" customHeight="1" thickBot="1" x14ac:dyDescent="0.35">
      <c r="C44" s="305"/>
      <c r="D44" s="301"/>
      <c r="E44" s="306"/>
    </row>
    <row r="45" spans="1:7" ht="16.5" customHeight="1" thickBot="1" x14ac:dyDescent="0.35">
      <c r="B45" s="307" t="s">
        <v>37</v>
      </c>
      <c r="C45" s="308">
        <f>SUM(C24:C44)</f>
        <v>37916.590000000004</v>
      </c>
      <c r="D45" s="309"/>
      <c r="E45" s="305"/>
    </row>
    <row r="46" spans="1:7" ht="17.25" customHeight="1" thickBot="1" x14ac:dyDescent="0.35">
      <c r="B46" s="307" t="s">
        <v>38</v>
      </c>
      <c r="C46" s="310">
        <f>AVERAGE(C24:C44)</f>
        <v>1895.8295000000003</v>
      </c>
      <c r="E46" s="311"/>
    </row>
    <row r="47" spans="1:7" ht="17.25" customHeight="1" thickBot="1" x14ac:dyDescent="0.35">
      <c r="A47" s="288"/>
      <c r="B47" s="312"/>
      <c r="D47" s="313"/>
      <c r="E47" s="311"/>
    </row>
    <row r="48" spans="1:7" ht="33.75" customHeight="1" thickBot="1" x14ac:dyDescent="0.35">
      <c r="B48" s="314" t="s">
        <v>38</v>
      </c>
      <c r="C48" s="297" t="s">
        <v>39</v>
      </c>
      <c r="D48" s="315"/>
      <c r="G48" s="313"/>
    </row>
    <row r="49" spans="1:6" ht="17.25" customHeight="1" thickBot="1" x14ac:dyDescent="0.35">
      <c r="B49" s="316">
        <f>C46</f>
        <v>1895.8295000000003</v>
      </c>
      <c r="C49" s="317">
        <f>-IF(C46&lt;=80,10%,IF(C46&lt;250,7.5%,5%))</f>
        <v>-0.05</v>
      </c>
      <c r="D49" s="318">
        <f>IF(C46&lt;=80,C46*0.9,IF(C46&lt;250,C46*0.925,C46*0.95))</f>
        <v>1801.0380250000003</v>
      </c>
    </row>
    <row r="50" spans="1:6" ht="17.25" customHeight="1" thickBot="1" x14ac:dyDescent="0.35">
      <c r="B50" s="319"/>
      <c r="C50" s="320">
        <f>IF(C46&lt;=80, 10%, IF(C46&lt;250, 7.5%, 5%))</f>
        <v>0.05</v>
      </c>
      <c r="D50" s="318">
        <f>IF(C46&lt;=80, C46*1.1, IF(C46&lt;250, C46*1.075, C46*1.05))</f>
        <v>1990.6209750000003</v>
      </c>
    </row>
    <row r="51" spans="1:6" ht="16.5" customHeight="1" thickBot="1" x14ac:dyDescent="0.35">
      <c r="A51" s="321"/>
      <c r="B51" s="322"/>
      <c r="C51" s="288"/>
      <c r="D51" s="323"/>
      <c r="E51" s="288"/>
      <c r="F51" s="293"/>
    </row>
    <row r="52" spans="1:6" ht="16.5" customHeight="1" x14ac:dyDescent="0.3">
      <c r="A52" s="288"/>
      <c r="B52" s="324" t="s">
        <v>21</v>
      </c>
      <c r="C52" s="324"/>
      <c r="D52" s="325" t="s">
        <v>22</v>
      </c>
      <c r="E52" s="326"/>
      <c r="F52" s="325" t="s">
        <v>23</v>
      </c>
    </row>
    <row r="53" spans="1:6" ht="34.5" customHeight="1" x14ac:dyDescent="0.3">
      <c r="A53" s="290" t="s">
        <v>24</v>
      </c>
      <c r="B53" s="327"/>
      <c r="C53" s="288"/>
      <c r="D53" s="327"/>
      <c r="E53" s="288"/>
      <c r="F53" s="327"/>
    </row>
    <row r="54" spans="1:6" ht="34.5" customHeight="1" x14ac:dyDescent="0.3">
      <c r="A54" s="290" t="s">
        <v>25</v>
      </c>
      <c r="B54" s="328"/>
      <c r="C54" s="329"/>
      <c r="D54" s="328"/>
      <c r="E54" s="288"/>
      <c r="F54" s="330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G49" sqref="G4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128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>
        <f>Efa!D43</f>
        <v>33.39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0.160272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33.39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0.160272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7" workbookViewId="0">
      <selection activeCell="E51" sqref="E5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>
        <f>TDF!D43</f>
        <v>13.62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6.537599999999999E-2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13.62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6.537599999999999E-2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D50" sqref="D5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>
        <f>Lam!D43</f>
        <v>13.81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B20/50*4/25</f>
        <v>4.4192000000000002E-2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13.81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4.4192000000000002E-2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9" t="s">
        <v>40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41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x14ac:dyDescent="0.3">
      <c r="A15" s="45"/>
    </row>
    <row r="16" spans="1:9" ht="19.5" customHeight="1" x14ac:dyDescent="0.3">
      <c r="A16" s="242" t="s">
        <v>26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42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47" t="s">
        <v>28</v>
      </c>
      <c r="B18" s="241" t="s">
        <v>123</v>
      </c>
      <c r="C18" s="241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132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246" t="s">
        <v>120</v>
      </c>
      <c r="C20" s="246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246" t="s">
        <v>124</v>
      </c>
      <c r="C21" s="246"/>
      <c r="D21" s="246"/>
      <c r="E21" s="246"/>
      <c r="F21" s="246"/>
      <c r="G21" s="246"/>
      <c r="H21" s="246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241" t="s">
        <v>120</v>
      </c>
      <c r="C26" s="241"/>
    </row>
    <row r="27" spans="1:14" ht="26.25" customHeight="1" x14ac:dyDescent="0.4">
      <c r="A27" s="56" t="s">
        <v>43</v>
      </c>
      <c r="B27" s="247" t="s">
        <v>125</v>
      </c>
      <c r="C27" s="247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248" t="s">
        <v>45</v>
      </c>
      <c r="D29" s="249"/>
      <c r="E29" s="249"/>
      <c r="F29" s="249"/>
      <c r="G29" s="250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251" t="s">
        <v>48</v>
      </c>
      <c r="D31" s="252"/>
      <c r="E31" s="252"/>
      <c r="F31" s="252"/>
      <c r="G31" s="252"/>
      <c r="H31" s="253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251" t="s">
        <v>50</v>
      </c>
      <c r="D32" s="252"/>
      <c r="E32" s="252"/>
      <c r="F32" s="252"/>
      <c r="G32" s="252"/>
      <c r="H32" s="253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254" t="s">
        <v>54</v>
      </c>
      <c r="E36" s="255"/>
      <c r="F36" s="254" t="s">
        <v>55</v>
      </c>
      <c r="G36" s="256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258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258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59" t="s">
        <v>73</v>
      </c>
      <c r="B46" s="260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61"/>
      <c r="B47" s="262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1895.829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263" t="s">
        <v>89</v>
      </c>
      <c r="D60" s="266">
        <v>1935.65</v>
      </c>
      <c r="E60" s="129">
        <v>1</v>
      </c>
      <c r="F60" s="130"/>
      <c r="G60" s="216" t="str">
        <f>IF(ISBLANK(F60),"-",(F60/$D$50*$D$47*$B$68)*($B$57/$D$60))</f>
        <v>-</v>
      </c>
      <c r="H60" s="131" t="str">
        <f t="shared" ref="H60:H71" si="0">IF(ISBLANK(F60),"-",G60/$B$56)</f>
        <v>-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264"/>
      <c r="D61" s="267"/>
      <c r="E61" s="132">
        <v>2</v>
      </c>
      <c r="F61" s="84"/>
      <c r="G61" s="217" t="str">
        <f>IF(ISBLANK(F61),"-",(F61/$D$50*$D$47*$B$68)*($B$57/$D$60))</f>
        <v>-</v>
      </c>
      <c r="H61" s="133" t="str">
        <f t="shared" si="0"/>
        <v>-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264"/>
      <c r="D62" s="267"/>
      <c r="E62" s="132">
        <v>3</v>
      </c>
      <c r="F62" s="134"/>
      <c r="G62" s="217" t="str">
        <f>IF(ISBLANK(F62),"-",(F62/$D$50*$D$47*$B$68)*($B$57/$D$60))</f>
        <v>-</v>
      </c>
      <c r="H62" s="133" t="str">
        <f t="shared" si="0"/>
        <v>-</v>
      </c>
      <c r="L62" s="59"/>
    </row>
    <row r="63" spans="1:12" ht="27" customHeight="1" x14ac:dyDescent="0.4">
      <c r="A63" s="71" t="s">
        <v>92</v>
      </c>
      <c r="B63" s="72">
        <v>50</v>
      </c>
      <c r="C63" s="265"/>
      <c r="D63" s="268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3" t="s">
        <v>94</v>
      </c>
      <c r="D64" s="266">
        <v>1903.02</v>
      </c>
      <c r="E64" s="129">
        <v>1</v>
      </c>
      <c r="F64" s="130">
        <v>55628561</v>
      </c>
      <c r="G64" s="218">
        <f>IF(ISBLANK(F64),"-",(F64/$D$50*$D$47*$B$68)*($B$57/$D$64))</f>
        <v>288.24693349628785</v>
      </c>
      <c r="H64" s="137">
        <f t="shared" si="0"/>
        <v>0.96082311165429279</v>
      </c>
    </row>
    <row r="65" spans="1:8" ht="26.25" customHeight="1" x14ac:dyDescent="0.4">
      <c r="A65" s="71" t="s">
        <v>95</v>
      </c>
      <c r="B65" s="72">
        <v>1</v>
      </c>
      <c r="C65" s="264"/>
      <c r="D65" s="267"/>
      <c r="E65" s="132">
        <v>2</v>
      </c>
      <c r="F65" s="84">
        <v>57007639</v>
      </c>
      <c r="G65" s="219">
        <f>IF(ISBLANK(F65),"-",(F65/$D$50*$D$47*$B$68)*($B$57/$D$64))</f>
        <v>295.39281319201098</v>
      </c>
      <c r="H65" s="138">
        <f t="shared" si="0"/>
        <v>0.98464271064003661</v>
      </c>
    </row>
    <row r="66" spans="1:8" ht="26.25" customHeight="1" x14ac:dyDescent="0.4">
      <c r="A66" s="71" t="s">
        <v>96</v>
      </c>
      <c r="B66" s="72">
        <v>1</v>
      </c>
      <c r="C66" s="264"/>
      <c r="D66" s="267"/>
      <c r="E66" s="132">
        <v>3</v>
      </c>
      <c r="F66" s="84">
        <v>56114721</v>
      </c>
      <c r="G66" s="219">
        <f>IF(ISBLANK(F66),"-",(F66/$D$50*$D$47*$B$68)*($B$57/$D$64))</f>
        <v>290.76603747218536</v>
      </c>
      <c r="H66" s="138">
        <f t="shared" si="0"/>
        <v>0.96922012490728449</v>
      </c>
    </row>
    <row r="67" spans="1:8" ht="27" customHeight="1" x14ac:dyDescent="0.4">
      <c r="A67" s="71" t="s">
        <v>97</v>
      </c>
      <c r="B67" s="72">
        <v>1</v>
      </c>
      <c r="C67" s="265"/>
      <c r="D67" s="268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3" t="s">
        <v>99</v>
      </c>
      <c r="D68" s="266">
        <v>1896.48</v>
      </c>
      <c r="E68" s="129">
        <v>1</v>
      </c>
      <c r="F68" s="130">
        <v>55449038</v>
      </c>
      <c r="G68" s="218">
        <f>IF(ISBLANK(F68),"-",(F68/$D$50*$D$47*$B$68)*($B$57/$D$68))</f>
        <v>288.30752069182688</v>
      </c>
      <c r="H68" s="133">
        <f t="shared" si="0"/>
        <v>0.9610250689727563</v>
      </c>
    </row>
    <row r="69" spans="1:8" ht="27" customHeight="1" x14ac:dyDescent="0.4">
      <c r="A69" s="119" t="s">
        <v>100</v>
      </c>
      <c r="B69" s="141">
        <f>(D47*B68)/B56*B57</f>
        <v>1895.829</v>
      </c>
      <c r="C69" s="264"/>
      <c r="D69" s="267"/>
      <c r="E69" s="132">
        <v>2</v>
      </c>
      <c r="F69" s="84">
        <v>56148040</v>
      </c>
      <c r="G69" s="219">
        <f>IF(ISBLANK(F69),"-",(F69/$D$50*$D$47*$B$68)*($B$57/$D$68))</f>
        <v>291.94198471225997</v>
      </c>
      <c r="H69" s="133">
        <f t="shared" si="0"/>
        <v>0.97313994904086654</v>
      </c>
    </row>
    <row r="70" spans="1:8" ht="26.25" customHeight="1" x14ac:dyDescent="0.4">
      <c r="A70" s="276" t="s">
        <v>73</v>
      </c>
      <c r="B70" s="277"/>
      <c r="C70" s="264"/>
      <c r="D70" s="267"/>
      <c r="E70" s="132">
        <v>3</v>
      </c>
      <c r="F70" s="84">
        <v>56821159</v>
      </c>
      <c r="G70" s="219">
        <f>IF(ISBLANK(F70),"-",(F70/$D$50*$D$47*$B$68)*($B$57/$D$68))</f>
        <v>295.44186995861111</v>
      </c>
      <c r="H70" s="133">
        <f t="shared" si="0"/>
        <v>0.98480623319537031</v>
      </c>
    </row>
    <row r="71" spans="1:8" ht="27" customHeight="1" x14ac:dyDescent="0.4">
      <c r="A71" s="278"/>
      <c r="B71" s="279"/>
      <c r="C71" s="275"/>
      <c r="D71" s="268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291.68285992053035</v>
      </c>
      <c r="H72" s="146">
        <f>AVERAGE(H60:H71)</f>
        <v>0.97227619973510115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1.1056209982649216E-2</v>
      </c>
      <c r="H73" s="221">
        <f>STDEV(H60:H71)/H72</f>
        <v>1.1056209982649215E-2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55" t="s">
        <v>101</v>
      </c>
      <c r="B76" s="151" t="s">
        <v>102</v>
      </c>
      <c r="C76" s="271" t="str">
        <f>B20</f>
        <v>Lamivudine</v>
      </c>
      <c r="D76" s="271"/>
      <c r="E76" s="152" t="s">
        <v>103</v>
      </c>
      <c r="F76" s="152"/>
      <c r="G76" s="153">
        <f>H72</f>
        <v>0.97227619973510115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257" t="str">
        <f>B26</f>
        <v>Lamivudine</v>
      </c>
      <c r="C79" s="257"/>
    </row>
    <row r="80" spans="1:8" ht="26.25" customHeight="1" x14ac:dyDescent="0.4">
      <c r="A80" s="56" t="s">
        <v>43</v>
      </c>
      <c r="B80" s="257" t="str">
        <f>B27</f>
        <v>L3 7</v>
      </c>
      <c r="C80" s="257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248" t="s">
        <v>45</v>
      </c>
      <c r="D82" s="249"/>
      <c r="E82" s="249"/>
      <c r="F82" s="249"/>
      <c r="G82" s="250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251" t="s">
        <v>106</v>
      </c>
      <c r="D84" s="252"/>
      <c r="E84" s="252"/>
      <c r="F84" s="252"/>
      <c r="G84" s="252"/>
      <c r="H84" s="253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251" t="s">
        <v>107</v>
      </c>
      <c r="D85" s="252"/>
      <c r="E85" s="252"/>
      <c r="F85" s="252"/>
      <c r="G85" s="252"/>
      <c r="H85" s="253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20</v>
      </c>
      <c r="D89" s="156" t="s">
        <v>54</v>
      </c>
      <c r="E89" s="157"/>
      <c r="F89" s="254" t="s">
        <v>55</v>
      </c>
      <c r="G89" s="256"/>
    </row>
    <row r="90" spans="1:12" ht="27" customHeight="1" x14ac:dyDescent="0.4">
      <c r="A90" s="71" t="s">
        <v>56</v>
      </c>
      <c r="B90" s="72">
        <v>3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5155652</v>
      </c>
      <c r="E91" s="80">
        <f>IF(ISBLANK(D91),"-",$D$101/$D$98*D91)</f>
        <v>7436801.6709411442</v>
      </c>
      <c r="F91" s="79">
        <v>4876530</v>
      </c>
      <c r="G91" s="81">
        <f>IF(ISBLANK(F91),"-",$D$101/$F$98*F91)</f>
        <v>7449542.3215114996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5157306</v>
      </c>
      <c r="E92" s="85">
        <f>IF(ISBLANK(D92),"-",$D$101/$D$98*D92)</f>
        <v>7439187.4933286402</v>
      </c>
      <c r="F92" s="84">
        <v>4858860</v>
      </c>
      <c r="G92" s="86">
        <f>IF(ISBLANK(F92),"-",$D$101/$F$98*F92)</f>
        <v>7422549.0675335471</v>
      </c>
      <c r="I92" s="258">
        <f>ABS((F96/D96*D95)-F95)/D95</f>
        <v>3.9538364212258407E-4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5155786</v>
      </c>
      <c r="E93" s="85">
        <f>IF(ISBLANK(D93),"-",$D$101/$D$98*D93)</f>
        <v>7436994.9600583902</v>
      </c>
      <c r="F93" s="84">
        <v>4876984</v>
      </c>
      <c r="G93" s="86">
        <f>IF(ISBLANK(F93),"-",$D$101/$F$98*F93)</f>
        <v>7450235.8663505483</v>
      </c>
      <c r="I93" s="258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5156248</v>
      </c>
      <c r="E95" s="95">
        <f>AVERAGE(E91:E94)</f>
        <v>7437661.3747760579</v>
      </c>
      <c r="F95" s="165">
        <f>AVERAGE(F91:F94)</f>
        <v>4870791.333333333</v>
      </c>
      <c r="G95" s="166">
        <f>AVERAGE(G91:G94)</f>
        <v>7440775.751798532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f>D43</f>
        <v>13.81</v>
      </c>
      <c r="E96" s="87"/>
      <c r="F96" s="99">
        <f>F43</f>
        <v>13.04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13.81</v>
      </c>
      <c r="E97" s="102"/>
      <c r="F97" s="101">
        <f>F96*$B$87</f>
        <v>13.04</v>
      </c>
    </row>
    <row r="98" spans="1:10" ht="19.5" customHeight="1" x14ac:dyDescent="0.3">
      <c r="A98" s="71" t="s">
        <v>71</v>
      </c>
      <c r="B98" s="171">
        <f>(B97/B96)*(B95/B94)*(B93/B92)*(B91/B90)*B89</f>
        <v>66.666666666666671</v>
      </c>
      <c r="C98" s="169" t="s">
        <v>110</v>
      </c>
      <c r="D98" s="172">
        <f>D97*$B$83/100</f>
        <v>13.865240000000002</v>
      </c>
      <c r="E98" s="105"/>
      <c r="F98" s="104">
        <f>F97*$B$83/100</f>
        <v>13.09216</v>
      </c>
    </row>
    <row r="99" spans="1:10" ht="19.5" customHeight="1" x14ac:dyDescent="0.3">
      <c r="A99" s="259" t="s">
        <v>73</v>
      </c>
      <c r="B99" s="273"/>
      <c r="C99" s="169" t="s">
        <v>111</v>
      </c>
      <c r="D99" s="173">
        <f>D98/$B$98</f>
        <v>0.20797860000000001</v>
      </c>
      <c r="E99" s="105"/>
      <c r="F99" s="108">
        <f>F98/$B$98</f>
        <v>0.19638239999999998</v>
      </c>
      <c r="G99" s="174"/>
      <c r="H99" s="97"/>
    </row>
    <row r="100" spans="1:10" ht="19.5" customHeight="1" x14ac:dyDescent="0.3">
      <c r="A100" s="261"/>
      <c r="B100" s="274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20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20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7439218.5632872945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1.366385348250866E-3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6410905</v>
      </c>
      <c r="E108" s="222">
        <f t="shared" ref="E108:E113" si="1">IF(ISBLANK(D108),"-",D108/$D$103*$D$100*$B$116)</f>
        <v>258.53138789218895</v>
      </c>
      <c r="F108" s="192">
        <f t="shared" ref="F108:F113" si="2">IF(ISBLANK(D108), "-", E108/$B$56)</f>
        <v>0.86177129297396315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6385368</v>
      </c>
      <c r="E109" s="223">
        <f t="shared" si="1"/>
        <v>257.50156198576815</v>
      </c>
      <c r="F109" s="193">
        <f t="shared" si="2"/>
        <v>0.85833853995256049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6387811</v>
      </c>
      <c r="E110" s="223">
        <f t="shared" si="1"/>
        <v>257.60008039785197</v>
      </c>
      <c r="F110" s="193">
        <f t="shared" si="2"/>
        <v>0.85866693465950661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6390178</v>
      </c>
      <c r="E111" s="223">
        <f t="shared" si="1"/>
        <v>257.69553397190134</v>
      </c>
      <c r="F111" s="193">
        <f t="shared" si="2"/>
        <v>0.85898511323967108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6405429</v>
      </c>
      <c r="E112" s="223">
        <f t="shared" si="1"/>
        <v>258.31055824643727</v>
      </c>
      <c r="F112" s="193">
        <f t="shared" si="2"/>
        <v>0.86103519415479091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6385689</v>
      </c>
      <c r="E113" s="224">
        <f t="shared" si="1"/>
        <v>257.51450689378237</v>
      </c>
      <c r="F113" s="196">
        <f t="shared" si="2"/>
        <v>0.85838168964594119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257.85893823132164</v>
      </c>
      <c r="F115" s="199">
        <f>AVERAGE(F108:F113)</f>
        <v>0.85952979410440555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1.7310430669947403E-3</v>
      </c>
      <c r="F116" s="201">
        <f>STDEV(F108:F113)/F115</f>
        <v>1.7310430669947503E-3</v>
      </c>
      <c r="I116" s="45"/>
    </row>
    <row r="117" spans="1:10" ht="27" customHeight="1" x14ac:dyDescent="0.4">
      <c r="A117" s="259" t="s">
        <v>73</v>
      </c>
      <c r="B117" s="260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61"/>
      <c r="B118" s="262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71" t="str">
        <f>B20</f>
        <v>Lamivudine</v>
      </c>
      <c r="D120" s="271"/>
      <c r="E120" s="152" t="s">
        <v>119</v>
      </c>
      <c r="F120" s="152"/>
      <c r="G120" s="153">
        <f>F115</f>
        <v>0.85952979410440555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272" t="s">
        <v>21</v>
      </c>
      <c r="C122" s="272"/>
      <c r="E122" s="158" t="s">
        <v>22</v>
      </c>
      <c r="F122" s="207"/>
      <c r="G122" s="272" t="s">
        <v>23</v>
      </c>
      <c r="H122" s="272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69" t="s">
        <v>40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41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thickBot="1" x14ac:dyDescent="0.35">
      <c r="A15" s="152"/>
    </row>
    <row r="16" spans="1:9" ht="19.5" customHeight="1" thickBot="1" x14ac:dyDescent="0.35">
      <c r="A16" s="242" t="s">
        <v>26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42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47" t="s">
        <v>28</v>
      </c>
      <c r="B18" s="241" t="s">
        <v>123</v>
      </c>
      <c r="C18" s="241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NDQD2016061056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46" t="s">
        <v>122</v>
      </c>
      <c r="C20" s="246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46" t="s">
        <v>131</v>
      </c>
      <c r="C21" s="246"/>
      <c r="D21" s="246"/>
      <c r="E21" s="246"/>
      <c r="F21" s="246"/>
      <c r="G21" s="246"/>
      <c r="H21" s="246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41" t="s">
        <v>126</v>
      </c>
      <c r="C26" s="241"/>
    </row>
    <row r="27" spans="1:14" ht="26.25" customHeight="1" x14ac:dyDescent="0.4">
      <c r="A27" s="163" t="s">
        <v>43</v>
      </c>
      <c r="B27" s="247" t="s">
        <v>127</v>
      </c>
      <c r="C27" s="247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248" t="s">
        <v>45</v>
      </c>
      <c r="D29" s="249"/>
      <c r="E29" s="249"/>
      <c r="F29" s="249"/>
      <c r="G29" s="250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251" t="s">
        <v>48</v>
      </c>
      <c r="D31" s="252"/>
      <c r="E31" s="252"/>
      <c r="F31" s="252"/>
      <c r="G31" s="252"/>
      <c r="H31" s="253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251" t="s">
        <v>50</v>
      </c>
      <c r="D32" s="252"/>
      <c r="E32" s="252"/>
      <c r="F32" s="252"/>
      <c r="G32" s="252"/>
      <c r="H32" s="253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254" t="s">
        <v>54</v>
      </c>
      <c r="E36" s="255"/>
      <c r="F36" s="254" t="s">
        <v>55</v>
      </c>
      <c r="G36" s="256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258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258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59" t="s">
        <v>73</v>
      </c>
      <c r="B46" s="260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261"/>
      <c r="B47" s="262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1895.829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263" t="s">
        <v>89</v>
      </c>
      <c r="D60" s="266">
        <f>Lam!D60</f>
        <v>1935.65</v>
      </c>
      <c r="E60" s="129">
        <v>1</v>
      </c>
      <c r="F60" s="130">
        <v>27668914</v>
      </c>
      <c r="G60" s="216">
        <f>IF(ISBLANK(F60),"-",(F60/$D$50*$D$47*$B$68)*($B$57/$D$60))</f>
        <v>280.33824346276742</v>
      </c>
      <c r="H60" s="131">
        <f t="shared" ref="H60:H71" si="0">IF(ISBLANK(F60),"-",G60/$B$56)</f>
        <v>0.93446081154255811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264"/>
      <c r="D61" s="267"/>
      <c r="E61" s="132">
        <v>2</v>
      </c>
      <c r="F61" s="84">
        <v>26906196</v>
      </c>
      <c r="G61" s="217">
        <f>IF(ISBLANK(F61),"-",(F61/$D$50*$D$47*$B$68)*($B$57/$D$60))</f>
        <v>272.61047270973262</v>
      </c>
      <c r="H61" s="133">
        <f t="shared" si="0"/>
        <v>0.9087015756991087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264"/>
      <c r="D62" s="267"/>
      <c r="E62" s="132">
        <v>3</v>
      </c>
      <c r="F62" s="134">
        <v>27190914</v>
      </c>
      <c r="G62" s="217">
        <f>IF(ISBLANK(F62),"-",(F62/$D$50*$D$47*$B$68)*($B$57/$D$60))</f>
        <v>275.49520262729402</v>
      </c>
      <c r="H62" s="133">
        <f t="shared" si="0"/>
        <v>0.91831734209098004</v>
      </c>
      <c r="L62" s="59"/>
    </row>
    <row r="63" spans="1:12" ht="27" customHeight="1" thickBot="1" x14ac:dyDescent="0.45">
      <c r="A63" s="71" t="s">
        <v>92</v>
      </c>
      <c r="B63" s="72">
        <v>50</v>
      </c>
      <c r="C63" s="265"/>
      <c r="D63" s="268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3" t="s">
        <v>94</v>
      </c>
      <c r="D64" s="266">
        <f>Lam!D64</f>
        <v>1903.02</v>
      </c>
      <c r="E64" s="129">
        <v>1</v>
      </c>
      <c r="F64" s="130">
        <v>26167688</v>
      </c>
      <c r="G64" s="218">
        <f>IF(ISBLANK(F64),"-",(F64/$D$50*$D$47*$B$68)*($B$57/$D$64))</f>
        <v>269.67399359685618</v>
      </c>
      <c r="H64" s="137">
        <f t="shared" si="0"/>
        <v>0.89891331198952062</v>
      </c>
    </row>
    <row r="65" spans="1:8" ht="26.25" customHeight="1" x14ac:dyDescent="0.4">
      <c r="A65" s="71" t="s">
        <v>95</v>
      </c>
      <c r="B65" s="72">
        <v>1</v>
      </c>
      <c r="C65" s="264"/>
      <c r="D65" s="267"/>
      <c r="E65" s="132">
        <v>2</v>
      </c>
      <c r="F65" s="84">
        <v>26744401</v>
      </c>
      <c r="G65" s="219">
        <f>IF(ISBLANK(F65),"-",(F65/$D$50*$D$47*$B$68)*($B$57/$D$64))</f>
        <v>275.61737299931713</v>
      </c>
      <c r="H65" s="138">
        <f t="shared" si="0"/>
        <v>0.91872457666439045</v>
      </c>
    </row>
    <row r="66" spans="1:8" ht="26.25" customHeight="1" x14ac:dyDescent="0.4">
      <c r="A66" s="71" t="s">
        <v>96</v>
      </c>
      <c r="B66" s="72">
        <v>1</v>
      </c>
      <c r="C66" s="264"/>
      <c r="D66" s="267"/>
      <c r="E66" s="132">
        <v>3</v>
      </c>
      <c r="F66" s="84">
        <v>26368928</v>
      </c>
      <c r="G66" s="219">
        <f>IF(ISBLANK(F66),"-",(F66/$D$50*$D$47*$B$68)*($B$57/$D$64))</f>
        <v>271.74789460299144</v>
      </c>
      <c r="H66" s="138">
        <f t="shared" si="0"/>
        <v>0.90582631534330482</v>
      </c>
    </row>
    <row r="67" spans="1:8" ht="27" customHeight="1" thickBot="1" x14ac:dyDescent="0.45">
      <c r="A67" s="71" t="s">
        <v>97</v>
      </c>
      <c r="B67" s="72">
        <v>1</v>
      </c>
      <c r="C67" s="265"/>
      <c r="D67" s="268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3" t="s">
        <v>99</v>
      </c>
      <c r="D68" s="266">
        <f>Lam!D68</f>
        <v>1896.48</v>
      </c>
      <c r="E68" s="129">
        <v>1</v>
      </c>
      <c r="F68" s="130"/>
      <c r="G68" s="218" t="str">
        <f>IF(ISBLANK(F68),"-",(F68/$D$50*$D$47*$B$68)*($B$57/$D$68))</f>
        <v>-</v>
      </c>
      <c r="H68" s="133" t="str">
        <f t="shared" si="0"/>
        <v>-</v>
      </c>
    </row>
    <row r="69" spans="1:8" ht="27" customHeight="1" thickBot="1" x14ac:dyDescent="0.45">
      <c r="A69" s="119" t="s">
        <v>100</v>
      </c>
      <c r="B69" s="141">
        <f>(D47*B68)/B56*B57</f>
        <v>1895.829</v>
      </c>
      <c r="C69" s="264"/>
      <c r="D69" s="267"/>
      <c r="E69" s="132">
        <v>2</v>
      </c>
      <c r="F69" s="84"/>
      <c r="G69" s="219" t="str">
        <f>IF(ISBLANK(F69),"-",(F69/$D$50*$D$47*$B$68)*($B$57/$D$68))</f>
        <v>-</v>
      </c>
      <c r="H69" s="133" t="str">
        <f t="shared" si="0"/>
        <v>-</v>
      </c>
    </row>
    <row r="70" spans="1:8" ht="26.25" customHeight="1" x14ac:dyDescent="0.4">
      <c r="A70" s="276" t="s">
        <v>73</v>
      </c>
      <c r="B70" s="277"/>
      <c r="C70" s="264"/>
      <c r="D70" s="267"/>
      <c r="E70" s="132">
        <v>3</v>
      </c>
      <c r="F70" s="84"/>
      <c r="G70" s="219" t="str">
        <f>IF(ISBLANK(F70),"-",(F70/$D$50*$D$47*$B$68)*($B$57/$D$68))</f>
        <v>-</v>
      </c>
      <c r="H70" s="133" t="str">
        <f t="shared" si="0"/>
        <v>-</v>
      </c>
    </row>
    <row r="71" spans="1:8" ht="27" customHeight="1" thickBot="1" x14ac:dyDescent="0.45">
      <c r="A71" s="278"/>
      <c r="B71" s="279"/>
      <c r="C71" s="275"/>
      <c r="D71" s="268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274.24719666649315</v>
      </c>
      <c r="H72" s="146">
        <f>AVERAGE(H60:H71)</f>
        <v>0.91415732222164381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1.3679901758109075E-2</v>
      </c>
      <c r="H73" s="221">
        <f>STDEV(H60:H71)/H72</f>
        <v>1.3679901758109079E-2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271" t="str">
        <f>B20</f>
        <v>Tenofovir DF</v>
      </c>
      <c r="D76" s="271"/>
      <c r="E76" s="152" t="s">
        <v>103</v>
      </c>
      <c r="F76" s="152"/>
      <c r="G76" s="153">
        <f>H72</f>
        <v>0.91415732222164381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257" t="str">
        <f>B26</f>
        <v>Tenofovir Df</v>
      </c>
      <c r="C79" s="257"/>
    </row>
    <row r="80" spans="1:8" ht="26.25" customHeight="1" x14ac:dyDescent="0.4">
      <c r="A80" s="163" t="s">
        <v>43</v>
      </c>
      <c r="B80" s="257" t="str">
        <f>B27</f>
        <v>T11 8</v>
      </c>
      <c r="C80" s="257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248" t="s">
        <v>45</v>
      </c>
      <c r="D82" s="249"/>
      <c r="E82" s="249"/>
      <c r="F82" s="249"/>
      <c r="G82" s="250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251" t="s">
        <v>106</v>
      </c>
      <c r="D84" s="252"/>
      <c r="E84" s="252"/>
      <c r="F84" s="252"/>
      <c r="G84" s="252"/>
      <c r="H84" s="253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251" t="s">
        <v>107</v>
      </c>
      <c r="D85" s="252"/>
      <c r="E85" s="252"/>
      <c r="F85" s="252"/>
      <c r="G85" s="252"/>
      <c r="H85" s="253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20</v>
      </c>
      <c r="D89" s="232" t="s">
        <v>54</v>
      </c>
      <c r="E89" s="233"/>
      <c r="F89" s="254" t="s">
        <v>55</v>
      </c>
      <c r="G89" s="256"/>
    </row>
    <row r="90" spans="1:12" ht="27" customHeight="1" thickBot="1" x14ac:dyDescent="0.45">
      <c r="A90" s="71" t="s">
        <v>56</v>
      </c>
      <c r="B90" s="72">
        <v>4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3087125</v>
      </c>
      <c r="E91" s="80">
        <f>IF(ISBLANK(D91),"-",$D$101/$D$98*D91)</f>
        <v>3441211.9442115966</v>
      </c>
      <c r="F91" s="79">
        <v>3382193</v>
      </c>
      <c r="G91" s="81">
        <f>IF(ISBLANK(F91),"-",$D$101/$F$98*F91)</f>
        <v>3471878.5671465294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3087142</v>
      </c>
      <c r="E92" s="85">
        <f>IF(ISBLANK(D92),"-",$D$101/$D$98*D92)</f>
        <v>3441230.8940769415</v>
      </c>
      <c r="F92" s="84">
        <v>3383919</v>
      </c>
      <c r="G92" s="86">
        <f>IF(ISBLANK(F92),"-",$D$101/$F$98*F92)</f>
        <v>3473650.3354657516</v>
      </c>
      <c r="I92" s="258">
        <f>ABS((F96/D96*D95)-F95)/D95</f>
        <v>9.9158475210343044E-3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3085949</v>
      </c>
      <c r="E93" s="85">
        <f>IF(ISBLANK(D93),"-",$D$101/$D$98*D93)</f>
        <v>3439901.0594089432</v>
      </c>
      <c r="F93" s="84">
        <v>3381408</v>
      </c>
      <c r="G93" s="86">
        <f>IF(ISBLANK(F93),"-",$D$101/$F$98*F93)</f>
        <v>3471072.7513118889</v>
      </c>
      <c r="I93" s="258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3086738.6666666665</v>
      </c>
      <c r="E95" s="95">
        <f>AVERAGE(E91:E94)</f>
        <v>3440781.2992324941</v>
      </c>
      <c r="F95" s="165">
        <f>AVERAGE(F91:F94)</f>
        <v>3382506.6666666665</v>
      </c>
      <c r="G95" s="166">
        <f>AVERAGE(G91:G94)</f>
        <v>3472200.5513080568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13.62</v>
      </c>
      <c r="E96" s="152"/>
      <c r="F96" s="99">
        <f>F43</f>
        <v>14.79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13.62</v>
      </c>
      <c r="E97" s="171"/>
      <c r="F97" s="101">
        <f>F96*$B$87</f>
        <v>14.79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13.45656</v>
      </c>
      <c r="E98" s="148"/>
      <c r="F98" s="104">
        <f>F97*$B$83/100</f>
        <v>14.61252</v>
      </c>
    </row>
    <row r="99" spans="1:10" ht="19.5" customHeight="1" thickBot="1" x14ac:dyDescent="0.35">
      <c r="A99" s="259" t="s">
        <v>73</v>
      </c>
      <c r="B99" s="273"/>
      <c r="C99" s="169" t="s">
        <v>111</v>
      </c>
      <c r="D99" s="173">
        <f>D98/$B$98</f>
        <v>0.26913120000000001</v>
      </c>
      <c r="E99" s="148"/>
      <c r="F99" s="108">
        <f>F98/$B$98</f>
        <v>0.29225040000000002</v>
      </c>
      <c r="H99" s="228"/>
    </row>
    <row r="100" spans="1:10" ht="19.5" customHeight="1" thickBot="1" x14ac:dyDescent="0.35">
      <c r="A100" s="261"/>
      <c r="B100" s="274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15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15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3456490.9252702757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4.9865526487487197E-3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3235337</v>
      </c>
      <c r="E108" s="222">
        <f t="shared" ref="E108:E113" si="1">IF(ISBLANK(D108),"-",D108/$D$103*$D$100*$B$116)</f>
        <v>280.80533725807635</v>
      </c>
      <c r="F108" s="192">
        <f t="shared" ref="F108:F113" si="2">IF(ISBLANK(D108), "-", E108/$B$56)</f>
        <v>0.93601779086025449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3226030</v>
      </c>
      <c r="E109" s="223">
        <f t="shared" si="1"/>
        <v>279.99755269842734</v>
      </c>
      <c r="F109" s="193">
        <f t="shared" si="2"/>
        <v>0.93332517566142448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3228927</v>
      </c>
      <c r="E110" s="223">
        <f t="shared" si="1"/>
        <v>280.24899267578883</v>
      </c>
      <c r="F110" s="193">
        <f t="shared" si="2"/>
        <v>0.93416330891929611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3217809</v>
      </c>
      <c r="E111" s="223">
        <f t="shared" si="1"/>
        <v>279.28402558282897</v>
      </c>
      <c r="F111" s="193">
        <f t="shared" si="2"/>
        <v>0.93094675194276322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3203742</v>
      </c>
      <c r="E112" s="223">
        <f t="shared" si="1"/>
        <v>278.06310526472635</v>
      </c>
      <c r="F112" s="193">
        <f t="shared" si="2"/>
        <v>0.9268770175490878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3207698</v>
      </c>
      <c r="E113" s="224">
        <f t="shared" si="1"/>
        <v>278.40645926902107</v>
      </c>
      <c r="F113" s="196">
        <f t="shared" si="2"/>
        <v>0.92802153089673689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279.46757879147816</v>
      </c>
      <c r="F115" s="199">
        <f>AVERAGE(F108:F113)</f>
        <v>0.93155859597159374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3.8582872754461227E-3</v>
      </c>
      <c r="F116" s="201">
        <f>STDEV(F108:F113)/F115</f>
        <v>3.8582872754461344E-3</v>
      </c>
      <c r="I116" s="152"/>
    </row>
    <row r="117" spans="1:10" ht="27" customHeight="1" thickBot="1" x14ac:dyDescent="0.45">
      <c r="A117" s="259" t="s">
        <v>73</v>
      </c>
      <c r="B117" s="260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61"/>
      <c r="B118" s="262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71" t="str">
        <f>B20</f>
        <v>Tenofovir DF</v>
      </c>
      <c r="D120" s="271"/>
      <c r="E120" s="152" t="s">
        <v>119</v>
      </c>
      <c r="F120" s="152"/>
      <c r="G120" s="153">
        <f>F115</f>
        <v>0.93155859597159374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272" t="s">
        <v>21</v>
      </c>
      <c r="C122" s="272"/>
      <c r="E122" s="235" t="s">
        <v>22</v>
      </c>
      <c r="F122" s="207"/>
      <c r="G122" s="272" t="s">
        <v>23</v>
      </c>
      <c r="H122" s="272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69" t="s">
        <v>40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41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thickBot="1" x14ac:dyDescent="0.35">
      <c r="A15" s="152"/>
    </row>
    <row r="16" spans="1:9" ht="19.5" customHeight="1" thickBot="1" x14ac:dyDescent="0.35">
      <c r="A16" s="242" t="s">
        <v>26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42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47" t="s">
        <v>28</v>
      </c>
      <c r="B18" s="241" t="s">
        <v>123</v>
      </c>
      <c r="C18" s="241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TDF!B19</f>
        <v>NDQD2016061056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46" t="s">
        <v>128</v>
      </c>
      <c r="C20" s="246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46" t="s">
        <v>130</v>
      </c>
      <c r="C21" s="246"/>
      <c r="D21" s="246"/>
      <c r="E21" s="246"/>
      <c r="F21" s="246"/>
      <c r="G21" s="246"/>
      <c r="H21" s="246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41" t="s">
        <v>128</v>
      </c>
      <c r="C26" s="241"/>
    </row>
    <row r="27" spans="1:14" ht="26.25" customHeight="1" x14ac:dyDescent="0.4">
      <c r="A27" s="163" t="s">
        <v>43</v>
      </c>
      <c r="B27" s="247" t="s">
        <v>129</v>
      </c>
      <c r="C27" s="247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248" t="s">
        <v>45</v>
      </c>
      <c r="D29" s="249"/>
      <c r="E29" s="249"/>
      <c r="F29" s="249"/>
      <c r="G29" s="250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251" t="s">
        <v>48</v>
      </c>
      <c r="D31" s="252"/>
      <c r="E31" s="252"/>
      <c r="F31" s="252"/>
      <c r="G31" s="252"/>
      <c r="H31" s="253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251" t="s">
        <v>50</v>
      </c>
      <c r="D32" s="252"/>
      <c r="E32" s="252"/>
      <c r="F32" s="252"/>
      <c r="G32" s="252"/>
      <c r="H32" s="253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254" t="s">
        <v>54</v>
      </c>
      <c r="E36" s="255"/>
      <c r="F36" s="254" t="s">
        <v>55</v>
      </c>
      <c r="G36" s="256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258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258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59" t="s">
        <v>73</v>
      </c>
      <c r="B46" s="260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61"/>
      <c r="B47" s="262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1895.829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263" t="s">
        <v>89</v>
      </c>
      <c r="D60" s="266">
        <f>Lam!D60</f>
        <v>1935.65</v>
      </c>
      <c r="E60" s="129">
        <v>1</v>
      </c>
      <c r="F60" s="130">
        <v>89518549</v>
      </c>
      <c r="G60" s="216">
        <f>IF(ISBLANK(F60),"-",(F60/$D$50*$D$47*$B$68)*($B$57/$D$60))</f>
        <v>645.82837416362452</v>
      </c>
      <c r="H60" s="131">
        <f t="shared" ref="H60:H71" si="0">IF(ISBLANK(F60),"-",G60/$B$56)</f>
        <v>1.0763806236060409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264"/>
      <c r="D61" s="267"/>
      <c r="E61" s="132">
        <v>2</v>
      </c>
      <c r="F61" s="84">
        <v>87255211</v>
      </c>
      <c r="G61" s="217">
        <f>IF(ISBLANK(F61),"-",(F61/$D$50*$D$47*$B$68)*($B$57/$D$60))</f>
        <v>629.49960300891394</v>
      </c>
      <c r="H61" s="133">
        <f t="shared" si="0"/>
        <v>1.0491660050148566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264"/>
      <c r="D62" s="267"/>
      <c r="E62" s="132">
        <v>3</v>
      </c>
      <c r="F62" s="134">
        <v>88131844</v>
      </c>
      <c r="G62" s="217">
        <f>IF(ISBLANK(F62),"-",(F62/$D$50*$D$47*$B$68)*($B$57/$D$60))</f>
        <v>635.82404047413888</v>
      </c>
      <c r="H62" s="133">
        <f t="shared" si="0"/>
        <v>1.0597067341235649</v>
      </c>
      <c r="L62" s="59"/>
    </row>
    <row r="63" spans="1:12" ht="27" customHeight="1" thickBot="1" x14ac:dyDescent="0.45">
      <c r="A63" s="71" t="s">
        <v>92</v>
      </c>
      <c r="B63" s="72">
        <v>50</v>
      </c>
      <c r="C63" s="265"/>
      <c r="D63" s="268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3" t="s">
        <v>94</v>
      </c>
      <c r="D64" s="266">
        <f>Lam!D64</f>
        <v>1903.02</v>
      </c>
      <c r="E64" s="129">
        <v>1</v>
      </c>
      <c r="F64" s="130">
        <v>85769611</v>
      </c>
      <c r="G64" s="218">
        <f>IF(ISBLANK(F64),"-",(F64/$D$50*$D$47*$B$68)*($B$57/$D$64))</f>
        <v>629.39169385961884</v>
      </c>
      <c r="H64" s="137">
        <f t="shared" si="0"/>
        <v>1.0489861564326981</v>
      </c>
    </row>
    <row r="65" spans="1:8" ht="26.25" customHeight="1" x14ac:dyDescent="0.4">
      <c r="A65" s="71" t="s">
        <v>95</v>
      </c>
      <c r="B65" s="72">
        <v>1</v>
      </c>
      <c r="C65" s="264"/>
      <c r="D65" s="267"/>
      <c r="E65" s="132">
        <v>2</v>
      </c>
      <c r="F65" s="84">
        <v>87442051</v>
      </c>
      <c r="G65" s="219">
        <f>IF(ISBLANK(F65),"-",(F65/$D$50*$D$47*$B$68)*($B$57/$D$64))</f>
        <v>641.66433719104987</v>
      </c>
      <c r="H65" s="138">
        <f t="shared" si="0"/>
        <v>1.0694405619850831</v>
      </c>
    </row>
    <row r="66" spans="1:8" ht="26.25" customHeight="1" x14ac:dyDescent="0.4">
      <c r="A66" s="71" t="s">
        <v>96</v>
      </c>
      <c r="B66" s="72">
        <v>1</v>
      </c>
      <c r="C66" s="264"/>
      <c r="D66" s="267"/>
      <c r="E66" s="132">
        <v>3</v>
      </c>
      <c r="F66" s="84">
        <v>86334403</v>
      </c>
      <c r="G66" s="219">
        <f>IF(ISBLANK(F66),"-",(F66/$D$50*$D$47*$B$68)*($B$57/$D$64))</f>
        <v>633.53623164420037</v>
      </c>
      <c r="H66" s="138">
        <f t="shared" si="0"/>
        <v>1.0558937194070006</v>
      </c>
    </row>
    <row r="67" spans="1:8" ht="27" customHeight="1" thickBot="1" x14ac:dyDescent="0.45">
      <c r="A67" s="71" t="s">
        <v>97</v>
      </c>
      <c r="B67" s="72">
        <v>1</v>
      </c>
      <c r="C67" s="265"/>
      <c r="D67" s="268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3" t="s">
        <v>99</v>
      </c>
      <c r="D68" s="266">
        <f>Lam!D68</f>
        <v>1896.48</v>
      </c>
      <c r="E68" s="129">
        <v>1</v>
      </c>
      <c r="F68" s="130">
        <v>83256012</v>
      </c>
      <c r="G68" s="218">
        <f>IF(ISBLANK(F68),"-",(F68/$D$50*$D$47*$B$68)*($B$57/$D$68))</f>
        <v>613.05333097965081</v>
      </c>
      <c r="H68" s="133">
        <f t="shared" si="0"/>
        <v>1.0217555516327514</v>
      </c>
    </row>
    <row r="69" spans="1:8" ht="27" customHeight="1" thickBot="1" x14ac:dyDescent="0.45">
      <c r="A69" s="119" t="s">
        <v>100</v>
      </c>
      <c r="B69" s="141">
        <f>(D47*B68)/B56*B57</f>
        <v>1895.829</v>
      </c>
      <c r="C69" s="264"/>
      <c r="D69" s="267"/>
      <c r="E69" s="132">
        <v>2</v>
      </c>
      <c r="F69" s="84">
        <v>84156254</v>
      </c>
      <c r="G69" s="219">
        <f>IF(ISBLANK(F69),"-",(F69/$D$50*$D$47*$B$68)*($B$57/$D$68))</f>
        <v>619.68223793219374</v>
      </c>
      <c r="H69" s="133">
        <f t="shared" si="0"/>
        <v>1.0328037298869897</v>
      </c>
    </row>
    <row r="70" spans="1:8" ht="26.25" customHeight="1" x14ac:dyDescent="0.4">
      <c r="A70" s="276" t="s">
        <v>73</v>
      </c>
      <c r="B70" s="277"/>
      <c r="C70" s="264"/>
      <c r="D70" s="267"/>
      <c r="E70" s="132">
        <v>3</v>
      </c>
      <c r="F70" s="84">
        <v>85052577</v>
      </c>
      <c r="G70" s="219">
        <f>IF(ISBLANK(F70),"-",(F70/$D$50*$D$47*$B$68)*($B$57/$D$68))</f>
        <v>626.28228743713123</v>
      </c>
      <c r="H70" s="133">
        <f t="shared" si="0"/>
        <v>1.0438038123952187</v>
      </c>
    </row>
    <row r="71" spans="1:8" ht="27" customHeight="1" thickBot="1" x14ac:dyDescent="0.45">
      <c r="A71" s="278"/>
      <c r="B71" s="279"/>
      <c r="C71" s="275"/>
      <c r="D71" s="268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630.52912629894695</v>
      </c>
      <c r="H72" s="146">
        <f>AVERAGE(H60:H71)</f>
        <v>1.0508818771649115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1.6237672122122553E-2</v>
      </c>
      <c r="H73" s="221">
        <f>STDEV(H60:H71)/H72</f>
        <v>1.6237672122122536E-2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71" t="str">
        <f>B20</f>
        <v>Efavirenz</v>
      </c>
      <c r="D76" s="271"/>
      <c r="E76" s="152" t="s">
        <v>103</v>
      </c>
      <c r="F76" s="152"/>
      <c r="G76" s="153">
        <f>H72</f>
        <v>1.0508818771649115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257" t="str">
        <f>B26</f>
        <v>Efavirenz</v>
      </c>
      <c r="C79" s="257"/>
    </row>
    <row r="80" spans="1:8" ht="26.25" customHeight="1" x14ac:dyDescent="0.4">
      <c r="A80" s="163" t="s">
        <v>43</v>
      </c>
      <c r="B80" s="257" t="str">
        <f>B27</f>
        <v>E15 3</v>
      </c>
      <c r="C80" s="257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248" t="s">
        <v>45</v>
      </c>
      <c r="D82" s="249"/>
      <c r="E82" s="249"/>
      <c r="F82" s="249"/>
      <c r="G82" s="250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251" t="s">
        <v>106</v>
      </c>
      <c r="D84" s="252"/>
      <c r="E84" s="252"/>
      <c r="F84" s="252"/>
      <c r="G84" s="252"/>
      <c r="H84" s="253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251" t="s">
        <v>107</v>
      </c>
      <c r="D85" s="252"/>
      <c r="E85" s="252"/>
      <c r="F85" s="252"/>
      <c r="G85" s="252"/>
      <c r="H85" s="253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5</v>
      </c>
      <c r="D89" s="232" t="s">
        <v>54</v>
      </c>
      <c r="E89" s="233"/>
      <c r="F89" s="254" t="s">
        <v>55</v>
      </c>
      <c r="G89" s="256"/>
    </row>
    <row r="90" spans="1:12" ht="27" customHeight="1" thickBot="1" x14ac:dyDescent="0.45">
      <c r="A90" s="71" t="s">
        <v>56</v>
      </c>
      <c r="B90" s="72">
        <v>1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13945415</v>
      </c>
      <c r="E91" s="80">
        <f>IF(ISBLANK(D91),"-",$D$101/$D$98*D91)</f>
        <v>12617898.515122479</v>
      </c>
      <c r="F91" s="79">
        <v>11885488</v>
      </c>
      <c r="G91" s="81">
        <f>IF(ISBLANK(F91),"-",$D$101/$F$98*F91)</f>
        <v>12851760.462103732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13958514</v>
      </c>
      <c r="E92" s="85">
        <f>IF(ISBLANK(D92),"-",$D$101/$D$98*D92)</f>
        <v>12629750.572063746</v>
      </c>
      <c r="F92" s="84">
        <v>11840472</v>
      </c>
      <c r="G92" s="86">
        <f>IF(ISBLANK(F92),"-",$D$101/$F$98*F92)</f>
        <v>12803084.728388628</v>
      </c>
      <c r="I92" s="258">
        <f>ABS((F96/D96*D95)-F95)/D95</f>
        <v>1.6489727549358724E-2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13796122</v>
      </c>
      <c r="E93" s="85">
        <f>IF(ISBLANK(D93),"-",$D$101/$D$98*D93)</f>
        <v>12482817.277094197</v>
      </c>
      <c r="F93" s="84">
        <v>11855326</v>
      </c>
      <c r="G93" s="86">
        <f>IF(ISBLANK(F93),"-",$D$101/$F$98*F93)</f>
        <v>12819146.33645252</v>
      </c>
      <c r="I93" s="258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13900017</v>
      </c>
      <c r="E95" s="95">
        <f>AVERAGE(E91:E94)</f>
        <v>12576822.121426806</v>
      </c>
      <c r="F95" s="165">
        <f>AVERAGE(F91:F94)</f>
        <v>11860428.666666666</v>
      </c>
      <c r="G95" s="166">
        <f>AVERAGE(G91:G94)</f>
        <v>12824663.84231496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33.39</v>
      </c>
      <c r="E96" s="152"/>
      <c r="F96" s="99">
        <f>F43</f>
        <v>27.94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33.39</v>
      </c>
      <c r="E97" s="171"/>
      <c r="F97" s="101">
        <f>F96*$B$87</f>
        <v>27.94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33.156269999999999</v>
      </c>
      <c r="E98" s="148"/>
      <c r="F98" s="104">
        <f>F97*$B$83/100</f>
        <v>27.744420000000002</v>
      </c>
    </row>
    <row r="99" spans="1:10" ht="19.5" customHeight="1" thickBot="1" x14ac:dyDescent="0.35">
      <c r="A99" s="259" t="s">
        <v>73</v>
      </c>
      <c r="B99" s="273"/>
      <c r="C99" s="169" t="s">
        <v>111</v>
      </c>
      <c r="D99" s="173">
        <f>D98/$B$98</f>
        <v>0.66312539999999998</v>
      </c>
      <c r="E99" s="148"/>
      <c r="F99" s="108">
        <f>F98/$B$98</f>
        <v>0.55488840000000006</v>
      </c>
      <c r="H99" s="228"/>
    </row>
    <row r="100" spans="1:10" ht="19.5" customHeight="1" thickBot="1" x14ac:dyDescent="0.35">
      <c r="A100" s="261"/>
      <c r="B100" s="274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12700742.981870882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1.1501547869287039E-2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12217689</v>
      </c>
      <c r="E108" s="222">
        <f t="shared" ref="E108:E113" si="1">IF(ISBLANK(D108),"-",D108/$D$103*$D$100*$B$116)</f>
        <v>577.17988707146992</v>
      </c>
      <c r="F108" s="192">
        <f t="shared" ref="F108:F113" si="2">IF(ISBLANK(D108), "-", E108/$B$56)</f>
        <v>0.96196647845244987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12207927</v>
      </c>
      <c r="E109" s="223">
        <f t="shared" si="1"/>
        <v>576.71871720067099</v>
      </c>
      <c r="F109" s="193">
        <f t="shared" si="2"/>
        <v>0.96119786200111834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12020683</v>
      </c>
      <c r="E110" s="223">
        <f t="shared" si="1"/>
        <v>567.87306146538333</v>
      </c>
      <c r="F110" s="193">
        <f t="shared" si="2"/>
        <v>0.94645510244230557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12098524</v>
      </c>
      <c r="E111" s="223">
        <f t="shared" si="1"/>
        <v>571.55037389243319</v>
      </c>
      <c r="F111" s="193">
        <f t="shared" si="2"/>
        <v>0.95258395648738869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12085707</v>
      </c>
      <c r="E112" s="223">
        <f t="shared" si="1"/>
        <v>570.94488175618756</v>
      </c>
      <c r="F112" s="193">
        <f t="shared" si="2"/>
        <v>0.95157480292697927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12086569</v>
      </c>
      <c r="E113" s="224">
        <f t="shared" si="1"/>
        <v>570.98560378329557</v>
      </c>
      <c r="F113" s="196">
        <f t="shared" si="2"/>
        <v>0.95164267297215932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572.54208752824002</v>
      </c>
      <c r="F115" s="199">
        <f>AVERAGE(F108:F113)</f>
        <v>0.95423681254706683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6.3797615237179113E-3</v>
      </c>
      <c r="F116" s="201">
        <f>STDEV(F108:F113)/F115</f>
        <v>6.3797615237179018E-3</v>
      </c>
      <c r="I116" s="152"/>
    </row>
    <row r="117" spans="1:10" ht="27" customHeight="1" thickBot="1" x14ac:dyDescent="0.45">
      <c r="A117" s="259" t="s">
        <v>73</v>
      </c>
      <c r="B117" s="260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61"/>
      <c r="B118" s="262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71" t="str">
        <f>B20</f>
        <v>Efavirenz</v>
      </c>
      <c r="D120" s="271"/>
      <c r="E120" s="152" t="s">
        <v>119</v>
      </c>
      <c r="F120" s="152"/>
      <c r="G120" s="153">
        <f>F115</f>
        <v>0.95423681254706683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272" t="s">
        <v>21</v>
      </c>
      <c r="C122" s="272"/>
      <c r="E122" s="235" t="s">
        <v>22</v>
      </c>
      <c r="F122" s="207"/>
      <c r="G122" s="272" t="s">
        <v>23</v>
      </c>
      <c r="H122" s="272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 (2)</vt:lpstr>
      <vt:lpstr>Efa SST</vt:lpstr>
      <vt:lpstr>TDF SST</vt:lpstr>
      <vt:lpstr>Lam SST</vt:lpstr>
      <vt:lpstr>Lam</vt:lpstr>
      <vt:lpstr>TDF</vt:lpstr>
      <vt:lpstr>Efa</vt:lpstr>
      <vt:lpstr>Efa!Print_Area</vt:lpstr>
      <vt:lpstr>Lam!Print_Area</vt:lpstr>
      <vt:lpstr>TDF!Print_Area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2016-07-06T07:38:53Z</cp:lastPrinted>
  <dcterms:created xsi:type="dcterms:W3CDTF">2005-07-05T10:19:27Z</dcterms:created>
  <dcterms:modified xsi:type="dcterms:W3CDTF">2016-07-06T08:25:17Z</dcterms:modified>
</cp:coreProperties>
</file>