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0" yWindow="0" windowWidth="20490" windowHeight="7755"/>
  </bookViews>
  <sheets>
    <sheet name="SST" sheetId="1" r:id="rId1"/>
    <sheet name="Uniformity" sheetId="9" r:id="rId2"/>
    <sheet name="CEFOTAXIME" sheetId="11" r:id="rId3"/>
  </sheets>
  <calcPr calcId="152511"/>
</workbook>
</file>

<file path=xl/calcChain.xml><?xml version="1.0" encoding="utf-8"?>
<calcChain xmlns="http://schemas.openxmlformats.org/spreadsheetml/2006/main">
  <c r="B21" i="1" l="1"/>
  <c r="C79" i="11" l="1"/>
  <c r="H74" i="11"/>
  <c r="G74" i="11"/>
  <c r="B71" i="11"/>
  <c r="H70" i="11"/>
  <c r="G70" i="11"/>
  <c r="H66" i="11"/>
  <c r="G66" i="11"/>
  <c r="C59" i="11"/>
  <c r="B58" i="11"/>
  <c r="B47" i="11"/>
  <c r="D50" i="11" s="1"/>
  <c r="D51" i="11" s="1"/>
  <c r="F44" i="11"/>
  <c r="D44" i="11"/>
  <c r="G43" i="11"/>
  <c r="E43" i="11"/>
  <c r="B34" i="11"/>
  <c r="F46" i="11" s="1"/>
  <c r="B30" i="11"/>
  <c r="C43" i="9"/>
  <c r="B43" i="9"/>
  <c r="C42" i="9"/>
  <c r="B42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B53" i="1"/>
  <c r="E51" i="1"/>
  <c r="D51" i="1"/>
  <c r="C51" i="1"/>
  <c r="B51" i="1"/>
  <c r="B52" i="1" s="1"/>
  <c r="B32" i="1"/>
  <c r="E30" i="1"/>
  <c r="D30" i="1"/>
  <c r="C30" i="1"/>
  <c r="B30" i="1"/>
  <c r="B31" i="1" s="1"/>
  <c r="D42" i="9" l="1"/>
  <c r="D52" i="11"/>
  <c r="F47" i="11"/>
  <c r="D43" i="9"/>
  <c r="D46" i="11"/>
  <c r="D47" i="11" s="1"/>
  <c r="E33" i="9" l="1"/>
  <c r="B60" i="11"/>
  <c r="B72" i="11" s="1"/>
  <c r="E21" i="9"/>
  <c r="F48" i="11"/>
  <c r="G41" i="11"/>
  <c r="G42" i="11"/>
  <c r="G40" i="11"/>
  <c r="G44" i="11" s="1"/>
  <c r="D48" i="11"/>
  <c r="E41" i="11"/>
  <c r="E42" i="11"/>
  <c r="E40" i="11"/>
  <c r="E35" i="9"/>
  <c r="E37" i="9"/>
  <c r="E31" i="9"/>
  <c r="D48" i="9"/>
  <c r="B47" i="9"/>
  <c r="C48" i="9"/>
  <c r="D47" i="9"/>
  <c r="C47" i="9"/>
  <c r="E40" i="9"/>
  <c r="E38" i="9"/>
  <c r="E36" i="9"/>
  <c r="E34" i="9"/>
  <c r="E32" i="9"/>
  <c r="E30" i="9"/>
  <c r="E28" i="9"/>
  <c r="E26" i="9"/>
  <c r="E24" i="9"/>
  <c r="E22" i="9"/>
  <c r="E27" i="9"/>
  <c r="E29" i="9"/>
  <c r="E39" i="9"/>
  <c r="E23" i="9"/>
  <c r="E25" i="9"/>
  <c r="E44" i="11" l="1"/>
  <c r="D55" i="11"/>
  <c r="D53" i="11"/>
  <c r="D54" i="11" l="1"/>
  <c r="G73" i="11"/>
  <c r="H73" i="11" s="1"/>
  <c r="G65" i="11"/>
  <c r="H65" i="11" s="1"/>
  <c r="G72" i="11"/>
  <c r="H72" i="11" s="1"/>
  <c r="G67" i="11"/>
  <c r="H67" i="11" s="1"/>
  <c r="G64" i="11"/>
  <c r="H64" i="11" s="1"/>
  <c r="G71" i="11"/>
  <c r="H71" i="11" s="1"/>
  <c r="G69" i="11"/>
  <c r="H69" i="11" s="1"/>
  <c r="G63" i="11"/>
  <c r="H63" i="11" s="1"/>
  <c r="G68" i="11"/>
  <c r="H68" i="11" s="1"/>
  <c r="H75" i="11" l="1"/>
  <c r="G79" i="11" s="1"/>
  <c r="H77" i="11"/>
  <c r="H76" i="11"/>
</calcChain>
</file>

<file path=xl/sharedStrings.xml><?xml version="1.0" encoding="utf-8"?>
<sst xmlns="http://schemas.openxmlformats.org/spreadsheetml/2006/main" count="174" uniqueCount="119">
  <si>
    <t>HPLC System Suitability Report</t>
  </si>
  <si>
    <t>Analysis Data</t>
  </si>
  <si>
    <t>Assay</t>
  </si>
  <si>
    <t>Sample(s)</t>
  </si>
  <si>
    <t>Reference Substance:</t>
  </si>
  <si>
    <t>PRIMOCEF 1G I G I.V</t>
  </si>
  <si>
    <t>% age Purity:</t>
  </si>
  <si>
    <t>NDQD201607055</t>
  </si>
  <si>
    <t>Weight (mg):</t>
  </si>
  <si>
    <t>CEFOTAXIME</t>
  </si>
  <si>
    <t>Standard Conc (mg/mL):</t>
  </si>
  <si>
    <t>Each vial contains Sterile Cefotaxime sodium USP equivalent to Cefotaxime 1 g</t>
  </si>
  <si>
    <t>2016-07-28 12:58:56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</si>
  <si>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</si>
  <si>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</si>
  <si>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</si>
  <si>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</si>
  <si>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</si>
  <si>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</si>
  <si>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</si>
  <si>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</si>
  <si>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</si>
  <si>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</si>
  <si>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</si>
  <si>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</si>
  <si>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</si>
  <si>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</si>
  <si>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</si>
  <si>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</si>
  <si>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</si>
  <si>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</si>
  <si>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</si>
  <si>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</si>
  <si>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</si>
  <si>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</si>
  <si>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</si>
  <si>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</si>
  <si>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</si>
  <si>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</si>
  <si>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</si>
  <si>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</si>
  <si>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</si>
  <si>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</si>
  <si>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</si>
  <si>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</si>
  <si>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</si>
  <si>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</si>
  <si>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</si>
  <si>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</si>
  <si>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</si>
  <si>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</si>
  <si>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</si>
  <si>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</si>
  <si>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</si>
  <si>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</si>
  <si>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</si>
  <si>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</si>
  <si>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</si>
  <si>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</si>
  <si>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</si>
  <si>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</si>
  <si>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</si>
  <si>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</si>
  <si>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</si>
  <si>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</si>
  <si>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</si>
  <si>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</si>
  <si>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</si>
  <si>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</si>
  <si>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</si>
  <si>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</si>
  <si>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</si>
  <si>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</si>
  <si>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Average Normalised Response:</t>
  </si>
  <si>
    <t>RSD:</t>
  </si>
  <si>
    <t xml:space="preserve">Label Claim: 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</si>
  <si>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</si>
  <si>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</si>
  <si>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</si>
  <si>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</si>
  <si>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</si>
  <si>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</si>
  <si>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</si>
  <si>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</si>
  <si>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</si>
  <si>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</si>
  <si>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</si>
  <si>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</si>
  <si>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</si>
  <si>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Comment:</t>
  </si>
  <si>
    <t xml:space="preserve">The content of </t>
  </si>
  <si>
    <t xml:space="preserve">in the sample as a percentage of the stated  label claim is </t>
  </si>
  <si>
    <t>Determination of Content of Active Ingredient in the Sample</t>
  </si>
  <si>
    <t>Each Vial contains</t>
  </si>
  <si>
    <t>Average Vial Content Weight (mg):</t>
  </si>
  <si>
    <t>Sample Weight (mg)</t>
  </si>
  <si>
    <t>Desired Sample Weight (mg):</t>
  </si>
  <si>
    <t>Uniformity of Weight Test Report</t>
  </si>
  <si>
    <t>2016-08-17 07:49:30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</si>
  <si>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</si>
  <si>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</si>
  <si>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</si>
  <si>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</si>
  <si>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</si>
  <si>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</si>
  <si>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</si>
  <si>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</si>
  <si>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</si>
  <si>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Each mg is equivalent to</t>
  </si>
  <si>
    <t>Insert the International Units equivalence</t>
  </si>
  <si>
    <t>Initial    Standard dilution</t>
  </si>
  <si>
    <t>Inj</t>
  </si>
  <si>
    <t>Desired Weight as free base (iu):</t>
  </si>
  <si>
    <t>Desired Weight as salt (mg)</t>
  </si>
  <si>
    <t>Initial    Sample dilution</t>
  </si>
  <si>
    <t>Determined Amt (iu)</t>
  </si>
  <si>
    <t>cefotaxime sodium</t>
  </si>
  <si>
    <t>C21-2</t>
  </si>
  <si>
    <t>MICHAEL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</si>
</sst>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0\ &quot;mg&quot;"/>
    <numFmt numFmtId="172" formatCode="0\ &quot;iu&quot;"/>
  </numFmts>
  <fonts count="2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i/>
      <sz val="14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70" fontId="18" fillId="2" borderId="0" xfId="0" applyNumberFormat="1" applyFont="1" applyFill="1" applyAlignment="1">
      <alignment horizontal="center"/>
    </xf>
    <xf numFmtId="164" fontId="1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1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center" wrapText="1"/>
    </xf>
    <xf numFmtId="0" fontId="2" fillId="2" borderId="0" xfId="0" applyFont="1" applyFill="1"/>
    <xf numFmtId="166" fontId="2" fillId="2" borderId="0" xfId="0" applyNumberFormat="1" applyFont="1" applyFill="1" applyAlignment="1">
      <alignment horizontal="center"/>
    </xf>
    <xf numFmtId="0" fontId="2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50" xfId="0" applyNumberFormat="1" applyFont="1" applyFill="1" applyBorder="1" applyAlignment="1">
      <alignment horizontal="center"/>
    </xf>
    <xf numFmtId="164" fontId="1" fillId="2" borderId="42" xfId="0" applyNumberFormat="1" applyFont="1" applyFill="1" applyBorder="1" applyAlignment="1">
      <alignment horizontal="center"/>
    </xf>
    <xf numFmtId="0" fontId="1" fillId="2" borderId="50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2" fontId="2" fillId="3" borderId="21" xfId="0" applyNumberFormat="1" applyFont="1" applyFill="1" applyBorder="1" applyAlignment="1" applyProtection="1">
      <alignment horizontal="center"/>
      <protection locked="0"/>
    </xf>
    <xf numFmtId="2" fontId="2" fillId="3" borderId="37" xfId="0" applyNumberFormat="1" applyFont="1" applyFill="1" applyBorder="1" applyAlignment="1" applyProtection="1">
      <alignment horizontal="center"/>
      <protection locked="0"/>
    </xf>
    <xf numFmtId="2" fontId="2" fillId="2" borderId="37" xfId="0" applyNumberFormat="1" applyFont="1" applyFill="1" applyBorder="1" applyAlignment="1">
      <alignment horizontal="center"/>
    </xf>
    <xf numFmtId="10" fontId="2" fillId="2" borderId="38" xfId="0" applyNumberFormat="1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2" fontId="2" fillId="3" borderId="38" xfId="0" applyNumberFormat="1" applyFont="1" applyFill="1" applyBorder="1" applyAlignment="1" applyProtection="1">
      <alignment horizontal="center"/>
      <protection locked="0"/>
    </xf>
    <xf numFmtId="2" fontId="2" fillId="3" borderId="28" xfId="0" applyNumberFormat="1" applyFont="1" applyFill="1" applyBorder="1" applyAlignment="1" applyProtection="1">
      <alignment horizontal="center"/>
      <protection locked="0"/>
    </xf>
    <xf numFmtId="2" fontId="2" fillId="2" borderId="28" xfId="0" applyNumberFormat="1" applyFont="1" applyFill="1" applyBorder="1" applyAlignment="1">
      <alignment horizontal="center"/>
    </xf>
    <xf numFmtId="2" fontId="2" fillId="3" borderId="38" xfId="0" applyNumberFormat="1" applyFont="1" applyFill="1" applyBorder="1" applyAlignment="1" applyProtection="1">
      <alignment horizontal="center" wrapText="1"/>
      <protection locked="0"/>
    </xf>
    <xf numFmtId="1" fontId="2" fillId="2" borderId="29" xfId="0" applyNumberFormat="1" applyFont="1" applyFill="1" applyBorder="1" applyAlignment="1">
      <alignment horizontal="center"/>
    </xf>
    <xf numFmtId="2" fontId="2" fillId="3" borderId="39" xfId="0" applyNumberFormat="1" applyFont="1" applyFill="1" applyBorder="1" applyAlignment="1" applyProtection="1">
      <alignment horizontal="center" wrapText="1"/>
      <protection locked="0"/>
    </xf>
    <xf numFmtId="2" fontId="2" fillId="3" borderId="29" xfId="0" applyNumberFormat="1" applyFont="1" applyFill="1" applyBorder="1" applyAlignment="1" applyProtection="1">
      <alignment horizontal="center"/>
      <protection locked="0"/>
    </xf>
    <xf numFmtId="2" fontId="2" fillId="2" borderId="29" xfId="0" applyNumberFormat="1" applyFont="1" applyFill="1" applyBorder="1" applyAlignment="1">
      <alignment horizontal="center"/>
    </xf>
    <xf numFmtId="10" fontId="2" fillId="2" borderId="39" xfId="0" applyNumberFormat="1" applyFont="1" applyFill="1" applyBorder="1" applyAlignment="1">
      <alignment horizontal="center"/>
    </xf>
    <xf numFmtId="0" fontId="2" fillId="2" borderId="25" xfId="0" applyFont="1" applyFill="1" applyBorder="1" applyAlignment="1">
      <alignment horizontal="right"/>
    </xf>
    <xf numFmtId="170" fontId="2" fillId="2" borderId="51" xfId="0" applyNumberFormat="1" applyFont="1" applyFill="1" applyBorder="1" applyAlignment="1">
      <alignment horizontal="center"/>
    </xf>
    <xf numFmtId="170" fontId="2" fillId="2" borderId="52" xfId="0" applyNumberFormat="1" applyFont="1" applyFill="1" applyBorder="1" applyAlignment="1">
      <alignment horizontal="center"/>
    </xf>
    <xf numFmtId="170" fontId="2" fillId="2" borderId="53" xfId="0" applyNumberFormat="1" applyFont="1" applyFill="1" applyBorder="1" applyAlignment="1">
      <alignment horizontal="center"/>
    </xf>
    <xf numFmtId="0" fontId="2" fillId="2" borderId="30" xfId="0" applyFont="1" applyFill="1" applyBorder="1" applyAlignment="1">
      <alignment horizontal="right"/>
    </xf>
    <xf numFmtId="170" fontId="1" fillId="2" borderId="48" xfId="0" applyNumberFormat="1" applyFont="1" applyFill="1" applyBorder="1" applyAlignment="1">
      <alignment horizontal="center"/>
    </xf>
    <xf numFmtId="170" fontId="1" fillId="2" borderId="54" xfId="0" applyNumberFormat="1" applyFont="1" applyFill="1" applyBorder="1" applyAlignment="1">
      <alignment horizontal="center"/>
    </xf>
    <xf numFmtId="170" fontId="1" fillId="2" borderId="55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50" xfId="0" applyFont="1" applyFill="1" applyBorder="1" applyAlignment="1">
      <alignment horizontal="center" vertical="center"/>
    </xf>
    <xf numFmtId="0" fontId="1" fillId="2" borderId="50" xfId="0" applyFont="1" applyFill="1" applyBorder="1" applyAlignment="1">
      <alignment horizontal="center" wrapText="1"/>
    </xf>
    <xf numFmtId="165" fontId="1" fillId="2" borderId="26" xfId="0" applyNumberFormat="1" applyFont="1" applyFill="1" applyBorder="1" applyAlignment="1">
      <alignment horizontal="center"/>
    </xf>
    <xf numFmtId="171" fontId="1" fillId="2" borderId="43" xfId="0" applyNumberFormat="1" applyFont="1" applyFill="1" applyBorder="1" applyAlignment="1">
      <alignment horizontal="center" vertical="center"/>
    </xf>
    <xf numFmtId="165" fontId="1" fillId="2" borderId="29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41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2" borderId="0" xfId="0" applyFont="1" applyFill="1"/>
    <xf numFmtId="0" fontId="3" fillId="2" borderId="0" xfId="0" applyFont="1" applyFill="1"/>
    <xf numFmtId="0" fontId="9" fillId="2" borderId="0" xfId="0" applyFont="1" applyFill="1"/>
    <xf numFmtId="0" fontId="9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0" fontId="8" fillId="3" borderId="0" xfId="0" applyFont="1" applyFill="1" applyProtection="1">
      <protection locked="0"/>
    </xf>
    <xf numFmtId="167" fontId="10" fillId="3" borderId="0" xfId="0" applyNumberFormat="1" applyFont="1" applyFill="1" applyAlignment="1" applyProtection="1">
      <alignment horizontal="left"/>
      <protection locked="0"/>
    </xf>
    <xf numFmtId="0" fontId="10" fillId="2" borderId="0" xfId="0" applyFont="1" applyFill="1"/>
    <xf numFmtId="167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0" fillId="3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0" fontId="13" fillId="2" borderId="0" xfId="0" applyFont="1" applyFill="1"/>
    <xf numFmtId="0" fontId="17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8" fontId="9" fillId="2" borderId="0" xfId="0" applyNumberFormat="1" applyFont="1" applyFill="1" applyAlignment="1">
      <alignment horizontal="center"/>
    </xf>
    <xf numFmtId="0" fontId="12" fillId="2" borderId="0" xfId="0" applyFont="1" applyFill="1"/>
    <xf numFmtId="172" fontId="11" fillId="3" borderId="0" xfId="0" applyNumberFormat="1" applyFont="1" applyFill="1" applyAlignment="1" applyProtection="1">
      <alignment horizontal="center"/>
      <protection locked="0"/>
    </xf>
    <xf numFmtId="0" fontId="8" fillId="2" borderId="12" xfId="0" applyFont="1" applyFill="1" applyBorder="1" applyAlignment="1">
      <alignment horizontal="right"/>
    </xf>
    <xf numFmtId="0" fontId="11" fillId="3" borderId="13" xfId="0" applyFont="1" applyFill="1" applyBorder="1" applyAlignment="1" applyProtection="1">
      <alignment horizontal="center"/>
      <protection locked="0"/>
    </xf>
    <xf numFmtId="0" fontId="8" fillId="2" borderId="14" xfId="0" applyFont="1" applyFill="1" applyBorder="1" applyAlignment="1">
      <alignment horizontal="right"/>
    </xf>
    <xf numFmtId="0" fontId="11" fillId="3" borderId="15" xfId="0" applyFont="1" applyFill="1" applyBorder="1" applyAlignment="1" applyProtection="1">
      <alignment horizontal="center"/>
      <protection locked="0"/>
    </xf>
    <xf numFmtId="0" fontId="9" fillId="2" borderId="13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11" fillId="3" borderId="19" xfId="0" applyFont="1" applyFill="1" applyBorder="1" applyAlignment="1" applyProtection="1">
      <alignment horizontal="center"/>
      <protection locked="0"/>
    </xf>
    <xf numFmtId="169" fontId="8" fillId="2" borderId="45" xfId="0" applyNumberFormat="1" applyFont="1" applyFill="1" applyBorder="1" applyAlignment="1">
      <alignment horizontal="center"/>
    </xf>
    <xf numFmtId="169" fontId="8" fillId="2" borderId="17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11" fillId="3" borderId="14" xfId="0" applyFont="1" applyFill="1" applyBorder="1" applyAlignment="1" applyProtection="1">
      <alignment horizontal="center"/>
      <protection locked="0"/>
    </xf>
    <xf numFmtId="169" fontId="8" fillId="2" borderId="46" xfId="0" applyNumberFormat="1" applyFont="1" applyFill="1" applyBorder="1" applyAlignment="1">
      <alignment horizontal="center"/>
    </xf>
    <xf numFmtId="169" fontId="8" fillId="2" borderId="20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11" fillId="3" borderId="22" xfId="0" applyFont="1" applyFill="1" applyBorder="1" applyAlignment="1" applyProtection="1">
      <alignment horizontal="center"/>
      <protection locked="0"/>
    </xf>
    <xf numFmtId="169" fontId="8" fillId="2" borderId="47" xfId="0" applyNumberFormat="1" applyFont="1" applyFill="1" applyBorder="1" applyAlignment="1">
      <alignment horizontal="center"/>
    </xf>
    <xf numFmtId="169" fontId="8" fillId="2" borderId="23" xfId="0" applyNumberFormat="1" applyFont="1" applyFill="1" applyBorder="1" applyAlignment="1">
      <alignment horizontal="center"/>
    </xf>
    <xf numFmtId="0" fontId="8" fillId="2" borderId="15" xfId="0" applyFont="1" applyFill="1" applyBorder="1" applyAlignment="1">
      <alignment horizontal="right"/>
    </xf>
    <xf numFmtId="1" fontId="9" fillId="6" borderId="48" xfId="0" applyNumberFormat="1" applyFont="1" applyFill="1" applyBorder="1" applyAlignment="1">
      <alignment horizontal="center"/>
    </xf>
    <xf numFmtId="169" fontId="9" fillId="6" borderId="49" xfId="0" applyNumberFormat="1" applyFont="1" applyFill="1" applyBorder="1" applyAlignment="1">
      <alignment horizontal="center"/>
    </xf>
    <xf numFmtId="169" fontId="9" fillId="6" borderId="2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44" xfId="0" applyFont="1" applyFill="1" applyBorder="1" applyAlignment="1">
      <alignment horizontal="right"/>
    </xf>
    <xf numFmtId="0" fontId="11" fillId="3" borderId="26" xfId="0" applyFont="1" applyFill="1" applyBorder="1" applyAlignment="1" applyProtection="1">
      <alignment horizontal="center"/>
      <protection locked="0"/>
    </xf>
    <xf numFmtId="0" fontId="8" fillId="2" borderId="0" xfId="0" applyFont="1" applyFill="1"/>
    <xf numFmtId="0" fontId="8" fillId="2" borderId="11" xfId="0" applyFont="1" applyFill="1" applyBorder="1" applyAlignment="1">
      <alignment horizontal="right"/>
    </xf>
    <xf numFmtId="2" fontId="8" fillId="6" borderId="28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15" xfId="0" applyFont="1" applyFill="1" applyBorder="1" applyAlignment="1">
      <alignment horizontal="center"/>
    </xf>
    <xf numFmtId="2" fontId="8" fillId="7" borderId="28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9" xfId="0" applyNumberFormat="1" applyFont="1" applyFill="1" applyBorder="1" applyAlignment="1">
      <alignment horizontal="center"/>
    </xf>
    <xf numFmtId="0" fontId="8" fillId="2" borderId="27" xfId="0" applyFont="1" applyFill="1" applyBorder="1" applyAlignment="1">
      <alignment horizontal="right"/>
    </xf>
    <xf numFmtId="0" fontId="11" fillId="3" borderId="31" xfId="0" applyFont="1" applyFill="1" applyBorder="1" applyAlignment="1" applyProtection="1">
      <alignment horizontal="center"/>
      <protection locked="0"/>
    </xf>
    <xf numFmtId="1" fontId="8" fillId="2" borderId="0" xfId="0" applyNumberFormat="1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right"/>
    </xf>
    <xf numFmtId="2" fontId="8" fillId="7" borderId="34" xfId="0" applyNumberFormat="1" applyFont="1" applyFill="1" applyBorder="1" applyAlignment="1">
      <alignment horizontal="center"/>
    </xf>
    <xf numFmtId="169" fontId="8" fillId="2" borderId="0" xfId="0" applyNumberFormat="1" applyFont="1" applyFill="1" applyAlignment="1">
      <alignment horizontal="center"/>
    </xf>
    <xf numFmtId="169" fontId="9" fillId="7" borderId="33" xfId="0" applyNumberFormat="1" applyFont="1" applyFill="1" applyBorder="1" applyAlignment="1">
      <alignment horizontal="center"/>
    </xf>
    <xf numFmtId="10" fontId="8" fillId="6" borderId="28" xfId="0" applyNumberFormat="1" applyFont="1" applyFill="1" applyBorder="1" applyAlignment="1">
      <alignment horizontal="center"/>
    </xf>
    <xf numFmtId="0" fontId="8" fillId="7" borderId="34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2" fontId="9" fillId="2" borderId="32" xfId="0" applyNumberFormat="1" applyFont="1" applyFill="1" applyBorder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8" fillId="2" borderId="32" xfId="0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2" fontId="8" fillId="2" borderId="12" xfId="0" applyNumberFormat="1" applyFont="1" applyFill="1" applyBorder="1" applyAlignment="1">
      <alignment horizontal="center"/>
    </xf>
    <xf numFmtId="10" fontId="8" fillId="2" borderId="32" xfId="0" applyNumberFormat="1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/>
    </xf>
    <xf numFmtId="2" fontId="8" fillId="2" borderId="14" xfId="0" applyNumberFormat="1" applyFont="1" applyFill="1" applyBorder="1" applyAlignment="1">
      <alignment horizontal="center"/>
    </xf>
    <xf numFmtId="10" fontId="8" fillId="2" borderId="33" xfId="0" applyNumberFormat="1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/>
    </xf>
    <xf numFmtId="0" fontId="11" fillId="3" borderId="35" xfId="0" applyFont="1" applyFill="1" applyBorder="1" applyAlignment="1" applyProtection="1">
      <alignment horizontal="center"/>
      <protection locked="0"/>
    </xf>
    <xf numFmtId="2" fontId="8" fillId="2" borderId="32" xfId="0" applyNumberFormat="1" applyFont="1" applyFill="1" applyBorder="1" applyAlignment="1">
      <alignment horizontal="center"/>
    </xf>
    <xf numFmtId="10" fontId="8" fillId="2" borderId="13" xfId="0" applyNumberFormat="1" applyFont="1" applyFill="1" applyBorder="1" applyAlignment="1">
      <alignment horizontal="center" vertical="center"/>
    </xf>
    <xf numFmtId="2" fontId="8" fillId="2" borderId="33" xfId="0" applyNumberFormat="1" applyFont="1" applyFill="1" applyBorder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2" fontId="8" fillId="2" borderId="34" xfId="0" applyNumberFormat="1" applyFont="1" applyFill="1" applyBorder="1" applyAlignment="1">
      <alignment horizontal="center"/>
    </xf>
    <xf numFmtId="10" fontId="8" fillId="2" borderId="36" xfId="0" applyNumberFormat="1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/>
    </xf>
    <xf numFmtId="0" fontId="10" fillId="2" borderId="36" xfId="0" applyFont="1" applyFill="1" applyBorder="1" applyAlignment="1">
      <alignment horizontal="center"/>
    </xf>
    <xf numFmtId="10" fontId="8" fillId="2" borderId="34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37" xfId="0" applyFont="1" applyFill="1" applyBorder="1" applyAlignment="1">
      <alignment horizontal="right"/>
    </xf>
    <xf numFmtId="10" fontId="11" fillId="7" borderId="21" xfId="0" applyNumberFormat="1" applyFont="1" applyFill="1" applyBorder="1" applyAlignment="1">
      <alignment horizontal="center"/>
    </xf>
    <xf numFmtId="0" fontId="8" fillId="2" borderId="28" xfId="0" applyFont="1" applyFill="1" applyBorder="1" applyAlignment="1">
      <alignment horizontal="right"/>
    </xf>
    <xf numFmtId="10" fontId="11" fillId="6" borderId="38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29" xfId="0" applyFont="1" applyFill="1" applyBorder="1" applyAlignment="1">
      <alignment horizontal="right"/>
    </xf>
    <xf numFmtId="0" fontId="11" fillId="7" borderId="39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8" fillId="2" borderId="7" xfId="0" applyFont="1" applyFill="1" applyBorder="1" applyProtection="1">
      <protection locked="0"/>
    </xf>
    <xf numFmtId="0" fontId="8" fillId="2" borderId="7" xfId="0" applyFont="1" applyFill="1" applyBorder="1"/>
    <xf numFmtId="0" fontId="8" fillId="2" borderId="0" xfId="0" applyFont="1" applyFill="1"/>
    <xf numFmtId="0" fontId="8" fillId="2" borderId="7" xfId="0" applyFont="1" applyFill="1" applyBorder="1"/>
    <xf numFmtId="0" fontId="9" fillId="2" borderId="11" xfId="0" applyFont="1" applyFill="1" applyBorder="1" applyProtection="1">
      <protection locked="0"/>
    </xf>
    <xf numFmtId="0" fontId="9" fillId="2" borderId="11" xfId="0" applyFont="1" applyFill="1" applyBorder="1"/>
    <xf numFmtId="0" fontId="8" fillId="2" borderId="11" xfId="0" applyFont="1" applyFill="1" applyBorder="1"/>
    <xf numFmtId="0" fontId="10" fillId="3" borderId="0" xfId="0" applyFont="1" applyFill="1" applyAlignment="1" applyProtection="1">
      <alignment horizontal="left"/>
      <protection locked="0"/>
    </xf>
    <xf numFmtId="170" fontId="9" fillId="2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 applyProtection="1">
      <alignment horizontal="right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0" xfId="0" applyFont="1" applyFill="1" applyAlignment="1">
      <alignment horizontal="left" wrapText="1"/>
    </xf>
    <xf numFmtId="0" fontId="1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20" fillId="2" borderId="0" xfId="0" applyFont="1" applyFill="1" applyAlignment="1">
      <alignment horizontal="center"/>
    </xf>
    <xf numFmtId="168" fontId="1" fillId="2" borderId="32" xfId="0" applyNumberFormat="1" applyFont="1" applyFill="1" applyBorder="1" applyAlignment="1">
      <alignment horizontal="center" vertical="center"/>
    </xf>
    <xf numFmtId="168" fontId="1" fillId="2" borderId="34" xfId="0" applyNumberFormat="1" applyFont="1" applyFill="1" applyBorder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3" xfId="0" applyFont="1" applyFill="1" applyBorder="1" applyAlignment="1">
      <alignment horizontal="left" vertical="center" wrapText="1"/>
    </xf>
    <xf numFmtId="0" fontId="14" fillId="2" borderId="3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2" fontId="11" fillId="3" borderId="32" xfId="0" applyNumberFormat="1" applyFont="1" applyFill="1" applyBorder="1" applyAlignment="1" applyProtection="1">
      <alignment horizontal="center" vertical="center"/>
      <protection locked="0"/>
    </xf>
    <xf numFmtId="2" fontId="11" fillId="3" borderId="33" xfId="0" applyNumberFormat="1" applyFont="1" applyFill="1" applyBorder="1" applyAlignment="1" applyProtection="1">
      <alignment horizontal="center" vertical="center"/>
      <protection locked="0"/>
    </xf>
    <xf numFmtId="2" fontId="11" fillId="3" borderId="34" xfId="0" applyNumberFormat="1" applyFont="1" applyFill="1" applyBorder="1" applyAlignment="1" applyProtection="1">
      <alignment horizontal="center" vertical="center"/>
      <protection locked="0"/>
    </xf>
    <xf numFmtId="0" fontId="9" fillId="2" borderId="35" xfId="0" applyFont="1" applyFill="1" applyBorder="1" applyAlignment="1">
      <alignment horizontal="center" vertical="center"/>
    </xf>
    <xf numFmtId="0" fontId="14" fillId="2" borderId="40" xfId="0" applyFont="1" applyFill="1" applyBorder="1" applyAlignment="1">
      <alignment horizontal="justify" vertical="center" wrapText="1"/>
    </xf>
    <xf numFmtId="0" fontId="14" fillId="2" borderId="41" xfId="0" applyFont="1" applyFill="1" applyBorder="1" applyAlignment="1">
      <alignment horizontal="justify" vertical="center" wrapText="1"/>
    </xf>
    <xf numFmtId="0" fontId="14" fillId="2" borderId="42" xfId="0" applyFont="1" applyFill="1" applyBorder="1" applyAlignment="1">
      <alignment horizontal="justify" vertical="center" wrapText="1"/>
    </xf>
    <xf numFmtId="0" fontId="14" fillId="2" borderId="40" xfId="0" applyFont="1" applyFill="1" applyBorder="1" applyAlignment="1">
      <alignment horizontal="left" vertical="center" wrapText="1"/>
    </xf>
    <xf numFmtId="0" fontId="14" fillId="2" borderId="41" xfId="0" applyFont="1" applyFill="1" applyBorder="1" applyAlignment="1">
      <alignment horizontal="left" vertical="center" wrapText="1"/>
    </xf>
    <xf numFmtId="0" fontId="14" fillId="2" borderId="42" xfId="0" applyFont="1" applyFill="1" applyBorder="1" applyAlignment="1">
      <alignment horizontal="left" vertical="center" wrapText="1"/>
    </xf>
    <xf numFmtId="0" fontId="9" fillId="2" borderId="25" xfId="0" applyFont="1" applyFill="1" applyBorder="1" applyAlignment="1">
      <alignment horizontal="center"/>
    </xf>
    <xf numFmtId="0" fontId="9" fillId="2" borderId="44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10" fillId="3" borderId="0" xfId="0" applyFont="1" applyFill="1" applyAlignment="1" applyProtection="1">
      <alignment horizontal="left"/>
      <protection locked="0"/>
    </xf>
    <xf numFmtId="0" fontId="14" fillId="2" borderId="40" xfId="0" applyFont="1" applyFill="1" applyBorder="1" applyAlignment="1">
      <alignment horizontal="center"/>
    </xf>
    <xf numFmtId="0" fontId="14" fillId="2" borderId="41" xfId="0" applyFont="1" applyFill="1" applyBorder="1" applyAlignment="1">
      <alignment horizontal="center"/>
    </xf>
    <xf numFmtId="0" fontId="14" fillId="2" borderId="42" xfId="0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22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3" workbookViewId="0">
      <selection activeCell="B61" sqref="B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42" t="s">
        <v>0</v>
      </c>
      <c r="B15" s="242"/>
      <c r="C15" s="242"/>
      <c r="D15" s="242"/>
      <c r="E15" s="24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93.54</v>
      </c>
      <c r="C19" s="10"/>
      <c r="D19" s="10"/>
      <c r="E19" s="10"/>
    </row>
    <row r="20" spans="1:6" ht="16.5" customHeight="1" x14ac:dyDescent="0.3">
      <c r="A20" s="7" t="s">
        <v>8</v>
      </c>
      <c r="B20" s="12">
        <v>10.16</v>
      </c>
      <c r="C20" s="10"/>
      <c r="D20" s="10"/>
      <c r="E20" s="10"/>
    </row>
    <row r="21" spans="1:6" ht="16.5" customHeight="1" x14ac:dyDescent="0.3">
      <c r="A21" s="7" t="s">
        <v>10</v>
      </c>
      <c r="B21" s="13">
        <f>10.16/100</f>
        <v>0.1016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33773743</v>
      </c>
      <c r="C24" s="18">
        <v>3654.4</v>
      </c>
      <c r="D24" s="19">
        <v>1.1000000000000001</v>
      </c>
      <c r="E24" s="20">
        <v>5.3</v>
      </c>
    </row>
    <row r="25" spans="1:6" ht="16.5" customHeight="1" x14ac:dyDescent="0.3">
      <c r="A25" s="17">
        <v>2</v>
      </c>
      <c r="B25" s="18">
        <v>33724064</v>
      </c>
      <c r="C25" s="18">
        <v>3646.6</v>
      </c>
      <c r="D25" s="19">
        <v>1.1000000000000001</v>
      </c>
      <c r="E25" s="19">
        <v>5.3</v>
      </c>
    </row>
    <row r="26" spans="1:6" ht="16.5" customHeight="1" x14ac:dyDescent="0.3">
      <c r="A26" s="17">
        <v>3</v>
      </c>
      <c r="B26" s="18">
        <v>33896068</v>
      </c>
      <c r="C26" s="18">
        <v>3658</v>
      </c>
      <c r="D26" s="19">
        <v>1</v>
      </c>
      <c r="E26" s="19">
        <v>5.3</v>
      </c>
    </row>
    <row r="27" spans="1:6" ht="16.5" customHeight="1" x14ac:dyDescent="0.3">
      <c r="A27" s="17">
        <v>4</v>
      </c>
      <c r="B27" s="18">
        <v>33614537</v>
      </c>
      <c r="C27" s="18">
        <v>3669</v>
      </c>
      <c r="D27" s="19">
        <v>1</v>
      </c>
      <c r="E27" s="19">
        <v>5.3</v>
      </c>
    </row>
    <row r="28" spans="1:6" ht="16.5" customHeight="1" x14ac:dyDescent="0.3">
      <c r="A28" s="17">
        <v>5</v>
      </c>
      <c r="B28" s="18">
        <v>33738588</v>
      </c>
      <c r="C28" s="18">
        <v>3674.2</v>
      </c>
      <c r="D28" s="19">
        <v>1.1000000000000001</v>
      </c>
      <c r="E28" s="19">
        <v>5.3</v>
      </c>
    </row>
    <row r="29" spans="1:6" ht="16.5" customHeight="1" x14ac:dyDescent="0.3">
      <c r="A29" s="17">
        <v>6</v>
      </c>
      <c r="B29" s="21">
        <v>33731887</v>
      </c>
      <c r="C29" s="21">
        <v>3658.3</v>
      </c>
      <c r="D29" s="22">
        <v>1</v>
      </c>
      <c r="E29" s="22">
        <v>5.3</v>
      </c>
    </row>
    <row r="30" spans="1:6" ht="16.5" customHeight="1" x14ac:dyDescent="0.3">
      <c r="A30" s="23" t="s">
        <v>18</v>
      </c>
      <c r="B30" s="24">
        <f>AVERAGE(B24:B29)</f>
        <v>33746481.166666664</v>
      </c>
      <c r="C30" s="25">
        <f>AVERAGE(C24:C29)</f>
        <v>3660.0833333333335</v>
      </c>
      <c r="D30" s="26">
        <f>AVERAGE(D24:D29)</f>
        <v>1.05</v>
      </c>
      <c r="E30" s="26">
        <f>AVERAGE(E24:E29)</f>
        <v>5.3</v>
      </c>
    </row>
    <row r="31" spans="1:6" ht="16.5" customHeight="1" x14ac:dyDescent="0.3">
      <c r="A31" s="27" t="s">
        <v>19</v>
      </c>
      <c r="B31" s="28">
        <f>(STDEV(B24:B29)/B30)</f>
        <v>2.6933684468841159E-3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43" t="s">
        <v>26</v>
      </c>
      <c r="C59" s="24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118</v>
      </c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5" workbookViewId="0">
      <selection activeCell="E40" sqref="E40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246" t="s">
        <v>33</v>
      </c>
      <c r="B8" s="246"/>
      <c r="C8" s="246"/>
      <c r="D8" s="246"/>
      <c r="E8" s="246"/>
      <c r="F8" s="246"/>
      <c r="G8" s="246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247" t="s">
        <v>97</v>
      </c>
      <c r="B10" s="247"/>
      <c r="C10" s="247"/>
      <c r="D10" s="247"/>
      <c r="E10" s="247"/>
      <c r="F10" s="247"/>
      <c r="G10" s="247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244" t="s">
        <v>35</v>
      </c>
      <c r="B11" s="244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244" t="s">
        <v>36</v>
      </c>
      <c r="B12" s="244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244" t="s">
        <v>37</v>
      </c>
      <c r="B13" s="244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244" t="s">
        <v>38</v>
      </c>
      <c r="B14" s="244"/>
      <c r="C14" s="245" t="s">
        <v>11</v>
      </c>
      <c r="D14" s="245"/>
      <c r="E14" s="245"/>
      <c r="F14" s="245"/>
      <c r="G14" s="245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244" t="s">
        <v>39</v>
      </c>
      <c r="B15" s="244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244" t="s">
        <v>40</v>
      </c>
      <c r="B16" s="244"/>
      <c r="C16" s="74" t="s">
        <v>98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248" t="s">
        <v>1</v>
      </c>
      <c r="B18" s="248"/>
      <c r="C18" s="75" t="s">
        <v>99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100</v>
      </c>
      <c r="B20" s="78" t="s">
        <v>101</v>
      </c>
      <c r="C20" s="79" t="s">
        <v>102</v>
      </c>
      <c r="D20" s="77" t="s">
        <v>103</v>
      </c>
      <c r="E20" s="80" t="s">
        <v>104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15710.94</v>
      </c>
      <c r="C21" s="83">
        <v>14639.71</v>
      </c>
      <c r="D21" s="84">
        <f t="shared" ref="D21:D40" si="0">B21-C21</f>
        <v>1071.2300000000014</v>
      </c>
      <c r="E21" s="85">
        <f t="shared" ref="E21:E40" si="1">(D21-$D$43)/$D$43</f>
        <v>-1.3587652142843918E-2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14518.96</v>
      </c>
      <c r="C22" s="88">
        <v>13437.87</v>
      </c>
      <c r="D22" s="89">
        <f t="shared" si="0"/>
        <v>1081.0899999999983</v>
      </c>
      <c r="E22" s="85">
        <f t="shared" si="1"/>
        <v>-4.5083454114524038E-3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15706.37</v>
      </c>
      <c r="C23" s="88">
        <v>14697.49</v>
      </c>
      <c r="D23" s="89">
        <f t="shared" si="0"/>
        <v>1008.880000000001</v>
      </c>
      <c r="E23" s="85">
        <f t="shared" si="1"/>
        <v>-7.100091529724957E-2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14731.03</v>
      </c>
      <c r="C24" s="88">
        <v>13642.5</v>
      </c>
      <c r="D24" s="89">
        <f t="shared" si="0"/>
        <v>1088.5300000000007</v>
      </c>
      <c r="E24" s="85">
        <f t="shared" si="1"/>
        <v>2.342571635362499E-3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14720.2</v>
      </c>
      <c r="C25" s="88">
        <v>13634.49</v>
      </c>
      <c r="D25" s="89">
        <f t="shared" si="0"/>
        <v>1085.7100000000009</v>
      </c>
      <c r="E25" s="85">
        <f t="shared" si="1"/>
        <v>-2.5414692270335943E-4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14769.71</v>
      </c>
      <c r="C26" s="88">
        <v>13660.5</v>
      </c>
      <c r="D26" s="89">
        <f t="shared" si="0"/>
        <v>1109.2099999999991</v>
      </c>
      <c r="E26" s="85">
        <f t="shared" si="1"/>
        <v>2.1385174394512686E-2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14747.3</v>
      </c>
      <c r="C27" s="88">
        <v>13677.97</v>
      </c>
      <c r="D27" s="89">
        <f t="shared" si="0"/>
        <v>1069.33</v>
      </c>
      <c r="E27" s="85">
        <f t="shared" si="1"/>
        <v>-1.5337214291896904E-2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15474.76</v>
      </c>
      <c r="C28" s="88">
        <v>14418.34</v>
      </c>
      <c r="D28" s="89">
        <f t="shared" si="0"/>
        <v>1056.42</v>
      </c>
      <c r="E28" s="85">
        <f t="shared" si="1"/>
        <v>-2.7225028683610843E-2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14648.62</v>
      </c>
      <c r="C29" s="88">
        <v>13575.59</v>
      </c>
      <c r="D29" s="89">
        <f t="shared" si="0"/>
        <v>1073.0300000000007</v>
      </c>
      <c r="E29" s="85">
        <f t="shared" si="1"/>
        <v>-1.1930172212164082E-2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14579.53</v>
      </c>
      <c r="C30" s="88">
        <v>13517.79</v>
      </c>
      <c r="D30" s="89">
        <f t="shared" si="0"/>
        <v>1061.7399999999998</v>
      </c>
      <c r="E30" s="85">
        <f t="shared" si="1"/>
        <v>-2.2326254666266504E-2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15883.65</v>
      </c>
      <c r="C31" s="88">
        <v>14736.99</v>
      </c>
      <c r="D31" s="89">
        <f t="shared" si="0"/>
        <v>1146.6599999999999</v>
      </c>
      <c r="E31" s="85">
        <f t="shared" si="1"/>
        <v>5.5869965174505001E-2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14722.86</v>
      </c>
      <c r="C32" s="88">
        <v>13626.2</v>
      </c>
      <c r="D32" s="89">
        <f t="shared" si="0"/>
        <v>1096.6599999999999</v>
      </c>
      <c r="E32" s="85">
        <f t="shared" si="1"/>
        <v>9.8288559889353824E-3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14712.03</v>
      </c>
      <c r="C33" s="88">
        <v>13611.86</v>
      </c>
      <c r="D33" s="89">
        <f t="shared" si="0"/>
        <v>1100.17</v>
      </c>
      <c r="E33" s="85">
        <f t="shared" si="1"/>
        <v>1.3060941853762571E-2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14663.24</v>
      </c>
      <c r="C34" s="88">
        <v>13538.47</v>
      </c>
      <c r="D34" s="89">
        <f t="shared" si="0"/>
        <v>1124.7700000000004</v>
      </c>
      <c r="E34" s="85">
        <f t="shared" si="1"/>
        <v>3.5713167573063156E-2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14636.65</v>
      </c>
      <c r="C35" s="88">
        <v>13550.78</v>
      </c>
      <c r="D35" s="89">
        <f t="shared" si="0"/>
        <v>1085.869999999999</v>
      </c>
      <c r="E35" s="85">
        <f t="shared" si="1"/>
        <v>-1.0681537331134559E-4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14644.39</v>
      </c>
      <c r="C36" s="88">
        <v>13543.62</v>
      </c>
      <c r="D36" s="89">
        <f t="shared" si="0"/>
        <v>1100.7699999999986</v>
      </c>
      <c r="E36" s="85">
        <f t="shared" si="1"/>
        <v>1.3613435163988065E-2</v>
      </c>
      <c r="G36" s="66"/>
      <c r="H36" s="66"/>
    </row>
    <row r="37" spans="1:15" ht="15" x14ac:dyDescent="0.3">
      <c r="A37" s="86">
        <v>17</v>
      </c>
      <c r="B37" s="90">
        <v>14732.43</v>
      </c>
      <c r="C37" s="88">
        <v>13656.66</v>
      </c>
      <c r="D37" s="89">
        <f t="shared" si="0"/>
        <v>1075.7700000000004</v>
      </c>
      <c r="E37" s="85">
        <f t="shared" si="1"/>
        <v>-9.4071194287950674E-3</v>
      </c>
    </row>
    <row r="38" spans="1:15" ht="15" x14ac:dyDescent="0.3">
      <c r="A38" s="86">
        <v>18</v>
      </c>
      <c r="B38" s="90">
        <v>14813.13</v>
      </c>
      <c r="C38" s="88">
        <v>13716.35</v>
      </c>
      <c r="D38" s="89">
        <f t="shared" si="0"/>
        <v>1096.7799999999988</v>
      </c>
      <c r="E38" s="85">
        <f t="shared" si="1"/>
        <v>9.9393546509798109E-3</v>
      </c>
    </row>
    <row r="39" spans="1:15" ht="15" x14ac:dyDescent="0.3">
      <c r="A39" s="86">
        <v>19</v>
      </c>
      <c r="B39" s="90">
        <v>14733.11</v>
      </c>
      <c r="C39" s="88">
        <v>13615.6</v>
      </c>
      <c r="D39" s="89">
        <f t="shared" si="0"/>
        <v>1117.5100000000002</v>
      </c>
      <c r="E39" s="85">
        <f t="shared" si="1"/>
        <v>2.9027998519318247E-2</v>
      </c>
    </row>
    <row r="40" spans="1:15" ht="14.25" customHeight="1" x14ac:dyDescent="0.3">
      <c r="A40" s="91">
        <v>20</v>
      </c>
      <c r="B40" s="92">
        <v>14672.84</v>
      </c>
      <c r="C40" s="93">
        <v>13603.25</v>
      </c>
      <c r="D40" s="94">
        <f t="shared" si="0"/>
        <v>1069.5900000000001</v>
      </c>
      <c r="E40" s="95">
        <f t="shared" si="1"/>
        <v>-1.5097800524131741E-2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105</v>
      </c>
      <c r="B42" s="97">
        <f>SUM(B21:B40)</f>
        <v>297821.75</v>
      </c>
      <c r="C42" s="98">
        <f>SUM(C21:C40)</f>
        <v>276102.02999999997</v>
      </c>
      <c r="D42" s="99">
        <f>SUM(D21:D40)</f>
        <v>21719.719999999998</v>
      </c>
    </row>
    <row r="43" spans="1:15" ht="15.75" customHeight="1" x14ac:dyDescent="0.3">
      <c r="A43" s="100" t="s">
        <v>106</v>
      </c>
      <c r="B43" s="101">
        <f>AVERAGE(B21:B40)</f>
        <v>14891.0875</v>
      </c>
      <c r="C43" s="102">
        <f>AVERAGE(C21:C40)</f>
        <v>13805.101499999999</v>
      </c>
      <c r="D43" s="103">
        <f>AVERAGE(D21:D40)</f>
        <v>1085.9859999999999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106</v>
      </c>
      <c r="C46" s="106" t="s">
        <v>107</v>
      </c>
    </row>
    <row r="47" spans="1:15" ht="15.75" customHeight="1" x14ac:dyDescent="0.3">
      <c r="B47" s="249">
        <f>D43</f>
        <v>1085.9859999999999</v>
      </c>
      <c r="C47" s="107">
        <f>-(IF(D43&gt;300, 7.5%, 10%))</f>
        <v>-7.4999999999999997E-2</v>
      </c>
      <c r="D47" s="108">
        <f>IF(D43&lt;300, D43*0.9, D43*0.925)</f>
        <v>1004.5370499999999</v>
      </c>
    </row>
    <row r="48" spans="1:15" ht="15.75" customHeight="1" x14ac:dyDescent="0.3">
      <c r="B48" s="250"/>
      <c r="C48" s="109">
        <f>+(IF(D43&gt;300, 7.5%, 10%))</f>
        <v>7.4999999999999997E-2</v>
      </c>
      <c r="D48" s="108">
        <f>IF(D43&lt;300, D43*1.1, D43*1.075)</f>
        <v>1167.4349499999998</v>
      </c>
    </row>
    <row r="49" spans="1:7" ht="14.25" customHeight="1" x14ac:dyDescent="0.3">
      <c r="A49" s="110"/>
      <c r="D49" s="111"/>
    </row>
    <row r="50" spans="1:7" ht="15" customHeight="1" x14ac:dyDescent="0.3">
      <c r="B50" s="243" t="s">
        <v>26</v>
      </c>
      <c r="C50" s="243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F258" sheet="1" formatColumns="0" formatRows="0" insertColumns="0" insertHyperlinks="0" deleteColumns="0" deleteRows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1" priority="1" operator="notBetween">
      <formula>IF(+$D$43&lt;300, -10.5%, -7.5%)</formula>
      <formula>IF(+$D$43&lt;300, 10.5%, 7.5%)</formula>
    </cfRule>
  </conditionalFormatting>
  <conditionalFormatting sqref="E22">
    <cfRule type="cellIs" dxfId="20" priority="2" operator="notBetween">
      <formula>IF(+$D$43&lt;300, -10.5%, -7.5%)</formula>
      <formula>IF(+$D$43&lt;300, 10.5%, 7.5%)</formula>
    </cfRule>
  </conditionalFormatting>
  <conditionalFormatting sqref="E23">
    <cfRule type="cellIs" dxfId="19" priority="3" operator="notBetween">
      <formula>IF(+$D$43&lt;300, -10.5%, -7.5%)</formula>
      <formula>IF(+$D$43&lt;300, 10.5%, 7.5%)</formula>
    </cfRule>
  </conditionalFormatting>
  <conditionalFormatting sqref="E24">
    <cfRule type="cellIs" dxfId="18" priority="4" operator="notBetween">
      <formula>IF(+$D$43&lt;300, -10.5%, -7.5%)</formula>
      <formula>IF(+$D$43&lt;300, 10.5%, 7.5%)</formula>
    </cfRule>
  </conditionalFormatting>
  <conditionalFormatting sqref="E25">
    <cfRule type="cellIs" dxfId="17" priority="5" operator="notBetween">
      <formula>IF(+$D$43&lt;300, -10.5%, -7.5%)</formula>
      <formula>IF(+$D$43&lt;300, 10.5%, 7.5%)</formula>
    </cfRule>
  </conditionalFormatting>
  <conditionalFormatting sqref="E26">
    <cfRule type="cellIs" dxfId="16" priority="6" operator="notBetween">
      <formula>IF(+$D$43&lt;300, -10.5%, -7.5%)</formula>
      <formula>IF(+$D$43&lt;300, 10.5%, 7.5%)</formula>
    </cfRule>
  </conditionalFormatting>
  <conditionalFormatting sqref="E27">
    <cfRule type="cellIs" dxfId="15" priority="7" operator="notBetween">
      <formula>IF(+$D$43&lt;300, -10.5%, -7.5%)</formula>
      <formula>IF(+$D$43&lt;300, 10.5%, 7.5%)</formula>
    </cfRule>
  </conditionalFormatting>
  <conditionalFormatting sqref="E28">
    <cfRule type="cellIs" dxfId="14" priority="8" operator="notBetween">
      <formula>IF(+$D$43&lt;300, -10.5%, -7.5%)</formula>
      <formula>IF(+$D$43&lt;300, 10.5%, 7.5%)</formula>
    </cfRule>
  </conditionalFormatting>
  <conditionalFormatting sqref="E29">
    <cfRule type="cellIs" dxfId="13" priority="9" operator="notBetween">
      <formula>IF(+$D$43&lt;300, -10.5%, -7.5%)</formula>
      <formula>IF(+$D$43&lt;300, 10.5%, 7.5%)</formula>
    </cfRule>
  </conditionalFormatting>
  <conditionalFormatting sqref="E30">
    <cfRule type="cellIs" dxfId="12" priority="10" operator="notBetween">
      <formula>IF(+$D$43&lt;300, -10.5%, -7.5%)</formula>
      <formula>IF(+$D$43&lt;300, 10.5%, 7.5%)</formula>
    </cfRule>
  </conditionalFormatting>
  <conditionalFormatting sqref="E31">
    <cfRule type="cellIs" dxfId="11" priority="11" operator="notBetween">
      <formula>IF(+$D$43&lt;300, -10.5%, -7.5%)</formula>
      <formula>IF(+$D$43&lt;300, 10.5%, 7.5%)</formula>
    </cfRule>
  </conditionalFormatting>
  <conditionalFormatting sqref="E32">
    <cfRule type="cellIs" dxfId="10" priority="12" operator="notBetween">
      <formula>IF(+$D$43&lt;300, -10.5%, -7.5%)</formula>
      <formula>IF(+$D$43&lt;300, 10.5%, 7.5%)</formula>
    </cfRule>
  </conditionalFormatting>
  <conditionalFormatting sqref="E33">
    <cfRule type="cellIs" dxfId="9" priority="13" operator="notBetween">
      <formula>IF(+$D$43&lt;300, -10.5%, -7.5%)</formula>
      <formula>IF(+$D$43&lt;300, 10.5%, 7.5%)</formula>
    </cfRule>
  </conditionalFormatting>
  <conditionalFormatting sqref="E34">
    <cfRule type="cellIs" dxfId="8" priority="14" operator="notBetween">
      <formula>IF(+$D$43&lt;300, -10.5%, -7.5%)</formula>
      <formula>IF(+$D$43&lt;300, 10.5%, 7.5%)</formula>
    </cfRule>
  </conditionalFormatting>
  <conditionalFormatting sqref="E35">
    <cfRule type="cellIs" dxfId="7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5" priority="17" operator="notBetween">
      <formula>IF(+$D$43&lt;300, -10.5%, -7.5%)</formula>
      <formula>IF(+$D$43&lt;300, 10.5%, 7.5%)</formula>
    </cfRule>
  </conditionalFormatting>
  <conditionalFormatting sqref="E38">
    <cfRule type="cellIs" dxfId="4" priority="18" operator="notBetween">
      <formula>IF(+$D$43&lt;300, -10.5%, -7.5%)</formula>
      <formula>IF(+$D$43&lt;300, 10.5%, 7.5%)</formula>
    </cfRule>
  </conditionalFormatting>
  <conditionalFormatting sqref="E39">
    <cfRule type="cellIs" dxfId="3" priority="19" operator="notBetween">
      <formula>IF(+$D$43&lt;300, -10.5%, -7.5%)</formula>
      <formula>IF(+$D$43&lt;300, 10.5%, 7.5%)</formula>
    </cfRule>
  </conditionalFormatting>
  <conditionalFormatting sqref="E40">
    <cfRule type="cellIs" dxfId="2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view="pageBreakPreview" topLeftCell="A22" zoomScale="60" zoomScaleNormal="69" workbookViewId="0">
      <selection activeCell="D25" sqref="D25"/>
    </sheetView>
  </sheetViews>
  <sheetFormatPr defaultRowHeight="12.75" x14ac:dyDescent="0.2"/>
  <cols>
    <col min="1" max="1" width="56.85546875" customWidth="1"/>
    <col min="2" max="2" width="24.42578125" customWidth="1"/>
    <col min="3" max="3" width="46.28515625" customWidth="1"/>
    <col min="4" max="4" width="24.5703125" customWidth="1"/>
    <col min="5" max="5" width="37.140625" customWidth="1"/>
    <col min="6" max="6" width="23.5703125" customWidth="1"/>
    <col min="7" max="7" width="28.5703125" customWidth="1"/>
    <col min="8" max="8" width="17.7109375" customWidth="1"/>
  </cols>
  <sheetData>
    <row r="1" spans="1:8" x14ac:dyDescent="0.2">
      <c r="A1" s="251" t="s">
        <v>31</v>
      </c>
      <c r="B1" s="251"/>
      <c r="C1" s="251"/>
      <c r="D1" s="251"/>
      <c r="E1" s="251"/>
      <c r="F1" s="251"/>
      <c r="G1" s="251"/>
      <c r="H1" s="251"/>
    </row>
    <row r="2" spans="1:8" x14ac:dyDescent="0.2">
      <c r="A2" s="251"/>
      <c r="B2" s="251"/>
      <c r="C2" s="251"/>
      <c r="D2" s="251"/>
      <c r="E2" s="251"/>
      <c r="F2" s="251"/>
      <c r="G2" s="251"/>
      <c r="H2" s="251"/>
    </row>
    <row r="3" spans="1:8" x14ac:dyDescent="0.2">
      <c r="A3" s="251"/>
      <c r="B3" s="251"/>
      <c r="C3" s="251"/>
      <c r="D3" s="251"/>
      <c r="E3" s="251"/>
      <c r="F3" s="251"/>
      <c r="G3" s="251"/>
      <c r="H3" s="251"/>
    </row>
    <row r="4" spans="1:8" x14ac:dyDescent="0.2">
      <c r="A4" s="251"/>
      <c r="B4" s="251"/>
      <c r="C4" s="251"/>
      <c r="D4" s="251"/>
      <c r="E4" s="251"/>
      <c r="F4" s="251"/>
      <c r="G4" s="251"/>
      <c r="H4" s="251"/>
    </row>
    <row r="5" spans="1:8" x14ac:dyDescent="0.2">
      <c r="A5" s="251"/>
      <c r="B5" s="251"/>
      <c r="C5" s="251"/>
      <c r="D5" s="251"/>
      <c r="E5" s="251"/>
      <c r="F5" s="251"/>
      <c r="G5" s="251"/>
      <c r="H5" s="251"/>
    </row>
    <row r="6" spans="1:8" x14ac:dyDescent="0.2">
      <c r="A6" s="251"/>
      <c r="B6" s="251"/>
      <c r="C6" s="251"/>
      <c r="D6" s="251"/>
      <c r="E6" s="251"/>
      <c r="F6" s="251"/>
      <c r="G6" s="251"/>
      <c r="H6" s="251"/>
    </row>
    <row r="7" spans="1:8" x14ac:dyDescent="0.2">
      <c r="A7" s="251"/>
      <c r="B7" s="251"/>
      <c r="C7" s="251"/>
      <c r="D7" s="251"/>
      <c r="E7" s="251"/>
      <c r="F7" s="251"/>
      <c r="G7" s="251"/>
      <c r="H7" s="251"/>
    </row>
    <row r="8" spans="1:8" x14ac:dyDescent="0.2">
      <c r="A8" s="252" t="s">
        <v>32</v>
      </c>
      <c r="B8" s="252"/>
      <c r="C8" s="252"/>
      <c r="D8" s="252"/>
      <c r="E8" s="252"/>
      <c r="F8" s="252"/>
      <c r="G8" s="252"/>
      <c r="H8" s="252"/>
    </row>
    <row r="9" spans="1:8" x14ac:dyDescent="0.2">
      <c r="A9" s="252"/>
      <c r="B9" s="252"/>
      <c r="C9" s="252"/>
      <c r="D9" s="252"/>
      <c r="E9" s="252"/>
      <c r="F9" s="252"/>
      <c r="G9" s="252"/>
      <c r="H9" s="252"/>
    </row>
    <row r="10" spans="1:8" x14ac:dyDescent="0.2">
      <c r="A10" s="252"/>
      <c r="B10" s="252"/>
      <c r="C10" s="252"/>
      <c r="D10" s="252"/>
      <c r="E10" s="252"/>
      <c r="F10" s="252"/>
      <c r="G10" s="252"/>
      <c r="H10" s="252"/>
    </row>
    <row r="11" spans="1:8" x14ac:dyDescent="0.2">
      <c r="A11" s="252"/>
      <c r="B11" s="252"/>
      <c r="C11" s="252"/>
      <c r="D11" s="252"/>
      <c r="E11" s="252"/>
      <c r="F11" s="252"/>
      <c r="G11" s="252"/>
      <c r="H11" s="252"/>
    </row>
    <row r="12" spans="1:8" x14ac:dyDescent="0.2">
      <c r="A12" s="252"/>
      <c r="B12" s="252"/>
      <c r="C12" s="252"/>
      <c r="D12" s="252"/>
      <c r="E12" s="252"/>
      <c r="F12" s="252"/>
      <c r="G12" s="252"/>
      <c r="H12" s="252"/>
    </row>
    <row r="13" spans="1:8" x14ac:dyDescent="0.2">
      <c r="A13" s="252"/>
      <c r="B13" s="252"/>
      <c r="C13" s="252"/>
      <c r="D13" s="252"/>
      <c r="E13" s="252"/>
      <c r="F13" s="252"/>
      <c r="G13" s="252"/>
      <c r="H13" s="252"/>
    </row>
    <row r="14" spans="1:8" x14ac:dyDescent="0.2">
      <c r="A14" s="252"/>
      <c r="B14" s="252"/>
      <c r="C14" s="252"/>
      <c r="D14" s="252"/>
      <c r="E14" s="252"/>
      <c r="F14" s="252"/>
      <c r="G14" s="252"/>
      <c r="H14" s="252"/>
    </row>
    <row r="15" spans="1:8" ht="19.5" customHeight="1" x14ac:dyDescent="0.3">
      <c r="A15" s="119"/>
      <c r="B15" s="119"/>
      <c r="C15" s="119"/>
      <c r="D15" s="119"/>
      <c r="E15" s="119"/>
      <c r="F15" s="119"/>
      <c r="G15" s="119"/>
      <c r="H15" s="119"/>
    </row>
    <row r="16" spans="1:8" ht="19.5" customHeight="1" x14ac:dyDescent="0.3">
      <c r="A16" s="276" t="s">
        <v>33</v>
      </c>
      <c r="B16" s="277"/>
      <c r="C16" s="277"/>
      <c r="D16" s="277"/>
      <c r="E16" s="277"/>
      <c r="F16" s="277"/>
      <c r="G16" s="277"/>
      <c r="H16" s="278"/>
    </row>
    <row r="17" spans="1:8" ht="18.75" customHeight="1" x14ac:dyDescent="0.3">
      <c r="A17" s="120" t="s">
        <v>34</v>
      </c>
      <c r="B17" s="120"/>
      <c r="C17" s="119"/>
      <c r="D17" s="119"/>
      <c r="E17" s="119"/>
      <c r="F17" s="119"/>
      <c r="G17" s="119"/>
      <c r="H17" s="119"/>
    </row>
    <row r="18" spans="1:8" ht="26.25" customHeight="1" x14ac:dyDescent="0.4">
      <c r="A18" s="121" t="s">
        <v>35</v>
      </c>
      <c r="B18" s="279" t="s">
        <v>5</v>
      </c>
      <c r="C18" s="279"/>
      <c r="D18" s="122"/>
      <c r="E18" s="122"/>
      <c r="F18" s="119"/>
      <c r="G18" s="119"/>
      <c r="H18" s="119"/>
    </row>
    <row r="19" spans="1:8" ht="26.25" customHeight="1" x14ac:dyDescent="0.4">
      <c r="A19" s="121" t="s">
        <v>36</v>
      </c>
      <c r="B19" s="239" t="s">
        <v>7</v>
      </c>
      <c r="C19" s="241"/>
      <c r="D19" s="119"/>
      <c r="E19" s="119"/>
      <c r="F19" s="119"/>
      <c r="G19" s="119"/>
      <c r="H19" s="119"/>
    </row>
    <row r="20" spans="1:8" ht="26.25" customHeight="1" x14ac:dyDescent="0.4">
      <c r="A20" s="121" t="s">
        <v>37</v>
      </c>
      <c r="B20" s="275" t="s">
        <v>9</v>
      </c>
      <c r="C20" s="275"/>
      <c r="D20" s="119"/>
      <c r="E20" s="119"/>
      <c r="F20" s="119"/>
      <c r="G20" s="119"/>
      <c r="H20" s="119"/>
    </row>
    <row r="21" spans="1:8" ht="26.25" customHeight="1" x14ac:dyDescent="0.4">
      <c r="A21" s="121" t="s">
        <v>38</v>
      </c>
      <c r="B21" s="123" t="s">
        <v>11</v>
      </c>
      <c r="C21" s="123"/>
      <c r="D21" s="124"/>
      <c r="E21" s="124"/>
      <c r="F21" s="124"/>
      <c r="G21" s="124"/>
      <c r="H21" s="124"/>
    </row>
    <row r="22" spans="1:8" ht="26.25" customHeight="1" x14ac:dyDescent="0.4">
      <c r="A22" s="121" t="s">
        <v>39</v>
      </c>
      <c r="B22" s="125">
        <v>42656</v>
      </c>
      <c r="C22" s="126"/>
      <c r="D22" s="119"/>
      <c r="E22" s="119"/>
      <c r="F22" s="119"/>
      <c r="G22" s="119"/>
      <c r="H22" s="119"/>
    </row>
    <row r="23" spans="1:8" ht="26.25" customHeight="1" x14ac:dyDescent="0.4">
      <c r="A23" s="121" t="s">
        <v>40</v>
      </c>
      <c r="B23" s="125">
        <v>42657</v>
      </c>
      <c r="C23" s="126"/>
      <c r="D23" s="119"/>
      <c r="E23" s="119"/>
      <c r="F23" s="119"/>
      <c r="G23" s="119"/>
      <c r="H23" s="119"/>
    </row>
    <row r="24" spans="1:8" ht="18.75" customHeight="1" x14ac:dyDescent="0.3">
      <c r="A24" s="121"/>
      <c r="B24" s="127"/>
      <c r="C24" s="119"/>
      <c r="D24" s="119"/>
      <c r="E24" s="119"/>
      <c r="F24" s="119"/>
      <c r="G24" s="119"/>
      <c r="H24" s="119"/>
    </row>
    <row r="25" spans="1:8" ht="18.75" customHeight="1" x14ac:dyDescent="0.3">
      <c r="A25" s="128" t="s">
        <v>1</v>
      </c>
      <c r="B25" s="127"/>
      <c r="C25" s="119"/>
      <c r="D25" s="119"/>
      <c r="E25" s="119"/>
      <c r="F25" s="119"/>
      <c r="G25" s="119"/>
      <c r="H25" s="119"/>
    </row>
    <row r="26" spans="1:8" ht="26.25" customHeight="1" x14ac:dyDescent="0.4">
      <c r="A26" s="129" t="s">
        <v>4</v>
      </c>
      <c r="B26" s="279" t="s">
        <v>116</v>
      </c>
      <c r="C26" s="279"/>
      <c r="D26" s="119"/>
      <c r="E26" s="119"/>
      <c r="F26" s="119"/>
      <c r="G26" s="119"/>
      <c r="H26" s="119"/>
    </row>
    <row r="27" spans="1:8" ht="26.25" customHeight="1" x14ac:dyDescent="0.4">
      <c r="A27" s="130" t="s">
        <v>41</v>
      </c>
      <c r="B27" s="275" t="s">
        <v>117</v>
      </c>
      <c r="C27" s="275"/>
      <c r="D27" s="119"/>
      <c r="E27" s="119"/>
      <c r="F27" s="119"/>
      <c r="G27" s="119"/>
      <c r="H27" s="119"/>
    </row>
    <row r="28" spans="1:8" ht="27" customHeight="1" x14ac:dyDescent="0.4">
      <c r="A28" s="130" t="s">
        <v>6</v>
      </c>
      <c r="B28" s="131">
        <v>93.54</v>
      </c>
      <c r="C28" s="119"/>
      <c r="D28" s="119"/>
      <c r="E28" s="119"/>
      <c r="F28" s="119"/>
      <c r="G28" s="119"/>
      <c r="H28" s="119"/>
    </row>
    <row r="29" spans="1:8" ht="27" customHeight="1" x14ac:dyDescent="0.4">
      <c r="A29" s="130" t="s">
        <v>42</v>
      </c>
      <c r="B29" s="132">
        <v>0</v>
      </c>
      <c r="C29" s="266" t="s">
        <v>43</v>
      </c>
      <c r="D29" s="267"/>
      <c r="E29" s="267"/>
      <c r="F29" s="267"/>
      <c r="G29" s="267"/>
      <c r="H29" s="268"/>
    </row>
    <row r="30" spans="1:8" ht="19.5" customHeight="1" x14ac:dyDescent="0.3">
      <c r="A30" s="130" t="s">
        <v>44</v>
      </c>
      <c r="B30" s="133">
        <f>B28-B29</f>
        <v>93.54</v>
      </c>
      <c r="C30" s="134"/>
      <c r="D30" s="134"/>
      <c r="E30" s="134"/>
      <c r="F30" s="134"/>
      <c r="G30" s="134"/>
      <c r="H30" s="135"/>
    </row>
    <row r="31" spans="1:8" ht="27" customHeight="1" x14ac:dyDescent="0.4">
      <c r="A31" s="130" t="s">
        <v>45</v>
      </c>
      <c r="B31" s="136">
        <v>455.47</v>
      </c>
      <c r="C31" s="269" t="s">
        <v>46</v>
      </c>
      <c r="D31" s="270"/>
      <c r="E31" s="270"/>
      <c r="F31" s="270"/>
      <c r="G31" s="270"/>
      <c r="H31" s="271"/>
    </row>
    <row r="32" spans="1:8" ht="27" customHeight="1" x14ac:dyDescent="0.4">
      <c r="A32" s="130" t="s">
        <v>47</v>
      </c>
      <c r="B32" s="136">
        <v>477.45</v>
      </c>
      <c r="C32" s="269" t="s">
        <v>48</v>
      </c>
      <c r="D32" s="270"/>
      <c r="E32" s="270"/>
      <c r="F32" s="270"/>
      <c r="G32" s="270"/>
      <c r="H32" s="271"/>
    </row>
    <row r="33" spans="1:8" ht="18.75" customHeight="1" x14ac:dyDescent="0.3">
      <c r="A33" s="130"/>
      <c r="B33" s="137"/>
      <c r="C33" s="138"/>
      <c r="D33" s="138"/>
      <c r="E33" s="138"/>
      <c r="F33" s="138"/>
      <c r="G33" s="138"/>
      <c r="H33" s="138"/>
    </row>
    <row r="34" spans="1:8" ht="18.75" customHeight="1" x14ac:dyDescent="0.3">
      <c r="A34" s="130" t="s">
        <v>49</v>
      </c>
      <c r="B34" s="139">
        <f>B31/B32</f>
        <v>0.95396376583935494</v>
      </c>
      <c r="C34" s="119" t="s">
        <v>50</v>
      </c>
      <c r="D34" s="119"/>
      <c r="E34" s="119"/>
      <c r="F34" s="119"/>
      <c r="G34" s="119"/>
      <c r="H34" s="140"/>
    </row>
    <row r="35" spans="1:8" ht="19.5" customHeight="1" x14ac:dyDescent="0.3">
      <c r="A35" s="130"/>
      <c r="B35" s="139"/>
      <c r="C35" s="119"/>
      <c r="D35" s="119"/>
      <c r="E35" s="119"/>
      <c r="F35" s="119"/>
      <c r="G35" s="119"/>
      <c r="H35" s="140"/>
    </row>
    <row r="36" spans="1:8" ht="27" customHeight="1" x14ac:dyDescent="0.4">
      <c r="A36" s="130" t="s">
        <v>108</v>
      </c>
      <c r="B36" s="141">
        <v>1667</v>
      </c>
      <c r="C36" s="266" t="s">
        <v>109</v>
      </c>
      <c r="D36" s="267"/>
      <c r="E36" s="267"/>
      <c r="F36" s="267"/>
      <c r="G36" s="268"/>
      <c r="H36" s="140"/>
    </row>
    <row r="37" spans="1:8" ht="19.5" customHeight="1" x14ac:dyDescent="0.3">
      <c r="A37" s="130"/>
      <c r="B37" s="133"/>
      <c r="C37" s="140"/>
      <c r="D37" s="140"/>
      <c r="E37" s="140"/>
      <c r="F37" s="140"/>
      <c r="G37" s="119"/>
      <c r="H37" s="140"/>
    </row>
    <row r="38" spans="1:8" ht="27" customHeight="1" x14ac:dyDescent="0.4">
      <c r="A38" s="142" t="s">
        <v>110</v>
      </c>
      <c r="B38" s="143">
        <v>100</v>
      </c>
      <c r="C38" s="119"/>
      <c r="D38" s="272" t="s">
        <v>51</v>
      </c>
      <c r="E38" s="273"/>
      <c r="F38" s="272" t="s">
        <v>52</v>
      </c>
      <c r="G38" s="274"/>
      <c r="H38" s="140"/>
    </row>
    <row r="39" spans="1:8" ht="26.25" customHeight="1" x14ac:dyDescent="0.4">
      <c r="A39" s="144" t="s">
        <v>53</v>
      </c>
      <c r="B39" s="145">
        <v>1</v>
      </c>
      <c r="C39" s="146" t="s">
        <v>111</v>
      </c>
      <c r="D39" s="147" t="s">
        <v>55</v>
      </c>
      <c r="E39" s="148" t="s">
        <v>56</v>
      </c>
      <c r="F39" s="147" t="s">
        <v>55</v>
      </c>
      <c r="G39" s="149" t="s">
        <v>56</v>
      </c>
      <c r="H39" s="140"/>
    </row>
    <row r="40" spans="1:8" ht="26.25" customHeight="1" x14ac:dyDescent="0.4">
      <c r="A40" s="144" t="s">
        <v>57</v>
      </c>
      <c r="B40" s="145">
        <v>1</v>
      </c>
      <c r="C40" s="150">
        <v>1</v>
      </c>
      <c r="D40" s="151">
        <v>33825122</v>
      </c>
      <c r="E40" s="152">
        <f>IF(ISBLANK(D40),"-",$D$50/$D$47*D40)</f>
        <v>37309241.409847863</v>
      </c>
      <c r="F40" s="151">
        <v>40742005</v>
      </c>
      <c r="G40" s="153">
        <f>IF(ISBLANK(F40),"-",$D$50/$F$47*F40)</f>
        <v>38271255.460725658</v>
      </c>
      <c r="H40" s="140"/>
    </row>
    <row r="41" spans="1:8" ht="26.25" customHeight="1" x14ac:dyDescent="0.4">
      <c r="A41" s="144" t="s">
        <v>58</v>
      </c>
      <c r="B41" s="145">
        <v>1</v>
      </c>
      <c r="C41" s="154">
        <v>2</v>
      </c>
      <c r="D41" s="155">
        <v>33613316</v>
      </c>
      <c r="E41" s="156">
        <f>IF(ISBLANK(D41),"-",$D$50/$D$47*D41)</f>
        <v>37075618.566268638</v>
      </c>
      <c r="F41" s="155">
        <v>40911608</v>
      </c>
      <c r="G41" s="157">
        <f>IF(ISBLANK(F41),"-",$D$50/$F$47*F41)</f>
        <v>38430573.092243925</v>
      </c>
      <c r="H41" s="140"/>
    </row>
    <row r="42" spans="1:8" ht="26.25" customHeight="1" x14ac:dyDescent="0.4">
      <c r="A42" s="144" t="s">
        <v>59</v>
      </c>
      <c r="B42" s="145">
        <v>1</v>
      </c>
      <c r="C42" s="154">
        <v>3</v>
      </c>
      <c r="D42" s="155">
        <v>33730869</v>
      </c>
      <c r="E42" s="156">
        <f>IF(ISBLANK(D42),"-",$D$50/$D$47*D42)</f>
        <v>37205279.98346772</v>
      </c>
      <c r="F42" s="155">
        <v>40518803</v>
      </c>
      <c r="G42" s="157">
        <f>IF(ISBLANK(F42),"-",$D$50/$F$47*F42)</f>
        <v>38061589.275633767</v>
      </c>
      <c r="H42" s="119"/>
    </row>
    <row r="43" spans="1:8" ht="26.25" customHeight="1" x14ac:dyDescent="0.4">
      <c r="A43" s="144" t="s">
        <v>60</v>
      </c>
      <c r="B43" s="145">
        <v>1</v>
      </c>
      <c r="C43" s="158">
        <v>4</v>
      </c>
      <c r="D43" s="159"/>
      <c r="E43" s="160" t="str">
        <f>IF(ISBLANK(D43),"-",$D$50/$D$47*D43)</f>
        <v>-</v>
      </c>
      <c r="F43" s="159"/>
      <c r="G43" s="161" t="str">
        <f>IF(ISBLANK(F43),"-",$D$50/$F$47*F43)</f>
        <v>-</v>
      </c>
      <c r="H43" s="119"/>
    </row>
    <row r="44" spans="1:8" ht="27" customHeight="1" x14ac:dyDescent="0.4">
      <c r="A44" s="144" t="s">
        <v>61</v>
      </c>
      <c r="B44" s="145">
        <v>1</v>
      </c>
      <c r="C44" s="162" t="s">
        <v>62</v>
      </c>
      <c r="D44" s="163">
        <f>AVERAGE(D40:D43)</f>
        <v>33723102.333333336</v>
      </c>
      <c r="E44" s="164">
        <f>AVERAGE(E40:E43)</f>
        <v>37196713.319861412</v>
      </c>
      <c r="F44" s="163">
        <f>AVERAGE(F40:F43)</f>
        <v>40724138.666666664</v>
      </c>
      <c r="G44" s="165">
        <f>AVERAGE(G40:G43)</f>
        <v>38254472.60953445</v>
      </c>
      <c r="H44" s="166"/>
    </row>
    <row r="45" spans="1:8" ht="26.25" customHeight="1" x14ac:dyDescent="0.4">
      <c r="A45" s="144" t="s">
        <v>63</v>
      </c>
      <c r="B45" s="145">
        <v>1</v>
      </c>
      <c r="C45" s="167" t="s">
        <v>64</v>
      </c>
      <c r="D45" s="168">
        <v>10.16</v>
      </c>
      <c r="E45" s="169"/>
      <c r="F45" s="168">
        <v>11.93</v>
      </c>
      <c r="G45" s="119"/>
      <c r="H45" s="166"/>
    </row>
    <row r="46" spans="1:8" ht="26.25" customHeight="1" x14ac:dyDescent="0.4">
      <c r="A46" s="144" t="s">
        <v>65</v>
      </c>
      <c r="B46" s="145">
        <v>1</v>
      </c>
      <c r="C46" s="170" t="s">
        <v>66</v>
      </c>
      <c r="D46" s="171">
        <f>D45*$B$34</f>
        <v>9.6922718609278462</v>
      </c>
      <c r="E46" s="172"/>
      <c r="F46" s="171">
        <f>F45*$B$34</f>
        <v>11.380787726463504</v>
      </c>
      <c r="G46" s="119"/>
      <c r="H46" s="166"/>
    </row>
    <row r="47" spans="1:8" ht="19.5" customHeight="1" x14ac:dyDescent="0.3">
      <c r="A47" s="144" t="s">
        <v>67</v>
      </c>
      <c r="B47" s="173">
        <f>(B46/B45)*(B44/B43)*(B42/B41)*(B40/B39)*B38</f>
        <v>100</v>
      </c>
      <c r="C47" s="170" t="s">
        <v>68</v>
      </c>
      <c r="D47" s="174">
        <f>D46*$B$30/100</f>
        <v>9.0661510987119076</v>
      </c>
      <c r="E47" s="175"/>
      <c r="F47" s="174">
        <f>F46*$B$30/100</f>
        <v>10.645588839333961</v>
      </c>
      <c r="G47" s="119"/>
      <c r="H47" s="166"/>
    </row>
    <row r="48" spans="1:8" ht="19.5" customHeight="1" x14ac:dyDescent="0.3">
      <c r="A48" s="255" t="s">
        <v>69</v>
      </c>
      <c r="B48" s="256"/>
      <c r="C48" s="170" t="s">
        <v>70</v>
      </c>
      <c r="D48" s="171">
        <f>(D47*B36)/$B$47</f>
        <v>151.13273881552749</v>
      </c>
      <c r="E48" s="175"/>
      <c r="F48" s="176">
        <f>(F47*B36)/$B$47</f>
        <v>177.46196595169712</v>
      </c>
      <c r="G48" s="119"/>
      <c r="H48" s="166"/>
    </row>
    <row r="49" spans="1:8" ht="27" customHeight="1" x14ac:dyDescent="0.4">
      <c r="A49" s="257"/>
      <c r="B49" s="258"/>
      <c r="C49" s="177" t="s">
        <v>71</v>
      </c>
      <c r="D49" s="178">
        <v>0.1</v>
      </c>
      <c r="E49" s="119"/>
      <c r="F49" s="179"/>
      <c r="G49" s="119"/>
      <c r="H49" s="166"/>
    </row>
    <row r="50" spans="1:8" ht="18.75" customHeight="1" x14ac:dyDescent="0.3">
      <c r="A50" s="119"/>
      <c r="B50" s="119"/>
      <c r="C50" s="142" t="s">
        <v>112</v>
      </c>
      <c r="D50" s="180">
        <f>D49*$B$47</f>
        <v>10</v>
      </c>
      <c r="E50" s="119"/>
      <c r="F50" s="179"/>
      <c r="G50" s="119"/>
      <c r="H50" s="166"/>
    </row>
    <row r="51" spans="1:8" ht="18.75" customHeight="1" x14ac:dyDescent="0.3">
      <c r="A51" s="119"/>
      <c r="B51" s="119"/>
      <c r="C51" s="144" t="s">
        <v>72</v>
      </c>
      <c r="D51" s="181">
        <f>D50/B36</f>
        <v>5.99880023995201E-3</v>
      </c>
      <c r="E51" s="119"/>
      <c r="F51" s="179"/>
      <c r="G51" s="119"/>
      <c r="H51" s="166"/>
    </row>
    <row r="52" spans="1:8" ht="19.5" customHeight="1" x14ac:dyDescent="0.3">
      <c r="A52" s="119"/>
      <c r="B52" s="119"/>
      <c r="C52" s="182" t="s">
        <v>113</v>
      </c>
      <c r="D52" s="183">
        <f>D51/B34</f>
        <v>6.2882894033966831E-3</v>
      </c>
      <c r="E52" s="119"/>
      <c r="F52" s="184"/>
      <c r="G52" s="119"/>
      <c r="H52" s="166"/>
    </row>
    <row r="53" spans="1:8" ht="18.75" customHeight="1" x14ac:dyDescent="0.3">
      <c r="A53" s="119"/>
      <c r="B53" s="119"/>
      <c r="C53" s="142" t="s">
        <v>73</v>
      </c>
      <c r="D53" s="185">
        <f>AVERAGE(E40:E43,G40:G43)</f>
        <v>37725592.964697927</v>
      </c>
      <c r="E53" s="119"/>
      <c r="F53" s="184"/>
      <c r="G53" s="119"/>
      <c r="H53" s="166"/>
    </row>
    <row r="54" spans="1:8" ht="18.75" customHeight="1" x14ac:dyDescent="0.3">
      <c r="A54" s="119"/>
      <c r="B54" s="119"/>
      <c r="C54" s="177" t="s">
        <v>74</v>
      </c>
      <c r="D54" s="186">
        <f>STDEV(E40:E43,G40:G43)/D53</f>
        <v>1.5789836745571693E-2</v>
      </c>
      <c r="E54" s="119"/>
      <c r="F54" s="184"/>
      <c r="G54" s="119"/>
      <c r="H54" s="119"/>
    </row>
    <row r="55" spans="1:8" ht="19.5" customHeight="1" x14ac:dyDescent="0.3">
      <c r="A55" s="119"/>
      <c r="B55" s="119"/>
      <c r="C55" s="182" t="s">
        <v>20</v>
      </c>
      <c r="D55" s="187">
        <f>COUNT(E40:E43,G40:G43)</f>
        <v>6</v>
      </c>
      <c r="E55" s="119"/>
      <c r="F55" s="184"/>
      <c r="G55" s="119"/>
      <c r="H55" s="119"/>
    </row>
    <row r="56" spans="1:8" ht="18.75" customHeight="1" x14ac:dyDescent="0.3">
      <c r="A56" s="119"/>
      <c r="B56" s="119"/>
      <c r="C56" s="119"/>
      <c r="D56" s="119"/>
      <c r="E56" s="119"/>
      <c r="F56" s="119"/>
      <c r="G56" s="119"/>
      <c r="H56" s="119"/>
    </row>
    <row r="57" spans="1:8" ht="18.75" customHeight="1" x14ac:dyDescent="0.3">
      <c r="A57" s="120" t="s">
        <v>1</v>
      </c>
      <c r="B57" s="188" t="s">
        <v>92</v>
      </c>
      <c r="C57" s="119"/>
      <c r="D57" s="119"/>
      <c r="E57" s="119"/>
      <c r="F57" s="119"/>
      <c r="G57" s="119"/>
      <c r="H57" s="119"/>
    </row>
    <row r="58" spans="1:8" ht="18.75" customHeight="1" x14ac:dyDescent="0.3">
      <c r="A58" s="119" t="s">
        <v>75</v>
      </c>
      <c r="B58" s="189" t="str">
        <f>B21</f>
        <v>Each vial contains Sterile Cefotaxime sodium USP equivalent to Cefotaxime 1 g</v>
      </c>
      <c r="C58" s="119"/>
      <c r="D58" s="119"/>
      <c r="E58" s="119"/>
      <c r="F58" s="119"/>
      <c r="G58" s="119"/>
      <c r="H58" s="119"/>
    </row>
    <row r="59" spans="1:8" ht="26.25" customHeight="1" x14ac:dyDescent="0.4">
      <c r="A59" s="190" t="s">
        <v>93</v>
      </c>
      <c r="B59" s="141">
        <v>1000</v>
      </c>
      <c r="C59" s="119" t="str">
        <f>B20</f>
        <v>CEFOTAXIME</v>
      </c>
      <c r="D59" s="119"/>
      <c r="E59" s="119"/>
      <c r="F59" s="119"/>
      <c r="G59" s="119"/>
      <c r="H59" s="191"/>
    </row>
    <row r="60" spans="1:8" ht="18.75" customHeight="1" x14ac:dyDescent="0.3">
      <c r="A60" s="189" t="s">
        <v>94</v>
      </c>
      <c r="B60" s="240">
        <f>Uniformity!D43</f>
        <v>1085.9859999999999</v>
      </c>
      <c r="C60" s="119"/>
      <c r="D60" s="119"/>
      <c r="E60" s="119"/>
      <c r="F60" s="119"/>
      <c r="G60" s="119"/>
      <c r="H60" s="191"/>
    </row>
    <row r="61" spans="1:8" ht="19.5" customHeight="1" x14ac:dyDescent="0.3">
      <c r="A61" s="119"/>
      <c r="B61" s="119"/>
      <c r="C61" s="119"/>
      <c r="D61" s="119"/>
      <c r="E61" s="119"/>
      <c r="F61" s="119"/>
      <c r="G61" s="119"/>
      <c r="H61" s="191"/>
    </row>
    <row r="62" spans="1:8" ht="27" customHeight="1" x14ac:dyDescent="0.4">
      <c r="A62" s="142" t="s">
        <v>114</v>
      </c>
      <c r="B62" s="143">
        <v>100</v>
      </c>
      <c r="C62" s="119"/>
      <c r="D62" s="192" t="s">
        <v>95</v>
      </c>
      <c r="E62" s="193" t="s">
        <v>54</v>
      </c>
      <c r="F62" s="193" t="s">
        <v>55</v>
      </c>
      <c r="G62" s="193" t="s">
        <v>115</v>
      </c>
      <c r="H62" s="146" t="s">
        <v>76</v>
      </c>
    </row>
    <row r="63" spans="1:8" ht="26.25" customHeight="1" x14ac:dyDescent="0.4">
      <c r="A63" s="144" t="s">
        <v>77</v>
      </c>
      <c r="B63" s="145">
        <v>5</v>
      </c>
      <c r="C63" s="259" t="s">
        <v>78</v>
      </c>
      <c r="D63" s="262">
        <v>115.34</v>
      </c>
      <c r="E63" s="194">
        <v>1</v>
      </c>
      <c r="F63" s="195"/>
      <c r="G63" s="196" t="str">
        <f>IF(ISBLANK(F63),"-",(F63/$D$53*$D$49*$B$71)*($B$60/$D$63))</f>
        <v>-</v>
      </c>
      <c r="H63" s="197" t="str">
        <f t="shared" ref="H63:H74" si="0">IF(ISBLANK(F63),"-",G63/$B$59)</f>
        <v>-</v>
      </c>
    </row>
    <row r="64" spans="1:8" ht="26.25" customHeight="1" x14ac:dyDescent="0.4">
      <c r="A64" s="144" t="s">
        <v>79</v>
      </c>
      <c r="B64" s="145">
        <v>50</v>
      </c>
      <c r="C64" s="260"/>
      <c r="D64" s="263"/>
      <c r="E64" s="198">
        <v>2</v>
      </c>
      <c r="F64" s="155"/>
      <c r="G64" s="199" t="str">
        <f>IF(ISBLANK(F64),"-",(F64/$D$53*$D$49*$B$71)*($B$60/$D$63))</f>
        <v>-</v>
      </c>
      <c r="H64" s="200" t="str">
        <f t="shared" si="0"/>
        <v>-</v>
      </c>
    </row>
    <row r="65" spans="1:8" ht="26.25" customHeight="1" x14ac:dyDescent="0.4">
      <c r="A65" s="144" t="s">
        <v>80</v>
      </c>
      <c r="B65" s="145">
        <v>1</v>
      </c>
      <c r="C65" s="260"/>
      <c r="D65" s="263"/>
      <c r="E65" s="198">
        <v>3</v>
      </c>
      <c r="F65" s="155"/>
      <c r="G65" s="199" t="str">
        <f>IF(ISBLANK(F65),"-",(F65/$D$53*$D$49*$B$71)*($B$60/$D$63))</f>
        <v>-</v>
      </c>
      <c r="H65" s="200" t="str">
        <f t="shared" si="0"/>
        <v>-</v>
      </c>
    </row>
    <row r="66" spans="1:8" ht="27" customHeight="1" x14ac:dyDescent="0.4">
      <c r="A66" s="144" t="s">
        <v>81</v>
      </c>
      <c r="B66" s="145">
        <v>1</v>
      </c>
      <c r="C66" s="261"/>
      <c r="D66" s="264"/>
      <c r="E66" s="201">
        <v>4</v>
      </c>
      <c r="F66" s="202"/>
      <c r="G66" s="199" t="str">
        <f>IF(ISBLANK(F66),"-",(F66/$D$53*$D$49*$B$71)*($B$60/$D$63))</f>
        <v>-</v>
      </c>
      <c r="H66" s="200" t="str">
        <f t="shared" si="0"/>
        <v>-</v>
      </c>
    </row>
    <row r="67" spans="1:8" ht="26.25" customHeight="1" x14ac:dyDescent="0.4">
      <c r="A67" s="144" t="s">
        <v>82</v>
      </c>
      <c r="B67" s="145">
        <v>1</v>
      </c>
      <c r="C67" s="259" t="s">
        <v>83</v>
      </c>
      <c r="D67" s="262">
        <v>113.74</v>
      </c>
      <c r="E67" s="194">
        <v>1</v>
      </c>
      <c r="F67" s="195">
        <v>38043429</v>
      </c>
      <c r="G67" s="203">
        <f>IF(ISBLANK(F67),"-",(F67/$D$53*$D$49*$B$71)*($B$60/$D$67))</f>
        <v>962.84101636890887</v>
      </c>
      <c r="H67" s="204">
        <f t="shared" si="0"/>
        <v>0.96284101636890884</v>
      </c>
    </row>
    <row r="68" spans="1:8" ht="26.25" customHeight="1" x14ac:dyDescent="0.4">
      <c r="A68" s="144" t="s">
        <v>84</v>
      </c>
      <c r="B68" s="145">
        <v>1</v>
      </c>
      <c r="C68" s="260"/>
      <c r="D68" s="263"/>
      <c r="E68" s="198">
        <v>2</v>
      </c>
      <c r="F68" s="155">
        <v>37872692</v>
      </c>
      <c r="G68" s="205">
        <f>IF(ISBLANK(F68),"-",(F68/$D$53*$D$49*$B$71)*($B$60/$D$67))</f>
        <v>958.51983421122873</v>
      </c>
      <c r="H68" s="206">
        <f t="shared" si="0"/>
        <v>0.95851983421122877</v>
      </c>
    </row>
    <row r="69" spans="1:8" ht="26.25" customHeight="1" x14ac:dyDescent="0.4">
      <c r="A69" s="144" t="s">
        <v>85</v>
      </c>
      <c r="B69" s="145">
        <v>1</v>
      </c>
      <c r="C69" s="260"/>
      <c r="D69" s="263"/>
      <c r="E69" s="198">
        <v>3</v>
      </c>
      <c r="F69" s="155">
        <v>37803892</v>
      </c>
      <c r="G69" s="205">
        <f>IF(ISBLANK(F69),"-",(F69/$D$53*$D$49*$B$71)*($B$60/$D$67))</f>
        <v>956.77857524305887</v>
      </c>
      <c r="H69" s="206">
        <f t="shared" si="0"/>
        <v>0.95677857524305887</v>
      </c>
    </row>
    <row r="70" spans="1:8" ht="27" customHeight="1" x14ac:dyDescent="0.4">
      <c r="A70" s="144" t="s">
        <v>86</v>
      </c>
      <c r="B70" s="145">
        <v>1</v>
      </c>
      <c r="C70" s="261"/>
      <c r="D70" s="264"/>
      <c r="E70" s="201">
        <v>4</v>
      </c>
      <c r="F70" s="202"/>
      <c r="G70" s="207" t="str">
        <f>IF(ISBLANK(F70),"-",(F70/$D$53*$D$49*$B$71)*($B$60/$D$67))</f>
        <v>-</v>
      </c>
      <c r="H70" s="208" t="str">
        <f t="shared" si="0"/>
        <v>-</v>
      </c>
    </row>
    <row r="71" spans="1:8" ht="26.25" customHeight="1" x14ac:dyDescent="0.4">
      <c r="A71" s="144" t="s">
        <v>87</v>
      </c>
      <c r="B71" s="209">
        <f>(B70/B69)*(B68/B67)*(B66/B65)*(B64/B63)*B62</f>
        <v>1000</v>
      </c>
      <c r="C71" s="259" t="s">
        <v>88</v>
      </c>
      <c r="D71" s="262">
        <v>105.96</v>
      </c>
      <c r="E71" s="194">
        <v>1</v>
      </c>
      <c r="F71" s="195">
        <v>35567085</v>
      </c>
      <c r="G71" s="203">
        <f>IF(ISBLANK(F71),"-",(F71/$D$53*$D$49*$B$71)*($B$60/$D$71))</f>
        <v>966.26105362985209</v>
      </c>
      <c r="H71" s="200">
        <f t="shared" si="0"/>
        <v>0.96626105362985204</v>
      </c>
    </row>
    <row r="72" spans="1:8" ht="27" customHeight="1" x14ac:dyDescent="0.4">
      <c r="A72" s="182" t="s">
        <v>96</v>
      </c>
      <c r="B72" s="210">
        <f>(D49*B71)/B59*B60</f>
        <v>108.59859999999999</v>
      </c>
      <c r="C72" s="260"/>
      <c r="D72" s="263"/>
      <c r="E72" s="198">
        <v>2</v>
      </c>
      <c r="F72" s="155">
        <v>35437880</v>
      </c>
      <c r="G72" s="205">
        <f>IF(ISBLANK(F72),"-",(F72/$D$53*$D$49*$B$71)*($B$60/$D$71))</f>
        <v>962.75090486634667</v>
      </c>
      <c r="H72" s="200">
        <f t="shared" si="0"/>
        <v>0.96275090486634662</v>
      </c>
    </row>
    <row r="73" spans="1:8" ht="26.25" customHeight="1" x14ac:dyDescent="0.4">
      <c r="A73" s="255" t="s">
        <v>69</v>
      </c>
      <c r="B73" s="256"/>
      <c r="C73" s="260"/>
      <c r="D73" s="263"/>
      <c r="E73" s="198">
        <v>3</v>
      </c>
      <c r="F73" s="155">
        <v>35380989</v>
      </c>
      <c r="G73" s="205">
        <f>IF(ISBLANK(F73),"-",(F73/$D$53*$D$49*$B$71)*($B$60/$D$71))</f>
        <v>961.20533098526926</v>
      </c>
      <c r="H73" s="200">
        <f t="shared" si="0"/>
        <v>0.96120533098526928</v>
      </c>
    </row>
    <row r="74" spans="1:8" ht="27" customHeight="1" x14ac:dyDescent="0.4">
      <c r="A74" s="257"/>
      <c r="B74" s="258"/>
      <c r="C74" s="265"/>
      <c r="D74" s="264"/>
      <c r="E74" s="201">
        <v>4</v>
      </c>
      <c r="F74" s="202"/>
      <c r="G74" s="207" t="str">
        <f>IF(ISBLANK(F74),"-",(F74/$D$53*$D$49*$B$71)*($B$60/$D$71))</f>
        <v>-</v>
      </c>
      <c r="H74" s="211" t="str">
        <f t="shared" si="0"/>
        <v>-</v>
      </c>
    </row>
    <row r="75" spans="1:8" ht="26.25" customHeight="1" x14ac:dyDescent="0.4">
      <c r="A75" s="212"/>
      <c r="B75" s="212"/>
      <c r="C75" s="212"/>
      <c r="D75" s="212"/>
      <c r="E75" s="212"/>
      <c r="F75" s="213"/>
      <c r="G75" s="214" t="s">
        <v>62</v>
      </c>
      <c r="H75" s="215">
        <f>AVERAGE(H63:H74)</f>
        <v>0.9613927858841107</v>
      </c>
    </row>
    <row r="76" spans="1:8" ht="26.25" customHeight="1" x14ac:dyDescent="0.4">
      <c r="A76" s="119"/>
      <c r="B76" s="119"/>
      <c r="C76" s="212"/>
      <c r="D76" s="212"/>
      <c r="E76" s="212"/>
      <c r="F76" s="213"/>
      <c r="G76" s="216" t="s">
        <v>74</v>
      </c>
      <c r="H76" s="217">
        <f>STDEV(H63:H74)/H75</f>
        <v>3.5188031534794471E-3</v>
      </c>
    </row>
    <row r="77" spans="1:8" ht="27" customHeight="1" x14ac:dyDescent="0.4">
      <c r="A77" s="212"/>
      <c r="B77" s="212"/>
      <c r="C77" s="213"/>
      <c r="D77" s="213"/>
      <c r="E77" s="218"/>
      <c r="F77" s="213"/>
      <c r="G77" s="219" t="s">
        <v>20</v>
      </c>
      <c r="H77" s="220">
        <f>COUNT(H63:H74)</f>
        <v>6</v>
      </c>
    </row>
    <row r="78" spans="1:8" ht="18.75" customHeight="1" x14ac:dyDescent="0.3">
      <c r="A78" s="221"/>
      <c r="B78" s="221"/>
      <c r="C78" s="172"/>
      <c r="D78" s="172"/>
      <c r="E78" s="175"/>
      <c r="F78" s="172"/>
      <c r="G78" s="222"/>
      <c r="H78" s="223"/>
    </row>
    <row r="79" spans="1:8" ht="26.25" customHeight="1" x14ac:dyDescent="0.4">
      <c r="A79" s="129" t="s">
        <v>89</v>
      </c>
      <c r="B79" s="224" t="s">
        <v>90</v>
      </c>
      <c r="C79" s="253" t="str">
        <f>B20</f>
        <v>CEFOTAXIME</v>
      </c>
      <c r="D79" s="253"/>
      <c r="E79" s="225" t="s">
        <v>91</v>
      </c>
      <c r="F79" s="225"/>
      <c r="G79" s="226">
        <f>H75</f>
        <v>0.9613927858841107</v>
      </c>
      <c r="H79" s="223"/>
    </row>
    <row r="80" spans="1:8" ht="19.5" customHeight="1" x14ac:dyDescent="0.3">
      <c r="A80" s="227"/>
      <c r="B80" s="227"/>
      <c r="C80" s="228"/>
      <c r="D80" s="228"/>
      <c r="E80" s="228"/>
      <c r="F80" s="228"/>
      <c r="G80" s="228"/>
      <c r="H80" s="228"/>
    </row>
    <row r="81" spans="1:8" ht="18.75" customHeight="1" x14ac:dyDescent="0.3">
      <c r="A81" s="119"/>
      <c r="B81" s="254" t="s">
        <v>26</v>
      </c>
      <c r="C81" s="254"/>
      <c r="D81" s="119"/>
      <c r="E81" s="229" t="s">
        <v>27</v>
      </c>
      <c r="F81" s="230"/>
      <c r="G81" s="254" t="s">
        <v>28</v>
      </c>
      <c r="H81" s="254"/>
    </row>
    <row r="82" spans="1:8" ht="60" customHeight="1" x14ac:dyDescent="0.3">
      <c r="A82" s="231" t="s">
        <v>29</v>
      </c>
      <c r="B82" s="232" t="s">
        <v>118</v>
      </c>
      <c r="C82" s="232"/>
      <c r="D82" s="119"/>
      <c r="E82" s="233"/>
      <c r="F82" s="234"/>
      <c r="G82" s="235"/>
      <c r="H82" s="235"/>
    </row>
    <row r="83" spans="1:8" ht="60" customHeight="1" x14ac:dyDescent="0.3">
      <c r="A83" s="231" t="s">
        <v>30</v>
      </c>
      <c r="B83" s="236"/>
      <c r="C83" s="236"/>
      <c r="D83" s="119"/>
      <c r="E83" s="237"/>
      <c r="F83" s="234"/>
      <c r="G83" s="238"/>
      <c r="H83" s="238"/>
    </row>
    <row r="250" spans="1:1" x14ac:dyDescent="0.2">
      <c r="A250">
        <v>5</v>
      </c>
    </row>
  </sheetData>
  <sheetProtection password="F258" sheet="1" objects="1" scenarios="1" formatCells="0" formatColumns="0"/>
  <mergeCells count="24">
    <mergeCell ref="C36:G36"/>
    <mergeCell ref="D38:E38"/>
    <mergeCell ref="F38:G38"/>
    <mergeCell ref="B27:C27"/>
    <mergeCell ref="A16:H16"/>
    <mergeCell ref="B18:C18"/>
    <mergeCell ref="B20:C20"/>
    <mergeCell ref="B26:C26"/>
    <mergeCell ref="A1:H7"/>
    <mergeCell ref="A8:H14"/>
    <mergeCell ref="C79:D79"/>
    <mergeCell ref="B81:C81"/>
    <mergeCell ref="G81:H81"/>
    <mergeCell ref="A48:B49"/>
    <mergeCell ref="C63:C66"/>
    <mergeCell ref="D63:D66"/>
    <mergeCell ref="C67:C70"/>
    <mergeCell ref="D67:D70"/>
    <mergeCell ref="C71:C74"/>
    <mergeCell ref="D71:D74"/>
    <mergeCell ref="A73:B74"/>
    <mergeCell ref="C29:H29"/>
    <mergeCell ref="C31:H31"/>
    <mergeCell ref="C32:H32"/>
  </mergeCells>
  <conditionalFormatting sqref="D54">
    <cfRule type="cellIs" dxfId="1" priority="1" operator="greaterThan">
      <formula>0.02</formula>
    </cfRule>
  </conditionalFormatting>
  <conditionalFormatting sqref="H76">
    <cfRule type="cellIs" dxfId="0" priority="2" operator="greaterThan">
      <formula>0.02</formula>
    </cfRule>
  </conditionalFormatting>
  <pageMargins left="0.7" right="0.7" top="0.75" bottom="0.75" header="0.3" footer="0.3"/>
  <pageSetup scale="31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SST</vt:lpstr>
      <vt:lpstr>Uniformity</vt:lpstr>
      <vt:lpstr>CEFOTAXIME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2016-10-14T09:31:32Z</cp:lastPrinted>
  <dcterms:created xsi:type="dcterms:W3CDTF">2005-07-05T10:19:27Z</dcterms:created>
  <dcterms:modified xsi:type="dcterms:W3CDTF">2016-10-18T08:52:37Z</dcterms:modified>
</cp:coreProperties>
</file>