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7620" activeTab="2"/>
  </bookViews>
  <sheets>
    <sheet name="SST" sheetId="1" r:id="rId1"/>
    <sheet name="Uniformity" sheetId="2" r:id="rId2"/>
    <sheet name="Lamivudine" sheetId="3" r:id="rId3"/>
    <sheet name="Efavirenz" sheetId="4" r:id="rId4"/>
  </sheets>
  <definedNames>
    <definedName name="_xlnm.Print_Area" localSheetId="3">Efavirenz!$A$1:$H$172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B126" i="4" l="1"/>
  <c r="C168" i="4" l="1"/>
  <c r="B159" i="4"/>
  <c r="D143" i="4" s="1"/>
  <c r="B141" i="4"/>
  <c r="F140" i="4"/>
  <c r="F141" i="4" s="1"/>
  <c r="D140" i="4"/>
  <c r="D141" i="4" s="1"/>
  <c r="F138" i="4"/>
  <c r="D138" i="4"/>
  <c r="G137" i="4"/>
  <c r="E137" i="4"/>
  <c r="B130" i="4"/>
  <c r="B116" i="4"/>
  <c r="D100" i="4"/>
  <c r="B98" i="4"/>
  <c r="F95" i="4"/>
  <c r="D95" i="4"/>
  <c r="G94" i="4"/>
  <c r="E94" i="4"/>
  <c r="B87" i="4"/>
  <c r="F97" i="4" s="1"/>
  <c r="B83" i="4"/>
  <c r="B82" i="4"/>
  <c r="C76" i="4"/>
  <c r="H71" i="4"/>
  <c r="G71" i="4"/>
  <c r="G70" i="4"/>
  <c r="H70" i="4" s="1"/>
  <c r="G69" i="4"/>
  <c r="H69" i="4" s="1"/>
  <c r="G68" i="4"/>
  <c r="H68" i="4" s="1"/>
  <c r="B68" i="4"/>
  <c r="B69" i="4" s="1"/>
  <c r="H67" i="4"/>
  <c r="G67" i="4"/>
  <c r="H66" i="4"/>
  <c r="G66" i="4"/>
  <c r="G65" i="4"/>
  <c r="H65" i="4" s="1"/>
  <c r="H64" i="4"/>
  <c r="G64" i="4"/>
  <c r="H63" i="4"/>
  <c r="G63" i="4"/>
  <c r="H62" i="4"/>
  <c r="G62" i="4"/>
  <c r="H61" i="4"/>
  <c r="G61" i="4"/>
  <c r="H60" i="4"/>
  <c r="G60" i="4"/>
  <c r="C56" i="4"/>
  <c r="B55" i="4"/>
  <c r="B45" i="4"/>
  <c r="D48" i="4" s="1"/>
  <c r="D49" i="4" s="1"/>
  <c r="F44" i="4"/>
  <c r="F42" i="4"/>
  <c r="D42" i="4"/>
  <c r="G41" i="4"/>
  <c r="E41" i="4"/>
  <c r="B34" i="4"/>
  <c r="D44" i="4" s="1"/>
  <c r="B30" i="4"/>
  <c r="C120" i="3"/>
  <c r="B116" i="3"/>
  <c r="D100" i="3"/>
  <c r="B98" i="3"/>
  <c r="F95" i="3"/>
  <c r="D95" i="3"/>
  <c r="B87" i="3"/>
  <c r="F97" i="3" s="1"/>
  <c r="B81" i="3"/>
  <c r="B83" i="3" s="1"/>
  <c r="C76" i="3"/>
  <c r="B68" i="3"/>
  <c r="C56" i="3"/>
  <c r="B55" i="3"/>
  <c r="B45" i="3"/>
  <c r="D48" i="3" s="1"/>
  <c r="F42" i="3"/>
  <c r="D42" i="3"/>
  <c r="B34" i="3"/>
  <c r="F44" i="3" s="1"/>
  <c r="B30" i="3"/>
  <c r="D50" i="2"/>
  <c r="D49" i="2"/>
  <c r="C49" i="2"/>
  <c r="B49" i="2"/>
  <c r="C46" i="2"/>
  <c r="C50" i="2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4" l="1"/>
  <c r="D102" i="4" s="1"/>
  <c r="I92" i="3"/>
  <c r="D101" i="3"/>
  <c r="D102" i="3" s="1"/>
  <c r="I39" i="3"/>
  <c r="D44" i="3"/>
  <c r="D45" i="3" s="1"/>
  <c r="D46" i="3" s="1"/>
  <c r="F98" i="3"/>
  <c r="F99" i="3" s="1"/>
  <c r="F45" i="3"/>
  <c r="F46" i="3" s="1"/>
  <c r="F45" i="4"/>
  <c r="H74" i="4"/>
  <c r="H72" i="4"/>
  <c r="G76" i="4" s="1"/>
  <c r="D45" i="4"/>
  <c r="D144" i="4"/>
  <c r="G135" i="4" s="1"/>
  <c r="F98" i="4"/>
  <c r="F142" i="4"/>
  <c r="D142" i="4"/>
  <c r="D49" i="3"/>
  <c r="B57" i="3"/>
  <c r="B69" i="3" s="1"/>
  <c r="D97" i="4"/>
  <c r="D98" i="4" s="1"/>
  <c r="D97" i="3"/>
  <c r="D98" i="3" s="1"/>
  <c r="D99" i="3" s="1"/>
  <c r="F99" i="4" l="1"/>
  <c r="G93" i="4"/>
  <c r="G91" i="4"/>
  <c r="G92" i="4"/>
  <c r="D99" i="4"/>
  <c r="E93" i="4"/>
  <c r="E92" i="4"/>
  <c r="E91" i="4"/>
  <c r="F46" i="4"/>
  <c r="G38" i="4"/>
  <c r="G40" i="4"/>
  <c r="G39" i="4"/>
  <c r="D46" i="4"/>
  <c r="E38" i="4"/>
  <c r="E40" i="4"/>
  <c r="E39" i="4"/>
  <c r="G94" i="3"/>
  <c r="G92" i="3"/>
  <c r="G91" i="3"/>
  <c r="G93" i="3"/>
  <c r="E38" i="3"/>
  <c r="G39" i="3"/>
  <c r="G41" i="3"/>
  <c r="G40" i="3"/>
  <c r="E41" i="3"/>
  <c r="G38" i="3"/>
  <c r="E39" i="3"/>
  <c r="E40" i="3"/>
  <c r="E134" i="4"/>
  <c r="H73" i="4"/>
  <c r="D145" i="4"/>
  <c r="G136" i="4"/>
  <c r="E135" i="4"/>
  <c r="G134" i="4"/>
  <c r="E136" i="4"/>
  <c r="E93" i="3"/>
  <c r="E91" i="3"/>
  <c r="E92" i="3"/>
  <c r="E94" i="3"/>
  <c r="G95" i="4" l="1"/>
  <c r="D103" i="4"/>
  <c r="E95" i="4"/>
  <c r="D105" i="4"/>
  <c r="G42" i="4"/>
  <c r="D50" i="4"/>
  <c r="D51" i="4" s="1"/>
  <c r="E42" i="4"/>
  <c r="D52" i="4"/>
  <c r="G95" i="3"/>
  <c r="D52" i="3"/>
  <c r="E42" i="3"/>
  <c r="D50" i="3"/>
  <c r="G63" i="3" s="1"/>
  <c r="H63" i="3" s="1"/>
  <c r="G42" i="3"/>
  <c r="D148" i="4"/>
  <c r="D146" i="4"/>
  <c r="G138" i="4"/>
  <c r="E138" i="4"/>
  <c r="D103" i="3"/>
  <c r="E95" i="3"/>
  <c r="D105" i="3"/>
  <c r="D104" i="4" l="1"/>
  <c r="E112" i="4"/>
  <c r="F112" i="4" s="1"/>
  <c r="E111" i="4"/>
  <c r="F111" i="4" s="1"/>
  <c r="E110" i="4"/>
  <c r="F110" i="4" s="1"/>
  <c r="E113" i="4"/>
  <c r="F113" i="4" s="1"/>
  <c r="E109" i="4"/>
  <c r="F109" i="4" s="1"/>
  <c r="E108" i="4"/>
  <c r="F108" i="4" s="1"/>
  <c r="D51" i="3"/>
  <c r="G62" i="3"/>
  <c r="H62" i="3" s="1"/>
  <c r="G71" i="3"/>
  <c r="H71" i="3" s="1"/>
  <c r="G65" i="3"/>
  <c r="H65" i="3" s="1"/>
  <c r="G64" i="3"/>
  <c r="H64" i="3" s="1"/>
  <c r="G68" i="3"/>
  <c r="H68" i="3" s="1"/>
  <c r="G67" i="3"/>
  <c r="H67" i="3" s="1"/>
  <c r="G66" i="3"/>
  <c r="H66" i="3" s="1"/>
  <c r="G61" i="3"/>
  <c r="H61" i="3" s="1"/>
  <c r="G70" i="3"/>
  <c r="H70" i="3" s="1"/>
  <c r="G60" i="3"/>
  <c r="H60" i="3" s="1"/>
  <c r="G69" i="3"/>
  <c r="H69" i="3" s="1"/>
  <c r="D147" i="4"/>
  <c r="E154" i="4"/>
  <c r="F154" i="4" s="1"/>
  <c r="E151" i="4"/>
  <c r="F151" i="4" s="1"/>
  <c r="E156" i="4"/>
  <c r="F156" i="4" s="1"/>
  <c r="E153" i="4"/>
  <c r="F153" i="4" s="1"/>
  <c r="E155" i="4"/>
  <c r="F155" i="4" s="1"/>
  <c r="E152" i="4"/>
  <c r="F152" i="4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F117" i="4" l="1"/>
  <c r="F115" i="4"/>
  <c r="F116" i="4" s="1"/>
  <c r="G72" i="3"/>
  <c r="G73" i="3" s="1"/>
  <c r="G74" i="3"/>
  <c r="F160" i="4"/>
  <c r="B165" i="4"/>
  <c r="F158" i="4"/>
  <c r="F159" i="4" s="1"/>
  <c r="B167" i="4"/>
  <c r="E117" i="3"/>
  <c r="F108" i="3"/>
  <c r="E115" i="3"/>
  <c r="E116" i="3" s="1"/>
  <c r="H74" i="3"/>
  <c r="H72" i="3"/>
  <c r="B166" i="4" l="1"/>
  <c r="G168" i="4"/>
  <c r="F115" i="3"/>
  <c r="F117" i="3"/>
  <c r="G76" i="3"/>
  <c r="H73" i="3"/>
  <c r="G120" i="3" l="1"/>
  <c r="F116" i="3"/>
</calcChain>
</file>

<file path=xl/sharedStrings.xml><?xml version="1.0" encoding="utf-8"?>
<sst xmlns="http://schemas.openxmlformats.org/spreadsheetml/2006/main" count="464" uniqueCount="144">
  <si>
    <t>HPLC System Suitability Report</t>
  </si>
  <si>
    <t>Analysis Data</t>
  </si>
  <si>
    <t>Assay</t>
  </si>
  <si>
    <t>Sample(s)</t>
  </si>
  <si>
    <t>Reference Substance:</t>
  </si>
  <si>
    <t>EFAVIRENZ 600MG, LAMIVUDINE 300MG AND TENOFOVIR DISOPROXIL FUMARATE 300MG TABLETS</t>
  </si>
  <si>
    <t>% age Purity:</t>
  </si>
  <si>
    <t>NDQD2016061060</t>
  </si>
  <si>
    <t>Weight (mg):</t>
  </si>
  <si>
    <t>Efavirenz 600mg, Lamivudine 300mg and Tenofovir Disoproxil Fumarate 300mg Tablets</t>
  </si>
  <si>
    <t>Standard Conc (mg/mL):</t>
  </si>
  <si>
    <t>Each film-coated tablet contains Efavirenz 600mg, Lamivudine USP 300mg, Tenofovir Disoproxil Fumarate 300mg euivalent to tenofovir disoproxil 245mg</t>
  </si>
  <si>
    <t>2016-06-10 15:47:28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</si>
  <si>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</si>
  <si>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</si>
  <si>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</si>
  <si>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</si>
  <si>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</si>
  <si>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</si>
  <si>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</si>
  <si>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</si>
  <si>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</si>
  <si>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</si>
  <si>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</si>
  <si>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</si>
  <si>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</si>
  <si>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</si>
  <si>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</si>
  <si>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</si>
  <si>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</si>
  <si>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</si>
  <si>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</si>
  <si>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</si>
  <si>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</si>
  <si>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</si>
  <si>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</si>
  <si>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</si>
  <si>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</si>
  <si>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</si>
  <si>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</si>
  <si>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</si>
  <si>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</si>
  <si>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</si>
  <si>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</si>
  <si>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</si>
  <si>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</si>
  <si>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</si>
  <si>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</si>
  <si>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</si>
  <si>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</si>
  <si>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</si>
  <si>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</si>
  <si>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</si>
  <si>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</si>
  <si>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</si>
  <si>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</si>
  <si>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</si>
  <si>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</si>
  <si>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</si>
  <si>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</si>
  <si>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</si>
  <si>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</si>
  <si>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</si>
  <si>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</si>
  <si>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</si>
  <si>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</si>
  <si>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</si>
  <si>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</si>
  <si>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</si>
  <si>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</si>
  <si>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</si>
  <si>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</si>
  <si>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</si>
  <si>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</si>
  <si>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</si>
  <si>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</si>
  <si>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</si>
  <si>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</si>
  <si>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</si>
  <si>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</si>
  <si>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</si>
  <si>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</si>
  <si>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</si>
  <si>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</si>
  <si>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</si>
  <si>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</si>
  <si>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</si>
  <si>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</si>
  <si>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</si>
  <si>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</si>
  <si>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</si>
  <si>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</si>
  <si>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</si>
  <si>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</si>
  <si>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</si>
  <si>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</si>
  <si>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</si>
  <si>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</si>
  <si>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</si>
  <si>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</si>
  <si>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</si>
  <si>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</si>
  <si>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</si>
  <si>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</si>
  <si>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</si>
  <si>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</si>
  <si>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</si>
  <si>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</si>
  <si>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</si>
  <si>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</si>
  <si>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</si>
  <si>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</si>
  <si>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</si>
  <si>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</si>
  <si>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</si>
  <si>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</si>
  <si>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</si>
  <si>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</si>
  <si>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</si>
  <si>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</si>
  <si>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</si>
  <si>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</si>
  <si>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</si>
  <si>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</si>
  <si>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</si>
  <si>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If correction for water content is NOT needed please enter 0</t>
  </si>
  <si>
    <t>Initial Standard dilution (mL):</t>
  </si>
  <si>
    <t>Desired Concetration (mg/mL):</t>
  </si>
  <si>
    <t>Each tablet contains</t>
  </si>
  <si>
    <t>Average tablet Content Weight (mg):</t>
  </si>
  <si>
    <t>Initial Sample dilution (mL):</t>
  </si>
  <si>
    <t>Desired Sample Weight (mg)</t>
  </si>
  <si>
    <t>Comment</t>
  </si>
  <si>
    <t>tablet No.</t>
  </si>
  <si>
    <t>Analysis Data:</t>
  </si>
  <si>
    <t>Repeat Determination of Active Ingredient Dissolved</t>
  </si>
  <si>
    <t>Inj</t>
  </si>
  <si>
    <t>Dissolution Result Summary</t>
  </si>
  <si>
    <t>Effavirenz</t>
  </si>
  <si>
    <t>E15-3</t>
  </si>
  <si>
    <t>Efavirenz</t>
  </si>
  <si>
    <t>Lamivudine</t>
  </si>
  <si>
    <t>L3 7</t>
  </si>
  <si>
    <t xml:space="preserve">Efavirenz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</si>
</sst>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0" fontId="19" fillId="2" borderId="0" xfId="0" applyFont="1" applyFill="1" applyAlignment="1">
      <alignment horizontal="left" vertical="center" wrapText="1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horizontal="center" wrapText="1"/>
    </xf>
    <xf numFmtId="10" fontId="11" fillId="2" borderId="0" xfId="0" applyNumberFormat="1" applyFont="1" applyFill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10" fontId="11" fillId="2" borderId="14" xfId="0" applyNumberFormat="1" applyFont="1" applyFill="1" applyBorder="1" applyAlignment="1">
      <alignment horizontal="center" vertical="center"/>
    </xf>
    <xf numFmtId="10" fontId="11" fillId="2" borderId="15" xfId="0" applyNumberFormat="1" applyFont="1" applyFill="1" applyBorder="1" applyAlignment="1">
      <alignment horizontal="center" vertical="center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center" wrapText="1"/>
    </xf>
    <xf numFmtId="171" fontId="11" fillId="2" borderId="48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3" borderId="0" xfId="0" applyFont="1" applyFill="1" applyAlignment="1" applyProtection="1">
      <alignment horizontal="left" vertical="center"/>
      <protection locked="0"/>
    </xf>
    <xf numFmtId="0" fontId="14" fillId="3" borderId="0" xfId="0" applyFont="1" applyFill="1" applyAlignment="1" applyProtection="1">
      <alignment horizontal="left" vertical="center"/>
      <protection locked="0"/>
    </xf>
    <xf numFmtId="0" fontId="14" fillId="3" borderId="0" xfId="0" applyFont="1" applyFill="1" applyAlignment="1" applyProtection="1">
      <alignment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169" fontId="14" fillId="3" borderId="0" xfId="0" applyNumberFormat="1" applyFont="1" applyFill="1" applyAlignment="1" applyProtection="1">
      <alignment horizontal="left" vertical="center"/>
      <protection locked="0"/>
    </xf>
    <xf numFmtId="169" fontId="11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3" fillId="3" borderId="0" xfId="0" applyFont="1" applyFill="1" applyAlignment="1" applyProtection="1">
      <alignment horizontal="center" vertical="center"/>
      <protection locked="0"/>
    </xf>
    <xf numFmtId="0" fontId="14" fillId="3" borderId="0" xfId="0" applyFont="1" applyFill="1" applyAlignment="1" applyProtection="1">
      <alignment horizontal="center" vertical="center"/>
      <protection locked="0"/>
    </xf>
    <xf numFmtId="0" fontId="18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2" fontId="13" fillId="3" borderId="0" xfId="0" applyNumberFormat="1" applyFont="1" applyFill="1" applyAlignment="1" applyProtection="1">
      <alignment horizontal="center" vertical="center"/>
      <protection locked="0"/>
    </xf>
    <xf numFmtId="2" fontId="12" fillId="2" borderId="0" xfId="0" applyNumberFormat="1" applyFont="1" applyFill="1" applyAlignment="1">
      <alignment horizontal="center" vertical="center"/>
    </xf>
    <xf numFmtId="170" fontId="12" fillId="2" borderId="0" xfId="0" applyNumberFormat="1" applyFont="1" applyFill="1" applyAlignment="1">
      <alignment horizontal="center" vertical="center"/>
    </xf>
    <xf numFmtId="0" fontId="11" fillId="2" borderId="21" xfId="0" applyFont="1" applyFill="1" applyBorder="1" applyAlignment="1">
      <alignment horizontal="right" vertical="center"/>
    </xf>
    <xf numFmtId="0" fontId="13" fillId="3" borderId="22" xfId="0" applyFont="1" applyFill="1" applyBorder="1" applyAlignment="1" applyProtection="1">
      <alignment horizontal="center" vertical="center"/>
      <protection locked="0"/>
    </xf>
    <xf numFmtId="0" fontId="11" fillId="2" borderId="23" xfId="0" applyFont="1" applyFill="1" applyBorder="1" applyAlignment="1">
      <alignment horizontal="right" vertical="center"/>
    </xf>
    <xf numFmtId="0" fontId="13" fillId="3" borderId="24" xfId="0" applyFont="1" applyFill="1" applyBorder="1" applyAlignment="1" applyProtection="1">
      <alignment horizontal="center" vertical="center"/>
      <protection locked="0"/>
    </xf>
    <xf numFmtId="0" fontId="12" fillId="2" borderId="53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171" fontId="11" fillId="2" borderId="28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3" fillId="3" borderId="49" xfId="0" applyFont="1" applyFill="1" applyBorder="1" applyAlignment="1" applyProtection="1">
      <alignment horizontal="center" vertical="center"/>
      <protection locked="0"/>
    </xf>
    <xf numFmtId="171" fontId="11" fillId="2" borderId="0" xfId="0" applyNumberFormat="1" applyFont="1" applyFill="1" applyAlignment="1">
      <alignment horizontal="center" vertical="center"/>
    </xf>
    <xf numFmtId="171" fontId="11" fillId="2" borderId="24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3" fillId="3" borderId="59" xfId="0" applyFont="1" applyFill="1" applyBorder="1" applyAlignment="1" applyProtection="1">
      <alignment horizontal="center" vertical="center"/>
      <protection locked="0"/>
    </xf>
    <xf numFmtId="171" fontId="11" fillId="2" borderId="7" xfId="0" applyNumberFormat="1" applyFont="1" applyFill="1" applyBorder="1" applyAlignment="1">
      <alignment horizontal="center" vertical="center"/>
    </xf>
    <xf numFmtId="171" fontId="11" fillId="2" borderId="33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171" fontId="12" fillId="6" borderId="49" xfId="0" applyNumberFormat="1" applyFont="1" applyFill="1" applyBorder="1" applyAlignment="1">
      <alignment horizontal="center" vertical="center"/>
    </xf>
    <xf numFmtId="171" fontId="12" fillId="6" borderId="38" xfId="0" applyNumberFormat="1" applyFont="1" applyFill="1" applyBorder="1" applyAlignment="1">
      <alignment horizontal="center" vertical="center"/>
    </xf>
    <xf numFmtId="1" fontId="12" fillId="6" borderId="50" xfId="0" applyNumberFormat="1" applyFont="1" applyFill="1" applyBorder="1" applyAlignment="1">
      <alignment horizontal="center" vertical="center"/>
    </xf>
    <xf numFmtId="171" fontId="12" fillId="6" borderId="39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3" fillId="3" borderId="52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>
      <alignment vertical="center"/>
    </xf>
    <xf numFmtId="0" fontId="13" fillId="3" borderId="16" xfId="0" applyFont="1" applyFill="1" applyBorder="1" applyAlignment="1" applyProtection="1">
      <alignment horizontal="center" vertical="center"/>
      <protection locked="0"/>
    </xf>
    <xf numFmtId="0" fontId="11" fillId="2" borderId="25" xfId="0" applyFont="1" applyFill="1" applyBorder="1" applyAlignment="1">
      <alignment horizontal="right" vertical="center"/>
    </xf>
    <xf numFmtId="2" fontId="11" fillId="6" borderId="27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2" fontId="11" fillId="6" borderId="41" xfId="0" applyNumberFormat="1" applyFont="1" applyFill="1" applyBorder="1" applyAlignment="1">
      <alignment horizontal="center" vertical="center"/>
    </xf>
    <xf numFmtId="2" fontId="11" fillId="7" borderId="27" xfId="0" applyNumberFormat="1" applyFont="1" applyFill="1" applyBorder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2" fontId="11" fillId="7" borderId="41" xfId="0" applyNumberFormat="1" applyFont="1" applyFill="1" applyBorder="1" applyAlignment="1">
      <alignment horizontal="center" vertical="center"/>
    </xf>
    <xf numFmtId="2" fontId="11" fillId="6" borderId="17" xfId="0" applyNumberFormat="1" applyFont="1" applyFill="1" applyBorder="1" applyAlignment="1">
      <alignment horizontal="center" vertical="center"/>
    </xf>
    <xf numFmtId="166" fontId="13" fillId="3" borderId="27" xfId="0" applyNumberFormat="1" applyFont="1" applyFill="1" applyBorder="1" applyAlignment="1" applyProtection="1">
      <alignment horizontal="center" vertical="center"/>
      <protection locked="0"/>
    </xf>
    <xf numFmtId="1" fontId="11" fillId="2" borderId="0" xfId="0" applyNumberFormat="1" applyFont="1" applyFill="1" applyAlignment="1">
      <alignment horizontal="center" vertical="center"/>
    </xf>
    <xf numFmtId="0" fontId="11" fillId="2" borderId="53" xfId="0" applyFont="1" applyFill="1" applyBorder="1" applyAlignment="1">
      <alignment horizontal="right" vertical="center"/>
    </xf>
    <xf numFmtId="2" fontId="11" fillId="6" borderId="30" xfId="0" applyNumberFormat="1" applyFont="1" applyFill="1" applyBorder="1" applyAlignment="1">
      <alignment horizontal="center" vertical="center"/>
    </xf>
    <xf numFmtId="171" fontId="11" fillId="2" borderId="0" xfId="0" applyNumberFormat="1" applyFont="1" applyFill="1" applyAlignment="1">
      <alignment horizontal="center" vertical="center"/>
    </xf>
    <xf numFmtId="0" fontId="11" fillId="2" borderId="16" xfId="0" applyFont="1" applyFill="1" applyBorder="1" applyAlignment="1">
      <alignment horizontal="right" vertical="center"/>
    </xf>
    <xf numFmtId="171" fontId="12" fillId="7" borderId="16" xfId="0" applyNumberFormat="1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right" vertical="center"/>
    </xf>
    <xf numFmtId="10" fontId="11" fillId="6" borderId="41" xfId="0" applyNumberFormat="1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right" vertical="center"/>
    </xf>
    <xf numFmtId="0" fontId="11" fillId="7" borderId="17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3" fillId="3" borderId="0" xfId="0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/>
    </xf>
    <xf numFmtId="2" fontId="12" fillId="2" borderId="13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3" fillId="3" borderId="21" xfId="0" applyFont="1" applyFill="1" applyBorder="1" applyAlignment="1" applyProtection="1">
      <alignment horizontal="center" vertical="center"/>
      <protection locked="0"/>
    </xf>
    <xf numFmtId="2" fontId="11" fillId="2" borderId="21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3" fillId="3" borderId="23" xfId="0" applyFont="1" applyFill="1" applyBorder="1" applyAlignment="1" applyProtection="1">
      <alignment horizontal="center" vertical="center"/>
      <protection locked="0"/>
    </xf>
    <xf numFmtId="2" fontId="11" fillId="2" borderId="23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3" fillId="3" borderId="43" xfId="0" applyFont="1" applyFill="1" applyBorder="1" applyAlignment="1" applyProtection="1">
      <alignment horizontal="center" vertical="center"/>
      <protection locked="0"/>
    </xf>
    <xf numFmtId="2" fontId="11" fillId="2" borderId="13" xfId="0" applyNumberFormat="1" applyFont="1" applyFill="1" applyBorder="1" applyAlignment="1">
      <alignment horizontal="center" vertical="center"/>
    </xf>
    <xf numFmtId="2" fontId="11" fillId="2" borderId="14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right" vertical="center"/>
    </xf>
    <xf numFmtId="2" fontId="12" fillId="2" borderId="44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5" xfId="0" applyFont="1" applyFill="1" applyBorder="1" applyAlignment="1">
      <alignment horizontal="right" vertical="center"/>
    </xf>
    <xf numFmtId="2" fontId="11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3" fillId="3" borderId="29" xfId="0" applyFont="1" applyFill="1" applyBorder="1" applyAlignment="1" applyProtection="1">
      <alignment horizontal="center" vertical="center"/>
      <protection locked="0"/>
    </xf>
    <xf numFmtId="171" fontId="11" fillId="2" borderId="26" xfId="0" applyNumberFormat="1" applyFont="1" applyFill="1" applyBorder="1" applyAlignment="1">
      <alignment horizontal="center" vertical="center"/>
    </xf>
    <xf numFmtId="1" fontId="13" fillId="3" borderId="29" xfId="0" applyNumberFormat="1" applyFont="1" applyFill="1" applyBorder="1" applyAlignment="1" applyProtection="1">
      <alignment horizontal="center" vertical="center"/>
      <protection locked="0"/>
    </xf>
    <xf numFmtId="171" fontId="11" fillId="2" borderId="30" xfId="0" applyNumberFormat="1" applyFont="1" applyFill="1" applyBorder="1" applyAlignment="1">
      <alignment horizontal="center" vertical="center"/>
    </xf>
    <xf numFmtId="171" fontId="11" fillId="2" borderId="31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 vertical="center"/>
      <protection locked="0"/>
    </xf>
    <xf numFmtId="171" fontId="11" fillId="2" borderId="32" xfId="0" applyNumberFormat="1" applyFont="1" applyFill="1" applyBorder="1" applyAlignment="1">
      <alignment horizontal="center" vertical="center"/>
    </xf>
    <xf numFmtId="0" fontId="13" fillId="3" borderId="34" xfId="0" applyFont="1" applyFill="1" applyBorder="1" applyAlignment="1" applyProtection="1">
      <alignment horizontal="center" vertical="center"/>
      <protection locked="0"/>
    </xf>
    <xf numFmtId="171" fontId="11" fillId="2" borderId="35" xfId="0" applyNumberFormat="1" applyFont="1" applyFill="1" applyBorder="1" applyAlignment="1">
      <alignment horizontal="center" vertical="center"/>
    </xf>
    <xf numFmtId="1" fontId="13" fillId="3" borderId="34" xfId="0" applyNumberFormat="1" applyFont="1" applyFill="1" applyBorder="1" applyAlignment="1" applyProtection="1">
      <alignment horizontal="center" vertical="center"/>
      <protection locked="0"/>
    </xf>
    <xf numFmtId="171" fontId="11" fillId="2" borderId="36" xfId="0" applyNumberFormat="1" applyFont="1" applyFill="1" applyBorder="1" applyAlignment="1">
      <alignment horizontal="center" vertical="center"/>
    </xf>
    <xf numFmtId="171" fontId="12" fillId="6" borderId="50" xfId="0" applyNumberFormat="1" applyFont="1" applyFill="1" applyBorder="1" applyAlignment="1">
      <alignment horizontal="center" vertical="center"/>
    </xf>
    <xf numFmtId="171" fontId="12" fillId="6" borderId="15" xfId="0" applyNumberFormat="1" applyFont="1" applyFill="1" applyBorder="1" applyAlignment="1">
      <alignment horizontal="center" vertical="center"/>
    </xf>
    <xf numFmtId="164" fontId="11" fillId="6" borderId="27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1" fillId="6" borderId="1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66" fontId="11" fillId="7" borderId="27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1" fillId="7" borderId="3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0" fontId="12" fillId="6" borderId="41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vertical="center"/>
    </xf>
    <xf numFmtId="0" fontId="12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/>
    </xf>
    <xf numFmtId="1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1" fillId="2" borderId="26" xfId="0" applyNumberFormat="1" applyFont="1" applyFill="1" applyBorder="1" applyAlignment="1">
      <alignment horizontal="center" vertical="center"/>
    </xf>
    <xf numFmtId="10" fontId="11" fillId="2" borderId="30" xfId="0" applyNumberFormat="1" applyFont="1" applyFill="1" applyBorder="1" applyAlignment="1">
      <alignment horizontal="center" vertical="center"/>
    </xf>
    <xf numFmtId="2" fontId="11" fillId="2" borderId="31" xfId="0" applyNumberFormat="1" applyFont="1" applyFill="1" applyBorder="1" applyAlignment="1">
      <alignment horizontal="center" vertic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1" fontId="13" fillId="3" borderId="35" xfId="0" applyNumberFormat="1" applyFont="1" applyFill="1" applyBorder="1" applyAlignment="1" applyProtection="1">
      <alignment horizontal="center" vertical="center"/>
      <protection locked="0"/>
    </xf>
    <xf numFmtId="2" fontId="11" fillId="2" borderId="35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24" xfId="0" applyNumberFormat="1" applyFont="1" applyFill="1" applyBorder="1" applyAlignment="1">
      <alignment horizontal="center" vertical="center"/>
    </xf>
    <xf numFmtId="171" fontId="12" fillId="2" borderId="0" xfId="0" applyNumberFormat="1" applyFont="1" applyFill="1" applyAlignment="1">
      <alignment horizontal="center" vertical="center"/>
    </xf>
    <xf numFmtId="171" fontId="11" fillId="2" borderId="2" xfId="0" applyNumberFormat="1" applyFont="1" applyFill="1" applyBorder="1" applyAlignment="1">
      <alignment horizontal="right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43" xfId="0" applyFont="1" applyFill="1" applyBorder="1" applyAlignment="1">
      <alignment vertical="center"/>
    </xf>
    <xf numFmtId="0" fontId="11" fillId="2" borderId="60" xfId="0" applyFont="1" applyFill="1" applyBorder="1" applyAlignment="1">
      <alignment horizontal="center" vertical="center"/>
    </xf>
    <xf numFmtId="0" fontId="11" fillId="2" borderId="56" xfId="0" applyFont="1" applyFill="1" applyBorder="1" applyAlignment="1">
      <alignment horizontal="right" vertical="center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1" fillId="2" borderId="7" xfId="0" applyFont="1" applyFill="1" applyBorder="1" applyAlignment="1" applyProtection="1">
      <alignment vertical="center"/>
      <protection locked="0"/>
    </xf>
    <xf numFmtId="0" fontId="11" fillId="2" borderId="7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2" fillId="2" borderId="11" xfId="0" applyFont="1" applyFill="1" applyBorder="1" applyAlignment="1" applyProtection="1">
      <alignment vertical="center"/>
      <protection locked="0"/>
    </xf>
    <xf numFmtId="0" fontId="12" fillId="2" borderId="11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10" fontId="13" fillId="7" borderId="27" xfId="0" applyNumberFormat="1" applyFont="1" applyFill="1" applyBorder="1" applyAlignment="1">
      <alignment horizontal="center" vertical="center"/>
    </xf>
    <xf numFmtId="10" fontId="13" fillId="6" borderId="27" xfId="0" applyNumberFormat="1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0" fontId="11" fillId="2" borderId="6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0" fontId="11" fillId="2" borderId="21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right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50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6" borderId="41" xfId="0" applyNumberFormat="1" applyFont="1" applyFill="1" applyBorder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" fontId="1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37" xfId="0" applyFont="1" applyFill="1" applyBorder="1" applyAlignment="1">
      <alignment horizontal="right"/>
    </xf>
    <xf numFmtId="2" fontId="11" fillId="7" borderId="62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71" fontId="12" fillId="7" borderId="4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10" fontId="12" fillId="6" borderId="41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3" fillId="2" borderId="0" xfId="0" applyFont="1" applyFill="1"/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/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2" fontId="11" fillId="2" borderId="5" xfId="0" applyNumberFormat="1" applyFont="1" applyFill="1" applyBorder="1" applyAlignment="1">
      <alignment horizontal="center"/>
    </xf>
    <xf numFmtId="10" fontId="11" fillId="2" borderId="33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0" fontId="11" fillId="2" borderId="23" xfId="0" applyFont="1" applyFill="1" applyBorder="1"/>
    <xf numFmtId="0" fontId="11" fillId="2" borderId="43" xfId="0" applyFont="1" applyFill="1" applyBorder="1"/>
    <xf numFmtId="0" fontId="3" fillId="2" borderId="0" xfId="0" applyFont="1" applyFill="1" applyAlignment="1">
      <alignment horizontal="left" vertical="center"/>
    </xf>
    <xf numFmtId="0" fontId="13" fillId="3" borderId="13" xfId="0" applyFont="1" applyFill="1" applyBorder="1" applyAlignment="1" applyProtection="1">
      <alignment horizontal="center" vertical="center"/>
      <protection locked="0"/>
    </xf>
    <xf numFmtId="0" fontId="12" fillId="2" borderId="53" xfId="0" applyFont="1" applyFill="1" applyBorder="1" applyAlignment="1">
      <alignment horizontal="center"/>
    </xf>
    <xf numFmtId="0" fontId="13" fillId="3" borderId="63" xfId="0" applyFont="1" applyFill="1" applyBorder="1" applyAlignment="1" applyProtection="1">
      <alignment horizontal="center" vertical="center"/>
      <protection locked="0"/>
    </xf>
    <xf numFmtId="0" fontId="13" fillId="3" borderId="32" xfId="0" applyFont="1" applyFill="1" applyBorder="1" applyAlignment="1" applyProtection="1">
      <alignment horizontal="center" vertical="center"/>
      <protection locked="0"/>
    </xf>
    <xf numFmtId="171" fontId="11" fillId="2" borderId="39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1" fontId="12" fillId="6" borderId="44" xfId="0" applyNumberFormat="1" applyFont="1" applyFill="1" applyBorder="1" applyAlignment="1">
      <alignment horizontal="center"/>
    </xf>
    <xf numFmtId="0" fontId="11" fillId="2" borderId="44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/>
    </xf>
    <xf numFmtId="0" fontId="13" fillId="3" borderId="26" xfId="0" applyFont="1" applyFill="1" applyBorder="1" applyAlignment="1" applyProtection="1">
      <alignment horizontal="center" vertical="center"/>
      <protection locked="0"/>
    </xf>
    <xf numFmtId="0" fontId="13" fillId="3" borderId="31" xfId="0" applyFont="1" applyFill="1" applyBorder="1" applyAlignment="1" applyProtection="1">
      <alignment horizontal="center" vertical="center"/>
      <protection locked="0"/>
    </xf>
    <xf numFmtId="0" fontId="13" fillId="3" borderId="35" xfId="0" applyFont="1" applyFill="1" applyBorder="1" applyAlignment="1" applyProtection="1">
      <alignment horizontal="center" vertical="center"/>
      <protection locked="0"/>
    </xf>
    <xf numFmtId="171" fontId="11" fillId="2" borderId="47" xfId="0" applyNumberFormat="1" applyFont="1" applyFill="1" applyBorder="1" applyAlignment="1">
      <alignment horizontal="right"/>
    </xf>
    <xf numFmtId="0" fontId="11" fillId="2" borderId="64" xfId="0" applyFont="1" applyFill="1" applyBorder="1" applyAlignment="1">
      <alignment horizontal="right"/>
    </xf>
    <xf numFmtId="165" fontId="13" fillId="6" borderId="27" xfId="0" applyNumberFormat="1" applyFont="1" applyFill="1" applyBorder="1" applyAlignment="1">
      <alignment horizontal="center"/>
    </xf>
    <xf numFmtId="165" fontId="13" fillId="7" borderId="52" xfId="0" applyNumberFormat="1" applyFont="1" applyFill="1" applyBorder="1" applyAlignment="1">
      <alignment horizontal="center"/>
    </xf>
    <xf numFmtId="165" fontId="13" fillId="2" borderId="0" xfId="0" applyNumberFormat="1" applyFont="1" applyFill="1" applyAlignment="1">
      <alignment horizontal="center" vertical="center"/>
    </xf>
    <xf numFmtId="0" fontId="13" fillId="7" borderId="62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3" fillId="7" borderId="46" xfId="0" applyFont="1" applyFill="1" applyBorder="1" applyAlignment="1">
      <alignment horizontal="center"/>
    </xf>
    <xf numFmtId="10" fontId="13" fillId="7" borderId="57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71" fontId="11" fillId="2" borderId="1" xfId="0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11" fillId="2" borderId="6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 vertical="center"/>
    </xf>
    <xf numFmtId="10" fontId="13" fillId="6" borderId="57" xfId="0" applyNumberFormat="1" applyFont="1" applyFill="1" applyBorder="1" applyAlignment="1">
      <alignment horizontal="center" vertical="center"/>
    </xf>
    <xf numFmtId="0" fontId="13" fillId="7" borderId="46" xfId="0" applyFont="1" applyFill="1" applyBorder="1" applyAlignment="1">
      <alignment horizontal="center" vertical="center"/>
    </xf>
    <xf numFmtId="166" fontId="12" fillId="2" borderId="0" xfId="0" applyNumberFormat="1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vertical="center"/>
      <protection locked="0"/>
    </xf>
    <xf numFmtId="0" fontId="14" fillId="3" borderId="0" xfId="0" applyFont="1" applyFill="1" applyAlignment="1" applyProtection="1">
      <alignment horizontal="left" vertical="center"/>
      <protection locked="0"/>
    </xf>
    <xf numFmtId="0" fontId="12" fillId="2" borderId="47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2" fontId="5" fillId="2" borderId="0" xfId="0" applyNumberFormat="1" applyFont="1" applyFill="1" applyAlignment="1">
      <alignment horizontal="left"/>
    </xf>
    <xf numFmtId="164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33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7" workbookViewId="0">
      <selection activeCell="C19" sqref="C1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547" t="s">
        <v>0</v>
      </c>
      <c r="B15" s="547"/>
      <c r="C15" s="547"/>
      <c r="D15" s="547"/>
      <c r="E15" s="54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604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604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605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548" t="s">
        <v>26</v>
      </c>
      <c r="C59" s="548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52" t="s">
        <v>31</v>
      </c>
      <c r="B11" s="553"/>
      <c r="C11" s="553"/>
      <c r="D11" s="553"/>
      <c r="E11" s="553"/>
      <c r="F11" s="554"/>
      <c r="G11" s="91"/>
    </row>
    <row r="12" spans="1:7" ht="16.5" customHeight="1" x14ac:dyDescent="0.3">
      <c r="A12" s="551" t="s">
        <v>32</v>
      </c>
      <c r="B12" s="551"/>
      <c r="C12" s="551"/>
      <c r="D12" s="551"/>
      <c r="E12" s="551"/>
      <c r="F12" s="551"/>
      <c r="G12" s="90"/>
    </row>
    <row r="14" spans="1:7" ht="16.5" customHeight="1" x14ac:dyDescent="0.3">
      <c r="A14" s="556" t="s">
        <v>33</v>
      </c>
      <c r="B14" s="556"/>
      <c r="C14" s="60" t="s">
        <v>5</v>
      </c>
    </row>
    <row r="15" spans="1:7" ht="16.5" customHeight="1" x14ac:dyDescent="0.3">
      <c r="A15" s="556" t="s">
        <v>34</v>
      </c>
      <c r="B15" s="556"/>
      <c r="C15" s="60" t="s">
        <v>7</v>
      </c>
    </row>
    <row r="16" spans="1:7" ht="16.5" customHeight="1" x14ac:dyDescent="0.3">
      <c r="A16" s="556" t="s">
        <v>35</v>
      </c>
      <c r="B16" s="556"/>
      <c r="C16" s="60" t="s">
        <v>9</v>
      </c>
    </row>
    <row r="17" spans="1:5" ht="16.5" customHeight="1" x14ac:dyDescent="0.3">
      <c r="A17" s="556" t="s">
        <v>36</v>
      </c>
      <c r="B17" s="556"/>
      <c r="C17" s="60" t="s">
        <v>11</v>
      </c>
    </row>
    <row r="18" spans="1:5" ht="16.5" customHeight="1" x14ac:dyDescent="0.3">
      <c r="A18" s="556" t="s">
        <v>37</v>
      </c>
      <c r="B18" s="556"/>
      <c r="C18" s="97" t="s">
        <v>12</v>
      </c>
    </row>
    <row r="19" spans="1:5" ht="16.5" customHeight="1" x14ac:dyDescent="0.3">
      <c r="A19" s="556" t="s">
        <v>38</v>
      </c>
      <c r="B19" s="556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551" t="s">
        <v>1</v>
      </c>
      <c r="B21" s="551"/>
      <c r="C21" s="59" t="s">
        <v>39</v>
      </c>
      <c r="D21" s="66"/>
    </row>
    <row r="22" spans="1:5" ht="15.75" customHeight="1" x14ac:dyDescent="0.3">
      <c r="A22" s="555"/>
      <c r="B22" s="555"/>
      <c r="C22" s="57"/>
      <c r="D22" s="555"/>
      <c r="E22" s="555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1885.01</v>
      </c>
      <c r="D24" s="87">
        <f t="shared" ref="D24:D43" si="0">(C24-$C$46)/$C$46</f>
        <v>-4.1269078991338993E-3</v>
      </c>
      <c r="E24" s="53"/>
    </row>
    <row r="25" spans="1:5" ht="15.75" customHeight="1" x14ac:dyDescent="0.3">
      <c r="C25" s="95">
        <v>1885.32</v>
      </c>
      <c r="D25" s="88">
        <f t="shared" si="0"/>
        <v>-3.9631312302826922E-3</v>
      </c>
      <c r="E25" s="53"/>
    </row>
    <row r="26" spans="1:5" ht="15.75" customHeight="1" x14ac:dyDescent="0.3">
      <c r="C26" s="95">
        <v>1903.7</v>
      </c>
      <c r="D26" s="88">
        <f t="shared" si="0"/>
        <v>5.7472402970906522E-3</v>
      </c>
      <c r="E26" s="53"/>
    </row>
    <row r="27" spans="1:5" ht="15.75" customHeight="1" x14ac:dyDescent="0.3">
      <c r="C27" s="95">
        <v>1863.34</v>
      </c>
      <c r="D27" s="88">
        <f t="shared" si="0"/>
        <v>-1.5575425363670342E-2</v>
      </c>
      <c r="E27" s="53"/>
    </row>
    <row r="28" spans="1:5" ht="15.75" customHeight="1" x14ac:dyDescent="0.3">
      <c r="C28" s="95">
        <v>1888.09</v>
      </c>
      <c r="D28" s="88">
        <f t="shared" si="0"/>
        <v>-2.499707447321657E-3</v>
      </c>
      <c r="E28" s="53"/>
    </row>
    <row r="29" spans="1:5" ht="15.75" customHeight="1" x14ac:dyDescent="0.3">
      <c r="C29" s="95">
        <v>1892.68</v>
      </c>
      <c r="D29" s="88">
        <f t="shared" si="0"/>
        <v>-7.4756124653278504E-5</v>
      </c>
      <c r="E29" s="53"/>
    </row>
    <row r="30" spans="1:5" ht="15.75" customHeight="1" x14ac:dyDescent="0.3">
      <c r="C30" s="95">
        <v>1906.36</v>
      </c>
      <c r="D30" s="88">
        <f t="shared" si="0"/>
        <v>7.1525497782011817E-3</v>
      </c>
      <c r="E30" s="53"/>
    </row>
    <row r="31" spans="1:5" ht="15.75" customHeight="1" x14ac:dyDescent="0.3">
      <c r="C31" s="95">
        <v>1882.68</v>
      </c>
      <c r="D31" s="88">
        <f t="shared" si="0"/>
        <v>-5.3578744746931514E-3</v>
      </c>
      <c r="E31" s="53"/>
    </row>
    <row r="32" spans="1:5" ht="15.75" customHeight="1" x14ac:dyDescent="0.3">
      <c r="C32" s="95">
        <v>1905.88</v>
      </c>
      <c r="D32" s="88">
        <f t="shared" si="0"/>
        <v>6.8989600973993776E-3</v>
      </c>
      <c r="E32" s="53"/>
    </row>
    <row r="33" spans="1:7" ht="15.75" customHeight="1" x14ac:dyDescent="0.3">
      <c r="C33" s="95">
        <v>1906.38</v>
      </c>
      <c r="D33" s="88">
        <f t="shared" si="0"/>
        <v>7.1631160149013716E-3</v>
      </c>
      <c r="E33" s="53"/>
    </row>
    <row r="34" spans="1:7" ht="15.75" customHeight="1" x14ac:dyDescent="0.3">
      <c r="C34" s="95">
        <v>1895.81</v>
      </c>
      <c r="D34" s="88">
        <f t="shared" si="0"/>
        <v>1.5788599189091393E-3</v>
      </c>
      <c r="E34" s="53"/>
    </row>
    <row r="35" spans="1:7" ht="15.75" customHeight="1" x14ac:dyDescent="0.3">
      <c r="C35" s="95">
        <v>1903.35</v>
      </c>
      <c r="D35" s="88">
        <f t="shared" si="0"/>
        <v>5.5623311548391842E-3</v>
      </c>
      <c r="E35" s="53"/>
    </row>
    <row r="36" spans="1:7" ht="15.75" customHeight="1" x14ac:dyDescent="0.3">
      <c r="C36" s="95">
        <v>1896.23</v>
      </c>
      <c r="D36" s="88">
        <f t="shared" si="0"/>
        <v>1.8007508896108525E-3</v>
      </c>
      <c r="E36" s="53"/>
    </row>
    <row r="37" spans="1:7" ht="15.75" customHeight="1" x14ac:dyDescent="0.3">
      <c r="C37" s="95">
        <v>1925.28</v>
      </c>
      <c r="D37" s="88">
        <f t="shared" si="0"/>
        <v>1.7148209696476659E-2</v>
      </c>
      <c r="E37" s="53"/>
    </row>
    <row r="38" spans="1:7" ht="15.75" customHeight="1" x14ac:dyDescent="0.3">
      <c r="C38" s="95">
        <v>1868.79</v>
      </c>
      <c r="D38" s="88">
        <f t="shared" si="0"/>
        <v>-1.2696125862898588E-2</v>
      </c>
      <c r="E38" s="53"/>
    </row>
    <row r="39" spans="1:7" ht="15.75" customHeight="1" x14ac:dyDescent="0.3">
      <c r="C39" s="95">
        <v>1885.95</v>
      </c>
      <c r="D39" s="88">
        <f t="shared" si="0"/>
        <v>-3.6302947742301228E-3</v>
      </c>
      <c r="E39" s="53"/>
    </row>
    <row r="40" spans="1:7" ht="15.75" customHeight="1" x14ac:dyDescent="0.3">
      <c r="C40" s="95">
        <v>1907.05</v>
      </c>
      <c r="D40" s="88">
        <f t="shared" si="0"/>
        <v>7.5170849443539616E-3</v>
      </c>
      <c r="E40" s="53"/>
    </row>
    <row r="41" spans="1:7" ht="15.75" customHeight="1" x14ac:dyDescent="0.3">
      <c r="C41" s="95">
        <v>1902.72</v>
      </c>
      <c r="D41" s="88">
        <f t="shared" si="0"/>
        <v>5.2294946987867345E-3</v>
      </c>
      <c r="E41" s="53"/>
    </row>
    <row r="42" spans="1:7" ht="15.75" customHeight="1" x14ac:dyDescent="0.3">
      <c r="C42" s="95">
        <v>1884.76</v>
      </c>
      <c r="D42" s="88">
        <f t="shared" si="0"/>
        <v>-4.2589858578848967E-3</v>
      </c>
      <c r="E42" s="53"/>
    </row>
    <row r="43" spans="1:7" ht="16.5" customHeight="1" x14ac:dyDescent="0.3">
      <c r="C43" s="96">
        <v>1867.05</v>
      </c>
      <c r="D43" s="89">
        <f t="shared" si="0"/>
        <v>-1.3615388455805531E-2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37856.430000000008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1892.8215000000005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549">
        <f>C46</f>
        <v>1892.8215000000005</v>
      </c>
      <c r="C49" s="93">
        <f>-IF(C46&lt;=80,10%,IF(C46&lt;250,7.5%,5%))</f>
        <v>-0.05</v>
      </c>
      <c r="D49" s="81">
        <f>IF(C46&lt;=80,C46*0.9,IF(C46&lt;250,C46*0.925,C46*0.95))</f>
        <v>1798.1804250000005</v>
      </c>
    </row>
    <row r="50" spans="1:6" ht="17.25" customHeight="1" x14ac:dyDescent="0.3">
      <c r="B50" s="550"/>
      <c r="C50" s="94">
        <f>IF(C46&lt;=80, 10%, IF(C46&lt;250, 7.5%, 5%))</f>
        <v>0.05</v>
      </c>
      <c r="D50" s="81">
        <f>IF(C46&lt;=80, C46*1.1, IF(C46&lt;250, C46*1.075, C46*1.05))</f>
        <v>1987.4625750000005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2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1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0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9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8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7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6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5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4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3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2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1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0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9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8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7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6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5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4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3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2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95" zoomScale="50" zoomScaleNormal="40" zoomScalePageLayoutView="50" workbookViewId="0">
      <selection activeCell="C123" sqref="C1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57" t="s">
        <v>45</v>
      </c>
      <c r="B1" s="557"/>
      <c r="C1" s="557"/>
      <c r="D1" s="557"/>
      <c r="E1" s="557"/>
      <c r="F1" s="557"/>
      <c r="G1" s="557"/>
      <c r="H1" s="557"/>
      <c r="I1" s="557"/>
    </row>
    <row r="2" spans="1:9" ht="18.75" customHeight="1" x14ac:dyDescent="0.25">
      <c r="A2" s="557"/>
      <c r="B2" s="557"/>
      <c r="C2" s="557"/>
      <c r="D2" s="557"/>
      <c r="E2" s="557"/>
      <c r="F2" s="557"/>
      <c r="G2" s="557"/>
      <c r="H2" s="557"/>
      <c r="I2" s="557"/>
    </row>
    <row r="3" spans="1:9" ht="18.75" customHeight="1" x14ac:dyDescent="0.25">
      <c r="A3" s="557"/>
      <c r="B3" s="557"/>
      <c r="C3" s="557"/>
      <c r="D3" s="557"/>
      <c r="E3" s="557"/>
      <c r="F3" s="557"/>
      <c r="G3" s="557"/>
      <c r="H3" s="557"/>
      <c r="I3" s="557"/>
    </row>
    <row r="4" spans="1:9" ht="18.75" customHeight="1" x14ac:dyDescent="0.25">
      <c r="A4" s="557"/>
      <c r="B4" s="557"/>
      <c r="C4" s="557"/>
      <c r="D4" s="557"/>
      <c r="E4" s="557"/>
      <c r="F4" s="557"/>
      <c r="G4" s="557"/>
      <c r="H4" s="557"/>
      <c r="I4" s="557"/>
    </row>
    <row r="5" spans="1:9" ht="18.75" customHeight="1" x14ac:dyDescent="0.25">
      <c r="A5" s="557"/>
      <c r="B5" s="557"/>
      <c r="C5" s="557"/>
      <c r="D5" s="557"/>
      <c r="E5" s="557"/>
      <c r="F5" s="557"/>
      <c r="G5" s="557"/>
      <c r="H5" s="557"/>
      <c r="I5" s="557"/>
    </row>
    <row r="6" spans="1:9" ht="18.75" customHeight="1" x14ac:dyDescent="0.25">
      <c r="A6" s="557"/>
      <c r="B6" s="557"/>
      <c r="C6" s="557"/>
      <c r="D6" s="557"/>
      <c r="E6" s="557"/>
      <c r="F6" s="557"/>
      <c r="G6" s="557"/>
      <c r="H6" s="557"/>
      <c r="I6" s="557"/>
    </row>
    <row r="7" spans="1:9" ht="18.75" customHeight="1" x14ac:dyDescent="0.25">
      <c r="A7" s="557"/>
      <c r="B7" s="557"/>
      <c r="C7" s="557"/>
      <c r="D7" s="557"/>
      <c r="E7" s="557"/>
      <c r="F7" s="557"/>
      <c r="G7" s="557"/>
      <c r="H7" s="557"/>
      <c r="I7" s="557"/>
    </row>
    <row r="8" spans="1:9" x14ac:dyDescent="0.25">
      <c r="A8" s="558" t="s">
        <v>46</v>
      </c>
      <c r="B8" s="558"/>
      <c r="C8" s="558"/>
      <c r="D8" s="558"/>
      <c r="E8" s="558"/>
      <c r="F8" s="558"/>
      <c r="G8" s="558"/>
      <c r="H8" s="558"/>
      <c r="I8" s="558"/>
    </row>
    <row r="9" spans="1:9" x14ac:dyDescent="0.25">
      <c r="A9" s="558"/>
      <c r="B9" s="558"/>
      <c r="C9" s="558"/>
      <c r="D9" s="558"/>
      <c r="E9" s="558"/>
      <c r="F9" s="558"/>
      <c r="G9" s="558"/>
      <c r="H9" s="558"/>
      <c r="I9" s="558"/>
    </row>
    <row r="10" spans="1:9" x14ac:dyDescent="0.25">
      <c r="A10" s="558"/>
      <c r="B10" s="558"/>
      <c r="C10" s="558"/>
      <c r="D10" s="558"/>
      <c r="E10" s="558"/>
      <c r="F10" s="558"/>
      <c r="G10" s="558"/>
      <c r="H10" s="558"/>
      <c r="I10" s="558"/>
    </row>
    <row r="11" spans="1:9" x14ac:dyDescent="0.25">
      <c r="A11" s="558"/>
      <c r="B11" s="558"/>
      <c r="C11" s="558"/>
      <c r="D11" s="558"/>
      <c r="E11" s="558"/>
      <c r="F11" s="558"/>
      <c r="G11" s="558"/>
      <c r="H11" s="558"/>
      <c r="I11" s="558"/>
    </row>
    <row r="12" spans="1:9" x14ac:dyDescent="0.25">
      <c r="A12" s="558"/>
      <c r="B12" s="558"/>
      <c r="C12" s="558"/>
      <c r="D12" s="558"/>
      <c r="E12" s="558"/>
      <c r="F12" s="558"/>
      <c r="G12" s="558"/>
      <c r="H12" s="558"/>
      <c r="I12" s="558"/>
    </row>
    <row r="13" spans="1:9" x14ac:dyDescent="0.25">
      <c r="A13" s="558"/>
      <c r="B13" s="558"/>
      <c r="C13" s="558"/>
      <c r="D13" s="558"/>
      <c r="E13" s="558"/>
      <c r="F13" s="558"/>
      <c r="G13" s="558"/>
      <c r="H13" s="558"/>
      <c r="I13" s="558"/>
    </row>
    <row r="14" spans="1:9" x14ac:dyDescent="0.25">
      <c r="A14" s="558"/>
      <c r="B14" s="558"/>
      <c r="C14" s="558"/>
      <c r="D14" s="558"/>
      <c r="E14" s="558"/>
      <c r="F14" s="558"/>
      <c r="G14" s="558"/>
      <c r="H14" s="558"/>
      <c r="I14" s="558"/>
    </row>
    <row r="15" spans="1:9" ht="19.5" customHeight="1" x14ac:dyDescent="0.3">
      <c r="A15" s="98"/>
    </row>
    <row r="16" spans="1:9" ht="19.5" customHeight="1" x14ac:dyDescent="0.3">
      <c r="A16" s="591" t="s">
        <v>31</v>
      </c>
      <c r="B16" s="592"/>
      <c r="C16" s="592"/>
      <c r="D16" s="592"/>
      <c r="E16" s="592"/>
      <c r="F16" s="592"/>
      <c r="G16" s="592"/>
      <c r="H16" s="593"/>
    </row>
    <row r="17" spans="1:14" ht="20.25" customHeight="1" x14ac:dyDescent="0.25">
      <c r="A17" s="594" t="s">
        <v>47</v>
      </c>
      <c r="B17" s="594"/>
      <c r="C17" s="594"/>
      <c r="D17" s="594"/>
      <c r="E17" s="594"/>
      <c r="F17" s="594"/>
      <c r="G17" s="594"/>
      <c r="H17" s="594"/>
    </row>
    <row r="18" spans="1:14" ht="26.25" customHeight="1" x14ac:dyDescent="0.4">
      <c r="A18" s="100" t="s">
        <v>33</v>
      </c>
      <c r="B18" s="590" t="s">
        <v>5</v>
      </c>
      <c r="C18" s="590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595" t="s">
        <v>141</v>
      </c>
      <c r="C20" s="595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595" t="s">
        <v>11</v>
      </c>
      <c r="C21" s="595"/>
      <c r="D21" s="595"/>
      <c r="E21" s="595"/>
      <c r="F21" s="595"/>
      <c r="G21" s="595"/>
      <c r="H21" s="595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90"/>
      <c r="C26" s="590"/>
    </row>
    <row r="27" spans="1:14" ht="26.25" customHeight="1" x14ac:dyDescent="0.4">
      <c r="A27" s="109" t="s">
        <v>48</v>
      </c>
      <c r="B27" s="588"/>
      <c r="C27" s="588"/>
    </row>
    <row r="28" spans="1:14" ht="27" customHeight="1" x14ac:dyDescent="0.4">
      <c r="A28" s="109" t="s">
        <v>6</v>
      </c>
      <c r="B28" s="110">
        <v>100.4</v>
      </c>
    </row>
    <row r="29" spans="1:14" s="14" customFormat="1" ht="27" customHeight="1" x14ac:dyDescent="0.4">
      <c r="A29" s="109" t="s">
        <v>49</v>
      </c>
      <c r="B29" s="111">
        <v>0</v>
      </c>
      <c r="C29" s="565" t="s">
        <v>50</v>
      </c>
      <c r="D29" s="566"/>
      <c r="E29" s="566"/>
      <c r="F29" s="566"/>
      <c r="G29" s="567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100.4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568" t="s">
        <v>53</v>
      </c>
      <c r="D31" s="569"/>
      <c r="E31" s="569"/>
      <c r="F31" s="569"/>
      <c r="G31" s="569"/>
      <c r="H31" s="570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568" t="s">
        <v>55</v>
      </c>
      <c r="D32" s="569"/>
      <c r="E32" s="569"/>
      <c r="F32" s="569"/>
      <c r="G32" s="569"/>
      <c r="H32" s="570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20</v>
      </c>
      <c r="C36" s="99"/>
      <c r="D36" s="571" t="s">
        <v>59</v>
      </c>
      <c r="E36" s="589"/>
      <c r="F36" s="571" t="s">
        <v>60</v>
      </c>
      <c r="G36" s="572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4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5</v>
      </c>
      <c r="C38" s="131">
        <v>1</v>
      </c>
      <c r="D38" s="132">
        <v>42467769</v>
      </c>
      <c r="E38" s="133">
        <f>IF(ISBLANK(D38),"-",$D$48/$D$45*D38)</f>
        <v>57429274.123635784</v>
      </c>
      <c r="F38" s="132">
        <v>40307370</v>
      </c>
      <c r="G38" s="134">
        <f>IF(ISBLANK(F38),"-",$D$48/$F$45*F38)</f>
        <v>57726394.078593604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4</v>
      </c>
      <c r="C39" s="136">
        <v>2</v>
      </c>
      <c r="D39" s="137">
        <v>42746526</v>
      </c>
      <c r="E39" s="138">
        <f>IF(ISBLANK(D39),"-",$D$48/$D$45*D39)</f>
        <v>57806237.937460862</v>
      </c>
      <c r="F39" s="137">
        <v>40207029</v>
      </c>
      <c r="G39" s="139">
        <f>IF(ISBLANK(F39),"-",$D$48/$F$45*F39)</f>
        <v>57582690.232169487</v>
      </c>
      <c r="I39" s="573">
        <f>ABS((F43/D43*D42)-F42)/D42</f>
        <v>1.0284130346300663E-3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50</v>
      </c>
      <c r="C40" s="136">
        <v>3</v>
      </c>
      <c r="D40" s="137">
        <v>42810514</v>
      </c>
      <c r="E40" s="138">
        <f>IF(ISBLANK(D40),"-",$D$48/$D$45*D40)</f>
        <v>57892769.07576067</v>
      </c>
      <c r="F40" s="137">
        <v>40240507</v>
      </c>
      <c r="G40" s="139">
        <f>IF(ISBLANK(F40),"-",$D$48/$F$45*F40)</f>
        <v>57630635.911110163</v>
      </c>
      <c r="I40" s="573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42674936.333333336</v>
      </c>
      <c r="E42" s="148">
        <f>AVERAGE(E38:E41)</f>
        <v>57709427.0456191</v>
      </c>
      <c r="F42" s="147">
        <f>AVERAGE(F38:F41)</f>
        <v>40251635.333333336</v>
      </c>
      <c r="G42" s="149">
        <f>AVERAGE(G38:G41)</f>
        <v>57646573.407291085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13.81</v>
      </c>
      <c r="E43" s="140"/>
      <c r="F43" s="152">
        <v>13.04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13.81</v>
      </c>
      <c r="E44" s="155"/>
      <c r="F44" s="154">
        <f>F43*$B$34</f>
        <v>13.04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312.5</v>
      </c>
      <c r="C45" s="153" t="s">
        <v>77</v>
      </c>
      <c r="D45" s="157">
        <f>D44*$B$30/100</f>
        <v>13.865240000000002</v>
      </c>
      <c r="E45" s="158"/>
      <c r="F45" s="157">
        <f>F44*$B$30/100</f>
        <v>13.09216</v>
      </c>
      <c r="H45" s="150"/>
    </row>
    <row r="46" spans="1:14" ht="19.5" customHeight="1" x14ac:dyDescent="0.3">
      <c r="A46" s="559" t="s">
        <v>78</v>
      </c>
      <c r="B46" s="560"/>
      <c r="C46" s="153" t="s">
        <v>79</v>
      </c>
      <c r="D46" s="159">
        <f>D45/$B$45</f>
        <v>4.4368768000000003E-2</v>
      </c>
      <c r="E46" s="160"/>
      <c r="F46" s="161">
        <f>F45/$B$45</f>
        <v>4.1894911999999999E-2</v>
      </c>
      <c r="H46" s="150"/>
    </row>
    <row r="47" spans="1:14" ht="27" customHeight="1" x14ac:dyDescent="0.4">
      <c r="A47" s="561"/>
      <c r="B47" s="562"/>
      <c r="C47" s="162" t="s">
        <v>80</v>
      </c>
      <c r="D47" s="163">
        <v>0.06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18.75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18.75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57678000.226455092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2.881435130544883E-3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177" t="s">
        <v>87</v>
      </c>
      <c r="B56" s="178">
        <v>300</v>
      </c>
      <c r="C56" s="99" t="str">
        <f>B20</f>
        <v>Lamivudine</v>
      </c>
      <c r="H56" s="179"/>
    </row>
    <row r="57" spans="1:12" ht="18.75" x14ac:dyDescent="0.3">
      <c r="A57" s="176" t="s">
        <v>88</v>
      </c>
      <c r="B57" s="268">
        <f>Uniformity!C46</f>
        <v>1892.8215000000005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576" t="s">
        <v>94</v>
      </c>
      <c r="D60" s="579">
        <v>1905.91</v>
      </c>
      <c r="E60" s="182">
        <v>1</v>
      </c>
      <c r="F60" s="183">
        <v>60085272</v>
      </c>
      <c r="G60" s="269">
        <f>IF(ISBLANK(F60),"-",(F60/$D$50*$D$47*$B$68)*($B$57/$D$60))</f>
        <v>310.37473620135302</v>
      </c>
      <c r="H60" s="184">
        <f t="shared" ref="H60:H71" si="0">IF(ISBLANK(F60),"-",G60/$B$56)</f>
        <v>1.0345824540045101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577"/>
      <c r="D61" s="580"/>
      <c r="E61" s="185">
        <v>2</v>
      </c>
      <c r="F61" s="137">
        <v>57635428</v>
      </c>
      <c r="G61" s="270">
        <f>IF(ISBLANK(F61),"-",(F61/$D$50*$D$47*$B$68)*($B$57/$D$60))</f>
        <v>297.71989317701809</v>
      </c>
      <c r="H61" s="186">
        <f t="shared" si="0"/>
        <v>0.99239964392339364</v>
      </c>
      <c r="L61" s="112"/>
    </row>
    <row r="62" spans="1:12" s="14" customFormat="1" ht="26.25" customHeight="1" x14ac:dyDescent="0.4">
      <c r="A62" s="124" t="s">
        <v>96</v>
      </c>
      <c r="B62" s="125">
        <v>10</v>
      </c>
      <c r="C62" s="577"/>
      <c r="D62" s="580"/>
      <c r="E62" s="185">
        <v>3</v>
      </c>
      <c r="F62" s="187">
        <v>57596346</v>
      </c>
      <c r="G62" s="270">
        <f>IF(ISBLANK(F62),"-",(F62/$D$50*$D$47*$B$68)*($B$57/$D$60))</f>
        <v>297.51801233273693</v>
      </c>
      <c r="H62" s="186">
        <f t="shared" si="0"/>
        <v>0.99172670777578975</v>
      </c>
      <c r="L62" s="112"/>
    </row>
    <row r="63" spans="1:12" ht="27" customHeight="1" x14ac:dyDescent="0.4">
      <c r="A63" s="124" t="s">
        <v>97</v>
      </c>
      <c r="B63" s="125">
        <v>50</v>
      </c>
      <c r="C63" s="587"/>
      <c r="D63" s="581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76" t="s">
        <v>99</v>
      </c>
      <c r="D64" s="579">
        <v>1903.73</v>
      </c>
      <c r="E64" s="182">
        <v>1</v>
      </c>
      <c r="F64" s="183">
        <v>58155901</v>
      </c>
      <c r="G64" s="271">
        <f>IF(ISBLANK(F64),"-",(F64/$D$50*$D$47*$B$68)*($B$57/$D$64))</f>
        <v>300.75243720766463</v>
      </c>
      <c r="H64" s="190">
        <f t="shared" si="0"/>
        <v>1.0025081240255487</v>
      </c>
    </row>
    <row r="65" spans="1:8" ht="26.25" customHeight="1" x14ac:dyDescent="0.4">
      <c r="A65" s="124" t="s">
        <v>100</v>
      </c>
      <c r="B65" s="125">
        <v>1</v>
      </c>
      <c r="C65" s="577"/>
      <c r="D65" s="580"/>
      <c r="E65" s="185">
        <v>2</v>
      </c>
      <c r="F65" s="137"/>
      <c r="G65" s="272" t="str">
        <f>IF(ISBLANK(F65),"-",(F65/$D$50*$D$47*$B$68)*($B$57/$D$64))</f>
        <v>-</v>
      </c>
      <c r="H65" s="191" t="str">
        <f t="shared" si="0"/>
        <v>-</v>
      </c>
    </row>
    <row r="66" spans="1:8" ht="26.25" customHeight="1" x14ac:dyDescent="0.4">
      <c r="A66" s="124" t="s">
        <v>101</v>
      </c>
      <c r="B66" s="125">
        <v>1</v>
      </c>
      <c r="C66" s="577"/>
      <c r="D66" s="580"/>
      <c r="E66" s="185">
        <v>3</v>
      </c>
      <c r="F66" s="137">
        <v>57842214</v>
      </c>
      <c r="G66" s="272">
        <f>IF(ISBLANK(F66),"-",(F66/$D$50*$D$47*$B$68)*($B$57/$D$64))</f>
        <v>299.13020922824848</v>
      </c>
      <c r="H66" s="191">
        <f t="shared" si="0"/>
        <v>0.99710069742749496</v>
      </c>
    </row>
    <row r="67" spans="1:8" ht="27" customHeight="1" x14ac:dyDescent="0.4">
      <c r="A67" s="124" t="s">
        <v>102</v>
      </c>
      <c r="B67" s="125">
        <v>1</v>
      </c>
      <c r="C67" s="587"/>
      <c r="D67" s="581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5000</v>
      </c>
      <c r="C68" s="576" t="s">
        <v>104</v>
      </c>
      <c r="D68" s="579">
        <v>1907.13</v>
      </c>
      <c r="E68" s="182">
        <v>1</v>
      </c>
      <c r="F68" s="183"/>
      <c r="G68" s="271" t="str">
        <f>IF(ISBLANK(F68),"-",(F68/$D$50*$D$47*$B$68)*($B$57/$D$68))</f>
        <v>-</v>
      </c>
      <c r="H68" s="186" t="str">
        <f t="shared" si="0"/>
        <v>-</v>
      </c>
    </row>
    <row r="69" spans="1:8" ht="27" customHeight="1" x14ac:dyDescent="0.4">
      <c r="A69" s="172" t="s">
        <v>105</v>
      </c>
      <c r="B69" s="194">
        <f>(D47*B68)/B56*B57</f>
        <v>1892.8215000000005</v>
      </c>
      <c r="C69" s="577"/>
      <c r="D69" s="580"/>
      <c r="E69" s="185">
        <v>2</v>
      </c>
      <c r="F69" s="137"/>
      <c r="G69" s="272" t="str">
        <f>IF(ISBLANK(F69),"-",(F69/$D$50*$D$47*$B$68)*($B$57/$D$68))</f>
        <v>-</v>
      </c>
      <c r="H69" s="186" t="str">
        <f t="shared" si="0"/>
        <v>-</v>
      </c>
    </row>
    <row r="70" spans="1:8" ht="26.25" customHeight="1" x14ac:dyDescent="0.4">
      <c r="A70" s="582" t="s">
        <v>78</v>
      </c>
      <c r="B70" s="583"/>
      <c r="C70" s="577"/>
      <c r="D70" s="580"/>
      <c r="E70" s="185">
        <v>3</v>
      </c>
      <c r="F70" s="137">
        <v>58722535</v>
      </c>
      <c r="G70" s="272">
        <f>IF(ISBLANK(F70),"-",(F70/$D$50*$D$47*$B$68)*($B$57/$D$68))</f>
        <v>303.14137643632529</v>
      </c>
      <c r="H70" s="186">
        <f t="shared" si="0"/>
        <v>1.010471254787751</v>
      </c>
    </row>
    <row r="71" spans="1:8" ht="27" customHeight="1" x14ac:dyDescent="0.4">
      <c r="A71" s="584"/>
      <c r="B71" s="585"/>
      <c r="C71" s="578"/>
      <c r="D71" s="581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301.43944409722445</v>
      </c>
      <c r="H72" s="199">
        <f>AVERAGE(H60:H71)</f>
        <v>1.0047981469907479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1.6099091434591133E-2</v>
      </c>
      <c r="H73" s="274">
        <f>STDEV(H60:H71)/H72</f>
        <v>1.6099091434591158E-2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6</v>
      </c>
      <c r="H74" s="203">
        <f>COUNT(H60:H71)</f>
        <v>6</v>
      </c>
    </row>
    <row r="76" spans="1:8" ht="26.25" customHeight="1" x14ac:dyDescent="0.4">
      <c r="A76" s="108" t="s">
        <v>106</v>
      </c>
      <c r="B76" s="204" t="s">
        <v>107</v>
      </c>
      <c r="C76" s="563" t="str">
        <f>B20</f>
        <v>Lamivudine</v>
      </c>
      <c r="D76" s="563"/>
      <c r="E76" s="205" t="s">
        <v>108</v>
      </c>
      <c r="F76" s="205"/>
      <c r="G76" s="206">
        <f>H72</f>
        <v>1.0047981469907479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86" t="s">
        <v>141</v>
      </c>
      <c r="C79" s="586"/>
    </row>
    <row r="80" spans="1:8" ht="26.25" customHeight="1" x14ac:dyDescent="0.4">
      <c r="A80" s="109" t="s">
        <v>48</v>
      </c>
      <c r="B80" s="586" t="s">
        <v>142</v>
      </c>
      <c r="C80" s="586"/>
    </row>
    <row r="81" spans="1:12" ht="27" customHeight="1" x14ac:dyDescent="0.4">
      <c r="A81" s="109" t="s">
        <v>6</v>
      </c>
      <c r="B81" s="208">
        <f>B28</f>
        <v>100.4</v>
      </c>
    </row>
    <row r="82" spans="1:12" s="14" customFormat="1" ht="27" customHeight="1" x14ac:dyDescent="0.4">
      <c r="A82" s="109" t="s">
        <v>49</v>
      </c>
      <c r="B82" s="111">
        <v>0</v>
      </c>
      <c r="C82" s="565" t="s">
        <v>50</v>
      </c>
      <c r="D82" s="566"/>
      <c r="E82" s="566"/>
      <c r="F82" s="566"/>
      <c r="G82" s="567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100.4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568" t="s">
        <v>111</v>
      </c>
      <c r="D84" s="569"/>
      <c r="E84" s="569"/>
      <c r="F84" s="569"/>
      <c r="G84" s="569"/>
      <c r="H84" s="570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568" t="s">
        <v>112</v>
      </c>
      <c r="D85" s="569"/>
      <c r="E85" s="569"/>
      <c r="F85" s="569"/>
      <c r="G85" s="569"/>
      <c r="H85" s="570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20</v>
      </c>
      <c r="D89" s="209" t="s">
        <v>59</v>
      </c>
      <c r="E89" s="210"/>
      <c r="F89" s="571" t="s">
        <v>60</v>
      </c>
      <c r="G89" s="572"/>
    </row>
    <row r="90" spans="1:12" ht="27" customHeight="1" x14ac:dyDescent="0.4">
      <c r="A90" s="124" t="s">
        <v>61</v>
      </c>
      <c r="B90" s="125">
        <v>3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</v>
      </c>
      <c r="C91" s="213">
        <v>1</v>
      </c>
      <c r="D91" s="132">
        <v>5155652</v>
      </c>
      <c r="E91" s="133">
        <f>IF(ISBLANK(D91),"-",$D$101/$D$98*D91)</f>
        <v>7436801.6709411442</v>
      </c>
      <c r="F91" s="132">
        <v>4876530</v>
      </c>
      <c r="G91" s="134">
        <f>IF(ISBLANK(F91),"-",$D$101/$F$98*F91)</f>
        <v>7449542.3215114996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5157306</v>
      </c>
      <c r="E92" s="138">
        <f>IF(ISBLANK(D92),"-",$D$101/$D$98*D92)</f>
        <v>7439187.4933286402</v>
      </c>
      <c r="F92" s="137">
        <v>4858860</v>
      </c>
      <c r="G92" s="139">
        <f>IF(ISBLANK(F92),"-",$D$101/$F$98*F92)</f>
        <v>7422549.0675335471</v>
      </c>
      <c r="I92" s="573">
        <f>ABS((F96/D96*D95)-F95)/D95</f>
        <v>3.9538364212258407E-4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5155786</v>
      </c>
      <c r="E93" s="138">
        <f>IF(ISBLANK(D93),"-",$D$101/$D$98*D93)</f>
        <v>7436994.9600583902</v>
      </c>
      <c r="F93" s="137">
        <v>4876984</v>
      </c>
      <c r="G93" s="139">
        <f>IF(ISBLANK(F93),"-",$D$101/$F$98*F93)</f>
        <v>7450235.8663505483</v>
      </c>
      <c r="I93" s="573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5156248</v>
      </c>
      <c r="E95" s="148">
        <f>AVERAGE(E91:E94)</f>
        <v>7437661.3747760579</v>
      </c>
      <c r="F95" s="218">
        <f>AVERAGE(F91:F94)</f>
        <v>4870791.333333333</v>
      </c>
      <c r="G95" s="219">
        <f>AVERAGE(G91:G94)</f>
        <v>7440775.751798532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13.81</v>
      </c>
      <c r="E96" s="140"/>
      <c r="F96" s="152">
        <v>13.04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13.81</v>
      </c>
      <c r="E97" s="155"/>
      <c r="F97" s="154">
        <f>F96*$B$87</f>
        <v>13.04</v>
      </c>
    </row>
    <row r="98" spans="1:10" ht="19.5" customHeight="1" x14ac:dyDescent="0.3">
      <c r="A98" s="124" t="s">
        <v>76</v>
      </c>
      <c r="B98" s="224">
        <f>(B97/B96)*(B95/B94)*(B93/B92)*(B91/B90)*B89</f>
        <v>66.666666666666671</v>
      </c>
      <c r="C98" s="222" t="s">
        <v>115</v>
      </c>
      <c r="D98" s="225">
        <f>D97*$B$83/100</f>
        <v>13.865240000000002</v>
      </c>
      <c r="E98" s="158"/>
      <c r="F98" s="157">
        <f>F97*$B$83/100</f>
        <v>13.09216</v>
      </c>
    </row>
    <row r="99" spans="1:10" ht="19.5" customHeight="1" x14ac:dyDescent="0.3">
      <c r="A99" s="559" t="s">
        <v>78</v>
      </c>
      <c r="B99" s="574"/>
      <c r="C99" s="222" t="s">
        <v>116</v>
      </c>
      <c r="D99" s="226">
        <f>D98/$B$98</f>
        <v>0.20797860000000001</v>
      </c>
      <c r="E99" s="158"/>
      <c r="F99" s="161">
        <f>F98/$B$98</f>
        <v>0.19638239999999998</v>
      </c>
      <c r="G99" s="227"/>
      <c r="H99" s="150"/>
    </row>
    <row r="100" spans="1:10" ht="19.5" customHeight="1" x14ac:dyDescent="0.3">
      <c r="A100" s="561"/>
      <c r="B100" s="575"/>
      <c r="C100" s="222" t="s">
        <v>80</v>
      </c>
      <c r="D100" s="228">
        <f>$B$56/$B$116</f>
        <v>0.3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20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20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7439218.5632872945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1.366385348250866E-3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1000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6790575</v>
      </c>
      <c r="E108" s="275">
        <f t="shared" ref="E108:E113" si="1">IF(ISBLANK(D108),"-",D108/$D$103*$D$100*$B$116)</f>
        <v>273.84227021551573</v>
      </c>
      <c r="F108" s="245">
        <f t="shared" ref="F108:F113" si="2">IF(ISBLANK(D108), "-", E108/$B$56)</f>
        <v>0.91280756738505242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6901943</v>
      </c>
      <c r="E109" s="276">
        <f t="shared" si="1"/>
        <v>278.33338708696795</v>
      </c>
      <c r="F109" s="246">
        <f t="shared" si="2"/>
        <v>0.92777795695655985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6913721</v>
      </c>
      <c r="E110" s="276">
        <f t="shared" si="1"/>
        <v>278.80835632868872</v>
      </c>
      <c r="F110" s="246">
        <f t="shared" si="2"/>
        <v>0.9293611877622957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6074596</v>
      </c>
      <c r="E111" s="276">
        <f t="shared" si="1"/>
        <v>244.96911664801445</v>
      </c>
      <c r="F111" s="246">
        <f t="shared" si="2"/>
        <v>0.81656372216004813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6059587</v>
      </c>
      <c r="E112" s="276">
        <f t="shared" si="1"/>
        <v>244.36385146300958</v>
      </c>
      <c r="F112" s="246">
        <f t="shared" si="2"/>
        <v>0.81454617154336528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6418131</v>
      </c>
      <c r="E113" s="277">
        <f t="shared" si="1"/>
        <v>258.82278946636745</v>
      </c>
      <c r="F113" s="249">
        <f t="shared" si="2"/>
        <v>0.86274263155455821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263.18996186809392</v>
      </c>
      <c r="F115" s="252">
        <f>AVERAGE(F108:F113)</f>
        <v>0.87729987289364653</v>
      </c>
    </row>
    <row r="116" spans="1:10" ht="27" customHeight="1" x14ac:dyDescent="0.4">
      <c r="A116" s="124" t="s">
        <v>103</v>
      </c>
      <c r="B116" s="156">
        <f>(B115/B114)*(B113/B112)*(B111/B110)*(B109/B108)*B107</f>
        <v>1000</v>
      </c>
      <c r="C116" s="253"/>
      <c r="D116" s="216" t="s">
        <v>84</v>
      </c>
      <c r="E116" s="254">
        <f>STDEV(E108:E113)/E115</f>
        <v>6.1082165097178856E-2</v>
      </c>
      <c r="F116" s="254">
        <f>STDEV(F108:F113)/F115</f>
        <v>6.1082165097178856E-2</v>
      </c>
      <c r="I116" s="98"/>
    </row>
    <row r="117" spans="1:10" ht="27" customHeight="1" x14ac:dyDescent="0.4">
      <c r="A117" s="559" t="s">
        <v>78</v>
      </c>
      <c r="B117" s="560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561"/>
      <c r="B118" s="562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563" t="str">
        <f>B20</f>
        <v>Lamivudine</v>
      </c>
      <c r="D120" s="563"/>
      <c r="E120" s="205" t="s">
        <v>124</v>
      </c>
      <c r="F120" s="205"/>
      <c r="G120" s="206">
        <f>F115</f>
        <v>0.87729987289364653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564" t="s">
        <v>26</v>
      </c>
      <c r="C122" s="564"/>
      <c r="E122" s="211" t="s">
        <v>27</v>
      </c>
      <c r="F122" s="260"/>
      <c r="G122" s="564" t="s">
        <v>28</v>
      </c>
      <c r="H122" s="564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1" priority="1" operator="greaterThan">
      <formula>0.02</formula>
    </cfRule>
  </conditionalFormatting>
  <conditionalFormatting sqref="D51">
    <cfRule type="cellIs" dxfId="10" priority="2" operator="greaterThan">
      <formula>0.02</formula>
    </cfRule>
  </conditionalFormatting>
  <conditionalFormatting sqref="G73">
    <cfRule type="cellIs" dxfId="9" priority="3" operator="greaterThan">
      <formula>0.02</formula>
    </cfRule>
  </conditionalFormatting>
  <conditionalFormatting sqref="H73">
    <cfRule type="cellIs" dxfId="8" priority="4" operator="greaterThan">
      <formula>0.02</formula>
    </cfRule>
  </conditionalFormatting>
  <conditionalFormatting sqref="D104">
    <cfRule type="cellIs" dxfId="7" priority="5" operator="greaterThan">
      <formula>0.02</formula>
    </cfRule>
  </conditionalFormatting>
  <conditionalFormatting sqref="I39">
    <cfRule type="cellIs" dxfId="6" priority="6" operator="lessThanOrEqual">
      <formula>0.02</formula>
    </cfRule>
  </conditionalFormatting>
  <conditionalFormatting sqref="I39">
    <cfRule type="cellIs" dxfId="5" priority="7" operator="greaterThan">
      <formula>0.02</formula>
    </cfRule>
  </conditionalFormatting>
  <conditionalFormatting sqref="I92">
    <cfRule type="cellIs" dxfId="4" priority="8" operator="lessThanOrEqual">
      <formula>0.02</formula>
    </cfRule>
  </conditionalFormatting>
  <conditionalFormatting sqref="I92">
    <cfRule type="cellIs" dxfId="3" priority="9" operator="greaterThan">
      <formula>0.02</formula>
    </cfRule>
  </conditionalFormatting>
  <pageMargins left="0.10677083333333333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view="pageBreakPreview" topLeftCell="A43" zoomScale="55" zoomScaleNormal="75" workbookViewId="0">
      <selection activeCell="D151" sqref="D151:D156"/>
    </sheetView>
  </sheetViews>
  <sheetFormatPr defaultRowHeight="16.5" x14ac:dyDescent="0.3"/>
  <cols>
    <col min="1" max="1" width="55.42578125" style="19" customWidth="1"/>
    <col min="2" max="2" width="33.7109375" style="19" customWidth="1"/>
    <col min="3" max="3" width="42.28515625" style="19" customWidth="1"/>
    <col min="4" max="4" width="30.5703125" style="19" customWidth="1"/>
    <col min="5" max="5" width="39.85546875" style="19" customWidth="1"/>
    <col min="6" max="6" width="30.7109375" style="19" customWidth="1"/>
    <col min="7" max="7" width="36.42578125" style="19" customWidth="1"/>
    <col min="8" max="8" width="41.140625" style="19" customWidth="1"/>
    <col min="9" max="9" width="30.42578125" style="1" customWidth="1"/>
    <col min="10" max="10" width="21.28515625" style="1" customWidth="1"/>
    <col min="11" max="11" width="9.140625" style="1" customWidth="1"/>
  </cols>
  <sheetData>
    <row r="1" spans="1:8" ht="15" x14ac:dyDescent="0.3">
      <c r="A1" s="557" t="s">
        <v>45</v>
      </c>
      <c r="B1" s="557"/>
      <c r="C1" s="557"/>
      <c r="D1" s="557"/>
      <c r="E1" s="557"/>
      <c r="F1" s="557"/>
      <c r="G1" s="557"/>
      <c r="H1" s="557"/>
    </row>
    <row r="2" spans="1:8" ht="15" x14ac:dyDescent="0.3">
      <c r="A2" s="557"/>
      <c r="B2" s="557"/>
      <c r="C2" s="557"/>
      <c r="D2" s="557"/>
      <c r="E2" s="557"/>
      <c r="F2" s="557"/>
      <c r="G2" s="557"/>
      <c r="H2" s="557"/>
    </row>
    <row r="3" spans="1:8" ht="15" x14ac:dyDescent="0.3">
      <c r="A3" s="557"/>
      <c r="B3" s="557"/>
      <c r="C3" s="557"/>
      <c r="D3" s="557"/>
      <c r="E3" s="557"/>
      <c r="F3" s="557"/>
      <c r="G3" s="557"/>
      <c r="H3" s="557"/>
    </row>
    <row r="4" spans="1:8" ht="15" x14ac:dyDescent="0.3">
      <c r="A4" s="557"/>
      <c r="B4" s="557"/>
      <c r="C4" s="557"/>
      <c r="D4" s="557"/>
      <c r="E4" s="557"/>
      <c r="F4" s="557"/>
      <c r="G4" s="557"/>
      <c r="H4" s="557"/>
    </row>
    <row r="5" spans="1:8" ht="15" x14ac:dyDescent="0.3">
      <c r="A5" s="557"/>
      <c r="B5" s="557"/>
      <c r="C5" s="557"/>
      <c r="D5" s="557"/>
      <c r="E5" s="557"/>
      <c r="F5" s="557"/>
      <c r="G5" s="557"/>
      <c r="H5" s="557"/>
    </row>
    <row r="6" spans="1:8" ht="15" x14ac:dyDescent="0.3">
      <c r="A6" s="557"/>
      <c r="B6" s="557"/>
      <c r="C6" s="557"/>
      <c r="D6" s="557"/>
      <c r="E6" s="557"/>
      <c r="F6" s="557"/>
      <c r="G6" s="557"/>
      <c r="H6" s="557"/>
    </row>
    <row r="7" spans="1:8" ht="15" x14ac:dyDescent="0.3">
      <c r="A7" s="557"/>
      <c r="B7" s="557"/>
      <c r="C7" s="557"/>
      <c r="D7" s="557"/>
      <c r="E7" s="557"/>
      <c r="F7" s="557"/>
      <c r="G7" s="557"/>
      <c r="H7" s="557"/>
    </row>
    <row r="8" spans="1:8" ht="15" x14ac:dyDescent="0.3">
      <c r="A8" s="558" t="s">
        <v>46</v>
      </c>
      <c r="B8" s="558"/>
      <c r="C8" s="558"/>
      <c r="D8" s="558"/>
      <c r="E8" s="558"/>
      <c r="F8" s="558"/>
      <c r="G8" s="558"/>
      <c r="H8" s="558"/>
    </row>
    <row r="9" spans="1:8" ht="15" x14ac:dyDescent="0.3">
      <c r="A9" s="558"/>
      <c r="B9" s="558"/>
      <c r="C9" s="558"/>
      <c r="D9" s="558"/>
      <c r="E9" s="558"/>
      <c r="F9" s="558"/>
      <c r="G9" s="558"/>
      <c r="H9" s="558"/>
    </row>
    <row r="10" spans="1:8" ht="15" x14ac:dyDescent="0.3">
      <c r="A10" s="558"/>
      <c r="B10" s="558"/>
      <c r="C10" s="558"/>
      <c r="D10" s="558"/>
      <c r="E10" s="558"/>
      <c r="F10" s="558"/>
      <c r="G10" s="558"/>
      <c r="H10" s="558"/>
    </row>
    <row r="11" spans="1:8" ht="15" x14ac:dyDescent="0.3">
      <c r="A11" s="558"/>
      <c r="B11" s="558"/>
      <c r="C11" s="558"/>
      <c r="D11" s="558"/>
      <c r="E11" s="558"/>
      <c r="F11" s="558"/>
      <c r="G11" s="558"/>
      <c r="H11" s="558"/>
    </row>
    <row r="12" spans="1:8" ht="15" x14ac:dyDescent="0.3">
      <c r="A12" s="558"/>
      <c r="B12" s="558"/>
      <c r="C12" s="558"/>
      <c r="D12" s="558"/>
      <c r="E12" s="558"/>
      <c r="F12" s="558"/>
      <c r="G12" s="558"/>
      <c r="H12" s="558"/>
    </row>
    <row r="13" spans="1:8" ht="15" x14ac:dyDescent="0.3">
      <c r="A13" s="558"/>
      <c r="B13" s="558"/>
      <c r="C13" s="558"/>
      <c r="D13" s="558"/>
      <c r="E13" s="558"/>
      <c r="F13" s="558"/>
      <c r="G13" s="558"/>
      <c r="H13" s="558"/>
    </row>
    <row r="14" spans="1:8" ht="15" x14ac:dyDescent="0.3">
      <c r="A14" s="558"/>
      <c r="B14" s="558"/>
      <c r="C14" s="558"/>
      <c r="D14" s="558"/>
      <c r="E14" s="558"/>
      <c r="F14" s="558"/>
      <c r="G14" s="558"/>
      <c r="H14" s="558"/>
    </row>
    <row r="15" spans="1:8" ht="19.5" customHeight="1" x14ac:dyDescent="0.3"/>
    <row r="16" spans="1:8" ht="19.5" customHeight="1" x14ac:dyDescent="0.3">
      <c r="A16" s="596" t="s">
        <v>31</v>
      </c>
      <c r="B16" s="597"/>
      <c r="C16" s="597"/>
      <c r="D16" s="597"/>
      <c r="E16" s="597"/>
      <c r="F16" s="597"/>
      <c r="G16" s="597"/>
      <c r="H16" s="598"/>
    </row>
    <row r="17" spans="1:13" ht="20.25" customHeight="1" x14ac:dyDescent="0.3">
      <c r="A17" s="594" t="s">
        <v>47</v>
      </c>
      <c r="B17" s="594"/>
      <c r="C17" s="594"/>
      <c r="D17" s="594"/>
      <c r="E17" s="594"/>
      <c r="F17" s="594"/>
      <c r="G17" s="594"/>
      <c r="H17" s="594"/>
    </row>
    <row r="18" spans="1:13" ht="26.25" customHeight="1" x14ac:dyDescent="0.3">
      <c r="A18" s="300" t="s">
        <v>33</v>
      </c>
      <c r="B18" s="599" t="s">
        <v>5</v>
      </c>
      <c r="C18" s="599"/>
      <c r="D18" s="301"/>
      <c r="E18" s="301"/>
    </row>
    <row r="19" spans="1:13" ht="26.25" customHeight="1" x14ac:dyDescent="0.3">
      <c r="A19" s="300" t="s">
        <v>34</v>
      </c>
      <c r="B19" s="302" t="s">
        <v>7</v>
      </c>
      <c r="C19" s="299">
        <v>11</v>
      </c>
    </row>
    <row r="20" spans="1:13" ht="26.25" customHeight="1" x14ac:dyDescent="0.3">
      <c r="A20" s="300" t="s">
        <v>35</v>
      </c>
      <c r="B20" s="302" t="s">
        <v>143</v>
      </c>
    </row>
    <row r="21" spans="1:13" ht="26.25" customHeight="1" x14ac:dyDescent="0.3">
      <c r="A21" s="300" t="s">
        <v>36</v>
      </c>
      <c r="B21" s="303" t="s">
        <v>11</v>
      </c>
      <c r="C21" s="304"/>
      <c r="D21" s="304"/>
      <c r="E21" s="304"/>
      <c r="F21" s="304"/>
      <c r="G21" s="304"/>
      <c r="H21" s="304"/>
    </row>
    <row r="22" spans="1:13" ht="26.25" customHeight="1" x14ac:dyDescent="0.3">
      <c r="A22" s="300" t="s">
        <v>37</v>
      </c>
      <c r="B22" s="305" t="s">
        <v>12</v>
      </c>
    </row>
    <row r="23" spans="1:13" ht="26.25" customHeight="1" x14ac:dyDescent="0.3">
      <c r="A23" s="300" t="s">
        <v>38</v>
      </c>
      <c r="B23" s="305"/>
    </row>
    <row r="24" spans="1:13" ht="18.75" x14ac:dyDescent="0.3">
      <c r="A24" s="300"/>
      <c r="B24" s="306"/>
    </row>
    <row r="25" spans="1:13" ht="18.75" x14ac:dyDescent="0.3">
      <c r="A25" s="307" t="s">
        <v>1</v>
      </c>
      <c r="B25" s="306"/>
    </row>
    <row r="26" spans="1:13" ht="26.25" customHeight="1" x14ac:dyDescent="0.3">
      <c r="A26" s="308" t="s">
        <v>4</v>
      </c>
      <c r="B26" s="599" t="s">
        <v>140</v>
      </c>
      <c r="C26" s="599"/>
    </row>
    <row r="27" spans="1:13" ht="26.25" customHeight="1" x14ac:dyDescent="0.3">
      <c r="A27" s="309" t="s">
        <v>48</v>
      </c>
      <c r="B27" s="600" t="s">
        <v>139</v>
      </c>
      <c r="C27" s="600"/>
    </row>
    <row r="28" spans="1:13" ht="27" customHeight="1" x14ac:dyDescent="0.3">
      <c r="A28" s="309" t="s">
        <v>6</v>
      </c>
      <c r="B28" s="310">
        <v>99.3</v>
      </c>
    </row>
    <row r="29" spans="1:13" s="2" customFormat="1" ht="15.75" customHeight="1" x14ac:dyDescent="0.25">
      <c r="A29" s="309" t="s">
        <v>49</v>
      </c>
      <c r="B29" s="311">
        <v>0</v>
      </c>
      <c r="C29" s="565" t="s">
        <v>125</v>
      </c>
      <c r="D29" s="566"/>
      <c r="E29" s="566"/>
      <c r="F29" s="566"/>
      <c r="G29" s="567"/>
      <c r="H29" s="312"/>
      <c r="I29" s="282"/>
      <c r="J29" s="282"/>
      <c r="K29" s="282"/>
    </row>
    <row r="30" spans="1:13" s="2" customFormat="1" ht="19.5" customHeight="1" x14ac:dyDescent="0.25">
      <c r="A30" s="309" t="s">
        <v>51</v>
      </c>
      <c r="B30" s="313">
        <f>B28-B29</f>
        <v>99.3</v>
      </c>
      <c r="C30" s="314"/>
      <c r="D30" s="314"/>
      <c r="E30" s="314"/>
      <c r="F30" s="314"/>
      <c r="G30" s="315"/>
      <c r="H30" s="312"/>
      <c r="I30" s="282"/>
      <c r="J30" s="282"/>
      <c r="K30" s="282"/>
    </row>
    <row r="31" spans="1:13" s="2" customFormat="1" ht="27" customHeight="1" x14ac:dyDescent="0.25">
      <c r="A31" s="309" t="s">
        <v>52</v>
      </c>
      <c r="B31" s="316">
        <v>1</v>
      </c>
      <c r="C31" s="568" t="s">
        <v>53</v>
      </c>
      <c r="D31" s="569"/>
      <c r="E31" s="569"/>
      <c r="F31" s="569"/>
      <c r="G31" s="569"/>
      <c r="H31" s="570"/>
      <c r="I31" s="282"/>
      <c r="J31" s="282"/>
      <c r="K31" s="282"/>
    </row>
    <row r="32" spans="1:13" s="2" customFormat="1" ht="27" customHeight="1" x14ac:dyDescent="0.25">
      <c r="A32" s="309" t="s">
        <v>54</v>
      </c>
      <c r="B32" s="316">
        <v>1</v>
      </c>
      <c r="C32" s="568" t="s">
        <v>55</v>
      </c>
      <c r="D32" s="569"/>
      <c r="E32" s="569"/>
      <c r="F32" s="569"/>
      <c r="G32" s="569"/>
      <c r="H32" s="570"/>
      <c r="I32" s="282"/>
      <c r="J32" s="282"/>
      <c r="K32" s="283"/>
      <c r="L32" s="283"/>
      <c r="M32" s="284"/>
    </row>
    <row r="33" spans="1:13" s="2" customFormat="1" ht="17.25" customHeight="1" x14ac:dyDescent="0.25">
      <c r="A33" s="309"/>
      <c r="B33" s="317"/>
      <c r="C33" s="285"/>
      <c r="D33" s="285"/>
      <c r="E33" s="285"/>
      <c r="F33" s="285"/>
      <c r="G33" s="285"/>
      <c r="H33" s="285"/>
      <c r="I33" s="282"/>
      <c r="J33" s="282"/>
      <c r="K33" s="283"/>
      <c r="L33" s="283"/>
      <c r="M33" s="284"/>
    </row>
    <row r="34" spans="1:13" s="2" customFormat="1" ht="18.75" x14ac:dyDescent="0.25">
      <c r="A34" s="309" t="s">
        <v>56</v>
      </c>
      <c r="B34" s="318">
        <f>B31/B32</f>
        <v>1</v>
      </c>
      <c r="C34" s="299" t="s">
        <v>57</v>
      </c>
      <c r="D34" s="299"/>
      <c r="E34" s="299"/>
      <c r="F34" s="299"/>
      <c r="G34" s="299"/>
      <c r="H34" s="312"/>
      <c r="I34" s="282"/>
      <c r="J34" s="282"/>
      <c r="K34" s="283"/>
      <c r="L34" s="283"/>
      <c r="M34" s="284"/>
    </row>
    <row r="35" spans="1:13" s="2" customFormat="1" ht="19.5" customHeight="1" x14ac:dyDescent="0.25">
      <c r="A35" s="309"/>
      <c r="B35" s="313"/>
      <c r="C35" s="312"/>
      <c r="D35" s="312"/>
      <c r="E35" s="312"/>
      <c r="F35" s="312"/>
      <c r="G35" s="299"/>
      <c r="H35" s="312"/>
      <c r="I35" s="282"/>
      <c r="J35" s="282"/>
      <c r="K35" s="283"/>
      <c r="L35" s="283"/>
      <c r="M35" s="284"/>
    </row>
    <row r="36" spans="1:13" s="2" customFormat="1" ht="27" customHeight="1" x14ac:dyDescent="0.25">
      <c r="A36" s="319" t="s">
        <v>126</v>
      </c>
      <c r="B36" s="320">
        <v>5</v>
      </c>
      <c r="C36" s="299"/>
      <c r="D36" s="601" t="s">
        <v>59</v>
      </c>
      <c r="E36" s="603"/>
      <c r="F36" s="601" t="s">
        <v>60</v>
      </c>
      <c r="G36" s="602"/>
      <c r="H36" s="312"/>
      <c r="I36" s="282"/>
      <c r="J36" s="282"/>
      <c r="K36" s="283"/>
      <c r="L36" s="283"/>
      <c r="M36" s="284"/>
    </row>
    <row r="37" spans="1:13" s="2" customFormat="1" ht="26.25" customHeight="1" x14ac:dyDescent="0.25">
      <c r="A37" s="321" t="s">
        <v>61</v>
      </c>
      <c r="B37" s="322">
        <v>4</v>
      </c>
      <c r="C37" s="296" t="s">
        <v>62</v>
      </c>
      <c r="D37" s="323" t="s">
        <v>63</v>
      </c>
      <c r="E37" s="324" t="s">
        <v>64</v>
      </c>
      <c r="F37" s="323" t="s">
        <v>63</v>
      </c>
      <c r="G37" s="325" t="s">
        <v>64</v>
      </c>
      <c r="H37" s="312"/>
      <c r="I37" s="282"/>
      <c r="J37" s="282"/>
      <c r="K37" s="283"/>
      <c r="L37" s="283"/>
      <c r="M37" s="284"/>
    </row>
    <row r="38" spans="1:13" s="2" customFormat="1" ht="26.25" customHeight="1" x14ac:dyDescent="0.25">
      <c r="A38" s="321" t="s">
        <v>66</v>
      </c>
      <c r="B38" s="322">
        <v>10</v>
      </c>
      <c r="C38" s="326">
        <v>1</v>
      </c>
      <c r="D38" s="327">
        <v>105750699</v>
      </c>
      <c r="E38" s="298">
        <f>IF(ISBLANK(D38),"-",$D$48/$D$45*D38)</f>
        <v>79736576.973224089</v>
      </c>
      <c r="F38" s="327">
        <v>92157039</v>
      </c>
      <c r="G38" s="328">
        <f>IF(ISBLANK(F38),"-",$D$48/$F$45*F38)</f>
        <v>83041057.445064634</v>
      </c>
      <c r="H38" s="312"/>
      <c r="I38" s="282"/>
      <c r="J38" s="282"/>
      <c r="K38" s="283"/>
      <c r="L38" s="283"/>
      <c r="M38" s="284"/>
    </row>
    <row r="39" spans="1:13" s="2" customFormat="1" ht="26.25" customHeight="1" x14ac:dyDescent="0.25">
      <c r="A39" s="321" t="s">
        <v>67</v>
      </c>
      <c r="B39" s="322">
        <v>3</v>
      </c>
      <c r="C39" s="329">
        <v>2</v>
      </c>
      <c r="D39" s="330">
        <v>106285640</v>
      </c>
      <c r="E39" s="331">
        <f>IF(ISBLANK(D39),"-",$D$48/$D$45*D39)</f>
        <v>80139925.269036606</v>
      </c>
      <c r="F39" s="330">
        <v>91875897</v>
      </c>
      <c r="G39" s="332">
        <f>IF(ISBLANK(F39),"-",$D$48/$F$45*F39)</f>
        <v>82787725.42370683</v>
      </c>
      <c r="H39" s="312"/>
      <c r="I39" s="282"/>
      <c r="J39" s="282"/>
      <c r="K39" s="283"/>
      <c r="L39" s="283"/>
      <c r="M39" s="284"/>
    </row>
    <row r="40" spans="1:13" ht="26.25" customHeight="1" x14ac:dyDescent="0.3">
      <c r="A40" s="321" t="s">
        <v>68</v>
      </c>
      <c r="B40" s="322">
        <v>50</v>
      </c>
      <c r="C40" s="329">
        <v>3</v>
      </c>
      <c r="D40" s="330">
        <v>106465038</v>
      </c>
      <c r="E40" s="331">
        <f>IF(ISBLANK(D40),"-",$D$48/$D$45*D40)</f>
        <v>80275192.293946236</v>
      </c>
      <c r="F40" s="330">
        <v>91835680</v>
      </c>
      <c r="G40" s="332">
        <f>IF(ISBLANK(F40),"-",$D$48/$F$45*F40)</f>
        <v>82751486.605234504</v>
      </c>
      <c r="K40" s="283"/>
      <c r="L40" s="283"/>
      <c r="M40" s="286"/>
    </row>
    <row r="41" spans="1:13" ht="26.25" customHeight="1" x14ac:dyDescent="0.3">
      <c r="A41" s="321" t="s">
        <v>69</v>
      </c>
      <c r="B41" s="322">
        <v>1</v>
      </c>
      <c r="C41" s="333">
        <v>4</v>
      </c>
      <c r="D41" s="334"/>
      <c r="E41" s="335" t="str">
        <f>IF(ISBLANK(D41),"-",$D$48/$D$45*D41)</f>
        <v>-</v>
      </c>
      <c r="F41" s="334"/>
      <c r="G41" s="336" t="str">
        <f>IF(ISBLANK(F41),"-",$D$48/$F$45*F41)</f>
        <v>-</v>
      </c>
      <c r="K41" s="283"/>
      <c r="L41" s="283"/>
      <c r="M41" s="286"/>
    </row>
    <row r="42" spans="1:13" ht="27" customHeight="1" x14ac:dyDescent="0.3">
      <c r="A42" s="321" t="s">
        <v>70</v>
      </c>
      <c r="B42" s="322">
        <v>1</v>
      </c>
      <c r="C42" s="337" t="s">
        <v>71</v>
      </c>
      <c r="D42" s="338">
        <f>AVERAGE(D38:D41)</f>
        <v>106167125.66666667</v>
      </c>
      <c r="E42" s="339">
        <f>AVERAGE(E38:E41)</f>
        <v>80050564.845402315</v>
      </c>
      <c r="F42" s="340">
        <f>AVERAGE(F38:F41)</f>
        <v>91956205.333333328</v>
      </c>
      <c r="G42" s="341">
        <f>AVERAGE(G38:G41)</f>
        <v>82860089.824668661</v>
      </c>
      <c r="H42" s="342"/>
    </row>
    <row r="43" spans="1:13" ht="26.25" customHeight="1" x14ac:dyDescent="0.3">
      <c r="A43" s="321" t="s">
        <v>72</v>
      </c>
      <c r="B43" s="322">
        <v>1</v>
      </c>
      <c r="C43" s="455" t="s">
        <v>73</v>
      </c>
      <c r="D43" s="343">
        <v>33.39</v>
      </c>
      <c r="E43" s="344"/>
      <c r="F43" s="345">
        <v>27.94</v>
      </c>
      <c r="H43" s="342"/>
    </row>
    <row r="44" spans="1:13" ht="26.25" customHeight="1" x14ac:dyDescent="0.3">
      <c r="A44" s="321" t="s">
        <v>74</v>
      </c>
      <c r="B44" s="322">
        <v>1</v>
      </c>
      <c r="C44" s="456" t="s">
        <v>75</v>
      </c>
      <c r="D44" s="347">
        <f>D43*$B$34</f>
        <v>33.39</v>
      </c>
      <c r="E44" s="348"/>
      <c r="F44" s="349">
        <f>F43*$B$34</f>
        <v>27.94</v>
      </c>
      <c r="H44" s="342"/>
    </row>
    <row r="45" spans="1:13" ht="19.5" customHeight="1" x14ac:dyDescent="0.3">
      <c r="A45" s="321" t="s">
        <v>76</v>
      </c>
      <c r="B45" s="437">
        <f>(B44/B43)*(B42/B41)*(B40/B39)*(B38/B37)*B36</f>
        <v>208.33333333333337</v>
      </c>
      <c r="C45" s="456" t="s">
        <v>77</v>
      </c>
      <c r="D45" s="350">
        <f>D44*$B$30/100</f>
        <v>33.156269999999999</v>
      </c>
      <c r="E45" s="351"/>
      <c r="F45" s="352">
        <f>F44*$B$30/100</f>
        <v>27.744420000000002</v>
      </c>
      <c r="H45" s="342"/>
    </row>
    <row r="46" spans="1:13" ht="19.5" customHeight="1" x14ac:dyDescent="0.3">
      <c r="A46" s="559" t="s">
        <v>78</v>
      </c>
      <c r="B46" s="560"/>
      <c r="C46" s="456" t="s">
        <v>79</v>
      </c>
      <c r="D46" s="347">
        <f>D45/$B$45</f>
        <v>0.15915009599999996</v>
      </c>
      <c r="E46" s="351"/>
      <c r="F46" s="353">
        <f>F45/$B$45</f>
        <v>0.13317321599999998</v>
      </c>
      <c r="H46" s="342"/>
    </row>
    <row r="47" spans="1:13" ht="27" customHeight="1" x14ac:dyDescent="0.3">
      <c r="A47" s="561"/>
      <c r="B47" s="562"/>
      <c r="C47" s="457" t="s">
        <v>127</v>
      </c>
      <c r="D47" s="354">
        <v>0.12</v>
      </c>
      <c r="F47" s="355"/>
      <c r="H47" s="342"/>
    </row>
    <row r="48" spans="1:13" ht="18.75" x14ac:dyDescent="0.3">
      <c r="C48" s="346" t="s">
        <v>81</v>
      </c>
      <c r="D48" s="350">
        <f>D47*$B$45</f>
        <v>25.000000000000004</v>
      </c>
      <c r="F48" s="355"/>
      <c r="H48" s="342"/>
    </row>
    <row r="49" spans="1:11" ht="19.5" customHeight="1" x14ac:dyDescent="0.3">
      <c r="C49" s="356" t="s">
        <v>82</v>
      </c>
      <c r="D49" s="357">
        <f>D48/B34</f>
        <v>25.000000000000004</v>
      </c>
      <c r="F49" s="358"/>
      <c r="H49" s="342"/>
    </row>
    <row r="50" spans="1:11" ht="18.75" x14ac:dyDescent="0.3">
      <c r="C50" s="359" t="s">
        <v>83</v>
      </c>
      <c r="D50" s="360">
        <f>AVERAGE(E38:E41,G38:G41)</f>
        <v>81455327.335035488</v>
      </c>
      <c r="F50" s="358"/>
      <c r="H50" s="342"/>
    </row>
    <row r="51" spans="1:11" ht="18.75" x14ac:dyDescent="0.3">
      <c r="C51" s="361" t="s">
        <v>84</v>
      </c>
      <c r="D51" s="362">
        <f>STDEV(E38:E41,G38:G41)/D50</f>
        <v>1.9056107575110948E-2</v>
      </c>
      <c r="F51" s="358"/>
    </row>
    <row r="52" spans="1:11" ht="19.5" customHeight="1" x14ac:dyDescent="0.3">
      <c r="C52" s="363" t="s">
        <v>20</v>
      </c>
      <c r="D52" s="364">
        <f>COUNT(E38:E41,G38:G41)</f>
        <v>6</v>
      </c>
      <c r="F52" s="358"/>
    </row>
    <row r="54" spans="1:11" ht="18.75" x14ac:dyDescent="0.3">
      <c r="A54" s="365" t="s">
        <v>1</v>
      </c>
      <c r="B54" s="366" t="s">
        <v>85</v>
      </c>
    </row>
    <row r="55" spans="1:11" ht="18.75" x14ac:dyDescent="0.3">
      <c r="A55" s="299" t="s">
        <v>86</v>
      </c>
      <c r="B55" s="367" t="str">
        <f>B21</f>
        <v>Each film-coated tablet contains Efavirenz 600mg, Lamivudine USP 300mg, Tenofovir Disoproxil Fumarate 300mg euivalent to tenofovir disoproxil 245mg</v>
      </c>
    </row>
    <row r="56" spans="1:11" ht="26.25" customHeight="1" x14ac:dyDescent="0.3">
      <c r="A56" s="368" t="s">
        <v>128</v>
      </c>
      <c r="B56" s="369">
        <v>600</v>
      </c>
      <c r="C56" s="299" t="str">
        <f>B20</f>
        <v xml:space="preserve">Efavirenz   </v>
      </c>
      <c r="H56" s="370"/>
    </row>
    <row r="57" spans="1:11" ht="18.75" x14ac:dyDescent="0.3">
      <c r="A57" s="367" t="s">
        <v>129</v>
      </c>
      <c r="B57" s="546">
        <v>1892.8209999999999</v>
      </c>
      <c r="H57" s="370"/>
    </row>
    <row r="58" spans="1:11" ht="19.5" customHeight="1" x14ac:dyDescent="0.3">
      <c r="H58" s="370"/>
    </row>
    <row r="59" spans="1:11" s="2" customFormat="1" ht="27" customHeight="1" x14ac:dyDescent="0.25">
      <c r="A59" s="319" t="s">
        <v>130</v>
      </c>
      <c r="B59" s="320">
        <v>100</v>
      </c>
      <c r="C59" s="299"/>
      <c r="D59" s="371" t="s">
        <v>90</v>
      </c>
      <c r="E59" s="372" t="s">
        <v>62</v>
      </c>
      <c r="F59" s="372" t="s">
        <v>63</v>
      </c>
      <c r="G59" s="372" t="s">
        <v>91</v>
      </c>
      <c r="H59" s="373" t="s">
        <v>92</v>
      </c>
      <c r="K59" s="282"/>
    </row>
    <row r="60" spans="1:11" s="2" customFormat="1" ht="26.25" customHeight="1" x14ac:dyDescent="0.25">
      <c r="A60" s="321" t="s">
        <v>122</v>
      </c>
      <c r="B60" s="322">
        <v>5</v>
      </c>
      <c r="C60" s="576" t="s">
        <v>94</v>
      </c>
      <c r="D60" s="579">
        <v>1905.91</v>
      </c>
      <c r="E60" s="374">
        <v>1</v>
      </c>
      <c r="F60" s="375"/>
      <c r="G60" s="376" t="str">
        <f>IF(ISBLANK(F60),"-",(F60/$D$50*$D$47*$B$68)*($B$57/$D$60))</f>
        <v>-</v>
      </c>
      <c r="H60" s="290" t="str">
        <f t="shared" ref="H60:H71" si="0">IF(ISBLANK(F60),"-",G60/$B$56)</f>
        <v>-</v>
      </c>
      <c r="K60" s="282"/>
    </row>
    <row r="61" spans="1:11" s="2" customFormat="1" ht="26.25" customHeight="1" x14ac:dyDescent="0.25">
      <c r="A61" s="321" t="s">
        <v>95</v>
      </c>
      <c r="B61" s="322">
        <v>50</v>
      </c>
      <c r="C61" s="577"/>
      <c r="D61" s="580"/>
      <c r="E61" s="377">
        <v>2</v>
      </c>
      <c r="F61" s="378"/>
      <c r="G61" s="379" t="str">
        <f>IF(ISBLANK(F61),"-",(F61/$D$50*$D$47*$B$68)*($B$57/$D$60))</f>
        <v>-</v>
      </c>
      <c r="H61" s="291" t="str">
        <f t="shared" si="0"/>
        <v>-</v>
      </c>
      <c r="K61" s="282"/>
    </row>
    <row r="62" spans="1:11" s="2" customFormat="1" ht="26.25" customHeight="1" x14ac:dyDescent="0.25">
      <c r="A62" s="321" t="s">
        <v>96</v>
      </c>
      <c r="B62" s="322">
        <v>10</v>
      </c>
      <c r="C62" s="577"/>
      <c r="D62" s="580"/>
      <c r="E62" s="377">
        <v>3</v>
      </c>
      <c r="F62" s="378"/>
      <c r="G62" s="379" t="str">
        <f>IF(ISBLANK(F62),"-",(F62/$D$50*$D$47*$B$68)*($B$57/$D$60))</f>
        <v>-</v>
      </c>
      <c r="H62" s="291" t="str">
        <f t="shared" si="0"/>
        <v>-</v>
      </c>
      <c r="K62" s="282"/>
    </row>
    <row r="63" spans="1:11" ht="27" customHeight="1" x14ac:dyDescent="0.3">
      <c r="A63" s="321" t="s">
        <v>97</v>
      </c>
      <c r="B63" s="322">
        <v>50</v>
      </c>
      <c r="C63" s="587"/>
      <c r="D63" s="581"/>
      <c r="E63" s="380">
        <v>4</v>
      </c>
      <c r="F63" s="381"/>
      <c r="G63" s="379" t="str">
        <f>IF(ISBLANK(F63),"-",(F63/$D$50*$D$47*$B$68)*($B$57/$D$60))</f>
        <v>-</v>
      </c>
      <c r="H63" s="291" t="str">
        <f t="shared" si="0"/>
        <v>-</v>
      </c>
    </row>
    <row r="64" spans="1:11" ht="26.25" customHeight="1" x14ac:dyDescent="0.3">
      <c r="A64" s="321" t="s">
        <v>98</v>
      </c>
      <c r="B64" s="322">
        <v>1</v>
      </c>
      <c r="C64" s="576" t="s">
        <v>99</v>
      </c>
      <c r="D64" s="579">
        <v>1903.73</v>
      </c>
      <c r="E64" s="374">
        <v>1</v>
      </c>
      <c r="F64" s="375">
        <v>86060953</v>
      </c>
      <c r="G64" s="382">
        <f>IF(ISBLANK(F64),"-",(F64/$D$50*$D$47*$B$68)*($B$57/$D$64))</f>
        <v>630.29244266641251</v>
      </c>
      <c r="H64" s="293">
        <f t="shared" si="0"/>
        <v>1.0504874044440209</v>
      </c>
    </row>
    <row r="65" spans="1:8" ht="26.25" customHeight="1" x14ac:dyDescent="0.3">
      <c r="A65" s="321" t="s">
        <v>100</v>
      </c>
      <c r="B65" s="322">
        <v>1</v>
      </c>
      <c r="C65" s="577"/>
      <c r="D65" s="580"/>
      <c r="E65" s="377">
        <v>2</v>
      </c>
      <c r="F65" s="378">
        <v>87149836</v>
      </c>
      <c r="G65" s="383">
        <f>IF(ISBLANK(F65),"-",(F65/$D$50*$D$47*$B$68)*($B$57/$D$64))</f>
        <v>638.26719430375408</v>
      </c>
      <c r="H65" s="294">
        <f t="shared" si="0"/>
        <v>1.0637786571729235</v>
      </c>
    </row>
    <row r="66" spans="1:8" ht="26.25" customHeight="1" x14ac:dyDescent="0.3">
      <c r="A66" s="321" t="s">
        <v>101</v>
      </c>
      <c r="B66" s="322">
        <v>1</v>
      </c>
      <c r="C66" s="577"/>
      <c r="D66" s="580"/>
      <c r="E66" s="377">
        <v>3</v>
      </c>
      <c r="F66" s="378">
        <v>85380062</v>
      </c>
      <c r="G66" s="383">
        <f>IF(ISBLANK(F66),"-",(F66/$D$50*$D$47*$B$68)*($B$57/$D$64))</f>
        <v>625.30573921241296</v>
      </c>
      <c r="H66" s="294">
        <f t="shared" si="0"/>
        <v>1.0421762320206882</v>
      </c>
    </row>
    <row r="67" spans="1:8" ht="27" customHeight="1" x14ac:dyDescent="0.3">
      <c r="A67" s="321" t="s">
        <v>102</v>
      </c>
      <c r="B67" s="322">
        <v>1</v>
      </c>
      <c r="C67" s="587"/>
      <c r="D67" s="581"/>
      <c r="E67" s="380">
        <v>4</v>
      </c>
      <c r="F67" s="381"/>
      <c r="G67" s="384" t="str">
        <f>IF(ISBLANK(F67),"-",(F67/$D$50*$D$47*$B$68)*($B$57/$D$64))</f>
        <v>-</v>
      </c>
      <c r="H67" s="295" t="str">
        <f t="shared" si="0"/>
        <v>-</v>
      </c>
    </row>
    <row r="68" spans="1:8" ht="21.75" customHeight="1" x14ac:dyDescent="0.3">
      <c r="A68" s="321" t="s">
        <v>103</v>
      </c>
      <c r="B68" s="385">
        <f>(B67/B66)*(B65/B64)*(B63/B62)*(B61/B60)*B59</f>
        <v>5000</v>
      </c>
      <c r="C68" s="576" t="s">
        <v>104</v>
      </c>
      <c r="D68" s="579">
        <v>1907.13</v>
      </c>
      <c r="E68" s="374">
        <v>1</v>
      </c>
      <c r="F68" s="375">
        <v>89905641</v>
      </c>
      <c r="G68" s="382">
        <f>IF(ISBLANK(F68),"-",(F68/$D$50*$D$47*$B$68)*($B$57/$D$68))</f>
        <v>657.27626039790334</v>
      </c>
      <c r="H68" s="291">
        <f t="shared" si="0"/>
        <v>1.0954604339965055</v>
      </c>
    </row>
    <row r="69" spans="1:8" ht="21.75" customHeight="1" x14ac:dyDescent="0.3">
      <c r="A69" s="386" t="s">
        <v>131</v>
      </c>
      <c r="B69" s="387">
        <f>D47*B68/B56*B57</f>
        <v>1892.8209999999999</v>
      </c>
      <c r="C69" s="577"/>
      <c r="D69" s="580"/>
      <c r="E69" s="377">
        <v>2</v>
      </c>
      <c r="F69" s="378">
        <v>88831226</v>
      </c>
      <c r="G69" s="383">
        <f>IF(ISBLANK(F69),"-",(F69/$D$50*$D$47*$B$68)*($B$57/$D$68))</f>
        <v>649.42149772160565</v>
      </c>
      <c r="H69" s="291">
        <f t="shared" si="0"/>
        <v>1.0823691628693428</v>
      </c>
    </row>
    <row r="70" spans="1:8" ht="22.5" customHeight="1" x14ac:dyDescent="0.3">
      <c r="A70" s="559" t="s">
        <v>78</v>
      </c>
      <c r="B70" s="560"/>
      <c r="C70" s="577"/>
      <c r="D70" s="580"/>
      <c r="E70" s="377">
        <v>3</v>
      </c>
      <c r="F70" s="378">
        <v>86497366</v>
      </c>
      <c r="G70" s="383">
        <f>IF(ISBLANK(F70),"-",(F70/$D$50*$D$47*$B$68)*($B$57/$D$68))</f>
        <v>632.35926718712506</v>
      </c>
      <c r="H70" s="291">
        <f t="shared" si="0"/>
        <v>1.0539321119785419</v>
      </c>
    </row>
    <row r="71" spans="1:8" ht="21.75" customHeight="1" x14ac:dyDescent="0.3">
      <c r="A71" s="561"/>
      <c r="B71" s="562"/>
      <c r="C71" s="578"/>
      <c r="D71" s="581"/>
      <c r="E71" s="380">
        <v>4</v>
      </c>
      <c r="F71" s="381"/>
      <c r="G71" s="384" t="str">
        <f>IF(ISBLANK(F71),"-",(F71/$D$50*$D$47*$B$68)*($B$57/$D$68))</f>
        <v>-</v>
      </c>
      <c r="H71" s="292" t="str">
        <f t="shared" si="0"/>
        <v>-</v>
      </c>
    </row>
    <row r="72" spans="1:8" ht="26.25" customHeight="1" x14ac:dyDescent="0.3">
      <c r="A72" s="388"/>
      <c r="B72" s="388"/>
      <c r="C72" s="388"/>
      <c r="D72" s="388"/>
      <c r="E72" s="388"/>
      <c r="F72" s="329"/>
      <c r="G72" s="389" t="s">
        <v>71</v>
      </c>
      <c r="H72" s="543">
        <f>AVERAGE(H60:H71)</f>
        <v>1.0647006670803372</v>
      </c>
    </row>
    <row r="73" spans="1:8" ht="26.25" customHeight="1" x14ac:dyDescent="0.3">
      <c r="C73" s="388"/>
      <c r="D73" s="388"/>
      <c r="E73" s="388"/>
      <c r="F73" s="329"/>
      <c r="G73" s="361" t="s">
        <v>84</v>
      </c>
      <c r="H73" s="544">
        <f>STDEV(H60:H71)/H72</f>
        <v>1.9177424672435685E-2</v>
      </c>
    </row>
    <row r="74" spans="1:8" ht="27" customHeight="1" x14ac:dyDescent="0.3">
      <c r="A74" s="388"/>
      <c r="B74" s="388"/>
      <c r="C74" s="329"/>
      <c r="D74" s="329"/>
      <c r="E74" s="390"/>
      <c r="F74" s="329"/>
      <c r="G74" s="363" t="s">
        <v>20</v>
      </c>
      <c r="H74" s="545">
        <f>COUNT(H60:H71)</f>
        <v>6</v>
      </c>
    </row>
    <row r="75" spans="1:8" ht="18.75" x14ac:dyDescent="0.3">
      <c r="A75" s="388"/>
      <c r="B75" s="388"/>
      <c r="C75" s="329"/>
      <c r="D75" s="329"/>
      <c r="E75" s="390"/>
      <c r="F75" s="329"/>
      <c r="G75" s="337"/>
      <c r="H75" s="391"/>
    </row>
    <row r="76" spans="1:8" ht="26.25" customHeight="1" x14ac:dyDescent="0.3">
      <c r="A76" s="308" t="s">
        <v>132</v>
      </c>
      <c r="B76" s="392" t="s">
        <v>107</v>
      </c>
      <c r="C76" s="577" t="str">
        <f>B20</f>
        <v xml:space="preserve">Efavirenz   </v>
      </c>
      <c r="D76" s="577"/>
      <c r="E76" s="393" t="s">
        <v>108</v>
      </c>
      <c r="F76" s="393"/>
      <c r="G76" s="534">
        <f>H72</f>
        <v>1.0647006670803372</v>
      </c>
      <c r="H76" s="391"/>
    </row>
    <row r="77" spans="1:8" ht="18.75" x14ac:dyDescent="0.3">
      <c r="A77" s="307" t="s">
        <v>109</v>
      </c>
      <c r="B77" s="307" t="s">
        <v>110</v>
      </c>
    </row>
    <row r="78" spans="1:8" ht="18.75" x14ac:dyDescent="0.3">
      <c r="A78" s="307"/>
      <c r="B78" s="307"/>
    </row>
    <row r="79" spans="1:8" ht="26.25" customHeight="1" x14ac:dyDescent="0.3">
      <c r="A79" s="308" t="s">
        <v>4</v>
      </c>
      <c r="B79" s="599" t="s">
        <v>138</v>
      </c>
      <c r="C79" s="599"/>
    </row>
    <row r="80" spans="1:8" ht="26.25" customHeight="1" x14ac:dyDescent="0.3">
      <c r="A80" s="309" t="s">
        <v>48</v>
      </c>
      <c r="B80" s="600" t="s">
        <v>139</v>
      </c>
      <c r="C80" s="600"/>
    </row>
    <row r="81" spans="1:11" ht="27" customHeight="1" x14ac:dyDescent="0.3">
      <c r="A81" s="309" t="s">
        <v>6</v>
      </c>
      <c r="B81" s="310">
        <v>99.3</v>
      </c>
    </row>
    <row r="82" spans="1:11" s="2" customFormat="1" ht="27" customHeight="1" x14ac:dyDescent="0.25">
      <c r="A82" s="309" t="s">
        <v>49</v>
      </c>
      <c r="B82" s="310">
        <f>B29</f>
        <v>0</v>
      </c>
      <c r="C82" s="565" t="s">
        <v>125</v>
      </c>
      <c r="D82" s="566"/>
      <c r="E82" s="566"/>
      <c r="F82" s="566"/>
      <c r="G82" s="567"/>
      <c r="H82" s="312"/>
      <c r="I82" s="282"/>
      <c r="J82" s="282"/>
      <c r="K82" s="282"/>
    </row>
    <row r="83" spans="1:11" s="2" customFormat="1" ht="19.5" customHeight="1" x14ac:dyDescent="0.25">
      <c r="A83" s="309" t="s">
        <v>51</v>
      </c>
      <c r="B83" s="313">
        <f>B81-B82</f>
        <v>99.3</v>
      </c>
      <c r="C83" s="314"/>
      <c r="D83" s="314"/>
      <c r="E83" s="314"/>
      <c r="F83" s="314"/>
      <c r="G83" s="315"/>
      <c r="H83" s="312"/>
      <c r="I83" s="282"/>
      <c r="J83" s="282"/>
      <c r="K83" s="282"/>
    </row>
    <row r="84" spans="1:11" s="2" customFormat="1" ht="27" customHeight="1" x14ac:dyDescent="0.25">
      <c r="A84" s="309" t="s">
        <v>52</v>
      </c>
      <c r="B84" s="316">
        <v>1</v>
      </c>
      <c r="C84" s="568" t="s">
        <v>53</v>
      </c>
      <c r="D84" s="569"/>
      <c r="E84" s="569"/>
      <c r="F84" s="569"/>
      <c r="G84" s="569"/>
      <c r="H84" s="570"/>
      <c r="I84" s="282"/>
      <c r="J84" s="282"/>
      <c r="K84" s="282"/>
    </row>
    <row r="85" spans="1:11" s="2" customFormat="1" ht="27" customHeight="1" x14ac:dyDescent="0.25">
      <c r="A85" s="309" t="s">
        <v>54</v>
      </c>
      <c r="B85" s="316">
        <v>1</v>
      </c>
      <c r="C85" s="568" t="s">
        <v>55</v>
      </c>
      <c r="D85" s="569"/>
      <c r="E85" s="569"/>
      <c r="F85" s="569"/>
      <c r="G85" s="569"/>
      <c r="H85" s="570"/>
      <c r="I85" s="282"/>
      <c r="J85" s="282"/>
      <c r="K85" s="282"/>
    </row>
    <row r="86" spans="1:11" s="2" customFormat="1" ht="18.75" x14ac:dyDescent="0.25">
      <c r="A86" s="309"/>
      <c r="B86" s="317"/>
      <c r="C86" s="285"/>
      <c r="D86" s="285"/>
      <c r="E86" s="285"/>
      <c r="F86" s="285"/>
      <c r="G86" s="285"/>
      <c r="H86" s="285"/>
      <c r="I86" s="282"/>
      <c r="J86" s="282"/>
      <c r="K86" s="282"/>
    </row>
    <row r="87" spans="1:11" ht="18.75" x14ac:dyDescent="0.3">
      <c r="A87" s="309" t="s">
        <v>56</v>
      </c>
      <c r="B87" s="318">
        <f>B84/B85</f>
        <v>1</v>
      </c>
      <c r="C87" s="299" t="s">
        <v>57</v>
      </c>
      <c r="H87" s="312"/>
    </row>
    <row r="88" spans="1:11" ht="19.5" customHeight="1" x14ac:dyDescent="0.3">
      <c r="A88" s="309"/>
      <c r="B88" s="318"/>
      <c r="H88" s="312"/>
    </row>
    <row r="89" spans="1:11" ht="27" customHeight="1" x14ac:dyDescent="0.3">
      <c r="A89" s="319" t="s">
        <v>126</v>
      </c>
      <c r="B89" s="320">
        <v>5</v>
      </c>
      <c r="D89" s="394" t="s">
        <v>59</v>
      </c>
      <c r="E89" s="395"/>
      <c r="F89" s="601" t="s">
        <v>60</v>
      </c>
      <c r="G89" s="602"/>
    </row>
    <row r="90" spans="1:11" ht="26.25" customHeight="1" x14ac:dyDescent="0.3">
      <c r="A90" s="321" t="s">
        <v>61</v>
      </c>
      <c r="B90" s="322">
        <v>1</v>
      </c>
      <c r="C90" s="296" t="s">
        <v>62</v>
      </c>
      <c r="D90" s="396" t="s">
        <v>63</v>
      </c>
      <c r="E90" s="324" t="s">
        <v>64</v>
      </c>
      <c r="F90" s="396" t="s">
        <v>63</v>
      </c>
      <c r="G90" s="325" t="s">
        <v>64</v>
      </c>
    </row>
    <row r="91" spans="1:11" ht="26.25" customHeight="1" x14ac:dyDescent="0.3">
      <c r="A91" s="321" t="s">
        <v>66</v>
      </c>
      <c r="B91" s="322">
        <v>10</v>
      </c>
      <c r="C91" s="326">
        <v>1</v>
      </c>
      <c r="D91" s="397">
        <v>13945415</v>
      </c>
      <c r="E91" s="398">
        <f>IF(ISBLANK(D91),"-",$D$101/$D$98*D91)</f>
        <v>12617898.515122479</v>
      </c>
      <c r="F91" s="399">
        <v>11885488</v>
      </c>
      <c r="G91" s="400">
        <f>IF(ISBLANK(F91),"-",$D$101/$F$98*F91)</f>
        <v>12851760.462103732</v>
      </c>
    </row>
    <row r="92" spans="1:11" ht="26.25" customHeight="1" x14ac:dyDescent="0.3">
      <c r="A92" s="321" t="s">
        <v>67</v>
      </c>
      <c r="B92" s="322">
        <v>1</v>
      </c>
      <c r="C92" s="329">
        <v>2</v>
      </c>
      <c r="D92" s="378">
        <v>13958514</v>
      </c>
      <c r="E92" s="401">
        <f>IF(ISBLANK(D92),"-",$D$101/$D$98*D92)</f>
        <v>12629750.572063746</v>
      </c>
      <c r="F92" s="402">
        <v>11840472</v>
      </c>
      <c r="G92" s="403">
        <f>IF(ISBLANK(F92),"-",$D$101/$F$98*F92)</f>
        <v>12803084.728388628</v>
      </c>
    </row>
    <row r="93" spans="1:11" ht="26.25" customHeight="1" x14ac:dyDescent="0.3">
      <c r="A93" s="321" t="s">
        <v>68</v>
      </c>
      <c r="B93" s="322">
        <v>1</v>
      </c>
      <c r="C93" s="329">
        <v>3</v>
      </c>
      <c r="D93" s="378">
        <v>13796122</v>
      </c>
      <c r="E93" s="401">
        <f>IF(ISBLANK(D93),"-",$D$101/$D$98*D93)</f>
        <v>12482817.277094197</v>
      </c>
      <c r="F93" s="402">
        <v>11855326</v>
      </c>
      <c r="G93" s="403">
        <f>IF(ISBLANK(F93),"-",$D$101/$F$98*F93)</f>
        <v>12819146.33645252</v>
      </c>
    </row>
    <row r="94" spans="1:11" ht="26.25" customHeight="1" x14ac:dyDescent="0.3">
      <c r="A94" s="321" t="s">
        <v>69</v>
      </c>
      <c r="B94" s="322">
        <v>1</v>
      </c>
      <c r="C94" s="333">
        <v>4</v>
      </c>
      <c r="D94" s="404"/>
      <c r="E94" s="405" t="str">
        <f>IF(ISBLANK(D94),"-",$D$101/$D$98*D94)</f>
        <v>-</v>
      </c>
      <c r="F94" s="406"/>
      <c r="G94" s="407" t="str">
        <f>IF(ISBLANK(F94),"-",$D$101/$F$98*F94)</f>
        <v>-</v>
      </c>
    </row>
    <row r="95" spans="1:11" ht="27" customHeight="1" x14ac:dyDescent="0.3">
      <c r="A95" s="321" t="s">
        <v>70</v>
      </c>
      <c r="B95" s="322">
        <v>1</v>
      </c>
      <c r="C95" s="337" t="s">
        <v>71</v>
      </c>
      <c r="D95" s="338">
        <f>AVERAGE(D91:D94)</f>
        <v>13900017</v>
      </c>
      <c r="E95" s="339">
        <f>AVERAGE(E91:E94)</f>
        <v>12576822.121426806</v>
      </c>
      <c r="F95" s="408">
        <f>AVERAGE(F91:F94)</f>
        <v>11860428.666666666</v>
      </c>
      <c r="G95" s="409">
        <f>AVERAGE(G91:G94)</f>
        <v>12824663.84231496</v>
      </c>
    </row>
    <row r="96" spans="1:11" ht="26.25" customHeight="1" x14ac:dyDescent="0.3">
      <c r="A96" s="321" t="s">
        <v>72</v>
      </c>
      <c r="B96" s="322">
        <v>1</v>
      </c>
      <c r="C96" s="455" t="s">
        <v>73</v>
      </c>
      <c r="D96" s="343">
        <v>33.39</v>
      </c>
      <c r="E96" s="344"/>
      <c r="F96" s="345">
        <v>27.94</v>
      </c>
    </row>
    <row r="97" spans="1:9" ht="26.25" customHeight="1" x14ac:dyDescent="0.3">
      <c r="A97" s="321" t="s">
        <v>74</v>
      </c>
      <c r="B97" s="322">
        <v>1</v>
      </c>
      <c r="C97" s="456" t="s">
        <v>75</v>
      </c>
      <c r="D97" s="347">
        <f>D96*$B$87</f>
        <v>33.39</v>
      </c>
      <c r="E97" s="348"/>
      <c r="F97" s="349">
        <f>F96*$B$87</f>
        <v>27.94</v>
      </c>
    </row>
    <row r="98" spans="1:9" ht="19.5" customHeight="1" x14ac:dyDescent="0.3">
      <c r="A98" s="386" t="s">
        <v>76</v>
      </c>
      <c r="B98" s="525">
        <f>(B97/B96)*(B95/B94)*(B93/B92)*(B91/B90)*B89</f>
        <v>50</v>
      </c>
      <c r="C98" s="456" t="s">
        <v>77</v>
      </c>
      <c r="D98" s="350">
        <f>D97*$B$83/100</f>
        <v>33.156269999999999</v>
      </c>
      <c r="E98" s="351"/>
      <c r="F98" s="352">
        <f>F97*$B$83/100</f>
        <v>27.744420000000002</v>
      </c>
    </row>
    <row r="99" spans="1:9" ht="19.5" customHeight="1" x14ac:dyDescent="0.3">
      <c r="A99" s="559" t="s">
        <v>78</v>
      </c>
      <c r="B99" s="560"/>
      <c r="C99" s="456" t="s">
        <v>79</v>
      </c>
      <c r="D99" s="410">
        <f>D98/$B$98</f>
        <v>0.66312539999999998</v>
      </c>
      <c r="E99" s="411"/>
      <c r="F99" s="412">
        <f>F98/$B$98</f>
        <v>0.55488840000000006</v>
      </c>
      <c r="G99" s="413"/>
      <c r="H99" s="342"/>
    </row>
    <row r="100" spans="1:9" ht="19.5" customHeight="1" x14ac:dyDescent="0.3">
      <c r="A100" s="561"/>
      <c r="B100" s="562"/>
      <c r="C100" s="346" t="s">
        <v>127</v>
      </c>
      <c r="D100" s="414">
        <f>$B$56/$B$116</f>
        <v>0.6</v>
      </c>
      <c r="F100" s="355"/>
      <c r="G100" s="415"/>
      <c r="H100" s="342"/>
    </row>
    <row r="101" spans="1:9" ht="18.75" x14ac:dyDescent="0.3">
      <c r="C101" s="346" t="s">
        <v>81</v>
      </c>
      <c r="D101" s="347">
        <f>D100*$B$98</f>
        <v>30</v>
      </c>
      <c r="F101" s="355"/>
      <c r="G101" s="413"/>
      <c r="H101" s="342"/>
    </row>
    <row r="102" spans="1:9" ht="19.5" customHeight="1" x14ac:dyDescent="0.3">
      <c r="C102" s="356" t="s">
        <v>82</v>
      </c>
      <c r="D102" s="416">
        <f>D101/B34</f>
        <v>30</v>
      </c>
      <c r="F102" s="358"/>
      <c r="G102" s="413"/>
      <c r="H102" s="342"/>
      <c r="I102" s="288"/>
    </row>
    <row r="103" spans="1:9" ht="18.75" x14ac:dyDescent="0.3">
      <c r="C103" s="359" t="s">
        <v>117</v>
      </c>
      <c r="D103" s="360">
        <f>AVERAGE(E91:E94,G91:G94)</f>
        <v>12700742.981870882</v>
      </c>
      <c r="F103" s="358"/>
      <c r="G103" s="417"/>
      <c r="H103" s="342"/>
      <c r="I103" s="289"/>
    </row>
    <row r="104" spans="1:9" ht="18.75" x14ac:dyDescent="0.3">
      <c r="C104" s="361" t="s">
        <v>84</v>
      </c>
      <c r="D104" s="418">
        <f>STDEV(E91:E94,G91:G94)/D103</f>
        <v>1.1501547869287039E-2</v>
      </c>
      <c r="F104" s="358"/>
      <c r="G104" s="413"/>
      <c r="H104" s="342"/>
      <c r="I104" s="289"/>
    </row>
    <row r="105" spans="1:9" ht="19.5" customHeight="1" x14ac:dyDescent="0.3">
      <c r="C105" s="363" t="s">
        <v>20</v>
      </c>
      <c r="D105" s="419">
        <f>COUNT(E91:E94,G91:G94)</f>
        <v>6</v>
      </c>
      <c r="F105" s="358"/>
      <c r="G105" s="413"/>
      <c r="H105" s="342"/>
      <c r="I105" s="289"/>
    </row>
    <row r="106" spans="1:9" ht="19.5" customHeight="1" x14ac:dyDescent="0.3">
      <c r="A106" s="365"/>
      <c r="B106" s="365"/>
      <c r="C106" s="365"/>
      <c r="D106" s="365"/>
      <c r="E106" s="365"/>
    </row>
    <row r="107" spans="1:9" ht="26.25" customHeight="1" x14ac:dyDescent="0.3">
      <c r="A107" s="319" t="s">
        <v>118</v>
      </c>
      <c r="B107" s="320">
        <v>1000</v>
      </c>
      <c r="C107" s="420" t="s">
        <v>133</v>
      </c>
      <c r="D107" s="421" t="s">
        <v>63</v>
      </c>
      <c r="E107" s="422" t="s">
        <v>120</v>
      </c>
      <c r="F107" s="423" t="s">
        <v>121</v>
      </c>
    </row>
    <row r="108" spans="1:9" ht="26.25" customHeight="1" x14ac:dyDescent="0.3">
      <c r="A108" s="321" t="s">
        <v>122</v>
      </c>
      <c r="B108" s="322">
        <v>1</v>
      </c>
      <c r="C108" s="424">
        <v>1</v>
      </c>
      <c r="D108" s="425">
        <v>10879722</v>
      </c>
      <c r="E108" s="426">
        <f t="shared" ref="E108:E113" si="1">IF(ISBLANK(D108),"-",D108/$D$103*$D$100*$B$116)</f>
        <v>513.97254548949365</v>
      </c>
      <c r="F108" s="427">
        <f t="shared" ref="F108:F113" si="2">IF(ISBLANK(D108), "-", E108/$B$56)</f>
        <v>0.85662090914915612</v>
      </c>
    </row>
    <row r="109" spans="1:9" ht="26.25" customHeight="1" x14ac:dyDescent="0.3">
      <c r="A109" s="321" t="s">
        <v>95</v>
      </c>
      <c r="B109" s="322">
        <v>1</v>
      </c>
      <c r="C109" s="424">
        <v>2</v>
      </c>
      <c r="D109" s="425">
        <v>11193113</v>
      </c>
      <c r="E109" s="428">
        <f t="shared" si="1"/>
        <v>528.77755337512701</v>
      </c>
      <c r="F109" s="429">
        <f t="shared" si="2"/>
        <v>0.88129592229187836</v>
      </c>
    </row>
    <row r="110" spans="1:9" ht="26.25" customHeight="1" x14ac:dyDescent="0.3">
      <c r="A110" s="321" t="s">
        <v>96</v>
      </c>
      <c r="B110" s="322">
        <v>1</v>
      </c>
      <c r="C110" s="424">
        <v>3</v>
      </c>
      <c r="D110" s="425">
        <v>10990824</v>
      </c>
      <c r="E110" s="428">
        <f t="shared" si="1"/>
        <v>519.22115181867866</v>
      </c>
      <c r="F110" s="429">
        <f t="shared" si="2"/>
        <v>0.86536858636446445</v>
      </c>
    </row>
    <row r="111" spans="1:9" ht="26.25" customHeight="1" x14ac:dyDescent="0.3">
      <c r="A111" s="321" t="s">
        <v>97</v>
      </c>
      <c r="B111" s="322">
        <v>1</v>
      </c>
      <c r="C111" s="424">
        <v>4</v>
      </c>
      <c r="D111" s="425">
        <v>9195218</v>
      </c>
      <c r="E111" s="428">
        <f t="shared" si="1"/>
        <v>434.39433487278546</v>
      </c>
      <c r="F111" s="429">
        <f t="shared" si="2"/>
        <v>0.72399055812130908</v>
      </c>
    </row>
    <row r="112" spans="1:9" ht="26.25" customHeight="1" x14ac:dyDescent="0.3">
      <c r="A112" s="321" t="s">
        <v>98</v>
      </c>
      <c r="B112" s="322">
        <v>1</v>
      </c>
      <c r="C112" s="424">
        <v>5</v>
      </c>
      <c r="D112" s="425">
        <v>9211738</v>
      </c>
      <c r="E112" s="428">
        <f t="shared" si="1"/>
        <v>435.174761656805</v>
      </c>
      <c r="F112" s="429">
        <f t="shared" si="2"/>
        <v>0.72529126942800837</v>
      </c>
    </row>
    <row r="113" spans="1:11" ht="26.25" customHeight="1" x14ac:dyDescent="0.3">
      <c r="A113" s="321" t="s">
        <v>100</v>
      </c>
      <c r="B113" s="322">
        <v>1</v>
      </c>
      <c r="C113" s="430">
        <v>6</v>
      </c>
      <c r="D113" s="431">
        <v>10190795</v>
      </c>
      <c r="E113" s="432">
        <f t="shared" si="1"/>
        <v>481.42671721865725</v>
      </c>
      <c r="F113" s="433">
        <f t="shared" si="2"/>
        <v>0.8023778620310954</v>
      </c>
    </row>
    <row r="114" spans="1:11" ht="26.25" customHeight="1" x14ac:dyDescent="0.3">
      <c r="A114" s="321" t="s">
        <v>101</v>
      </c>
      <c r="B114" s="322">
        <v>1</v>
      </c>
      <c r="C114" s="424"/>
      <c r="D114" s="329"/>
      <c r="E114" s="393"/>
      <c r="F114" s="434"/>
    </row>
    <row r="115" spans="1:11" ht="26.25" customHeight="1" x14ac:dyDescent="0.3">
      <c r="A115" s="321" t="s">
        <v>102</v>
      </c>
      <c r="B115" s="322">
        <v>1</v>
      </c>
      <c r="C115" s="424"/>
      <c r="D115" s="435"/>
      <c r="E115" s="436" t="s">
        <v>71</v>
      </c>
      <c r="F115" s="452">
        <f>AVERAGE(F108:F113)</f>
        <v>0.80915751789765189</v>
      </c>
    </row>
    <row r="116" spans="1:11" ht="27" customHeight="1" x14ac:dyDescent="0.3">
      <c r="A116" s="321" t="s">
        <v>103</v>
      </c>
      <c r="B116" s="437">
        <f>(B115/B114)*(B113/B112)*(B111/B110)*(B109/B108)*B107</f>
        <v>1000</v>
      </c>
      <c r="C116" s="438"/>
      <c r="D116" s="439"/>
      <c r="E116" s="337" t="s">
        <v>84</v>
      </c>
      <c r="F116" s="453">
        <f>STDEV(F108:F113)/F115</f>
        <v>8.7299421099832936E-2</v>
      </c>
    </row>
    <row r="117" spans="1:11" ht="19.5" customHeight="1" x14ac:dyDescent="0.3">
      <c r="A117" s="559" t="s">
        <v>78</v>
      </c>
      <c r="B117" s="560"/>
      <c r="C117" s="440"/>
      <c r="D117" s="441"/>
      <c r="E117" s="442" t="s">
        <v>20</v>
      </c>
      <c r="F117" s="454">
        <f>COUNT(F108:F113)</f>
        <v>6</v>
      </c>
      <c r="I117" s="289"/>
    </row>
    <row r="118" spans="1:11" ht="19.5" customHeight="1" x14ac:dyDescent="0.3">
      <c r="A118" s="561"/>
      <c r="B118" s="562"/>
      <c r="C118" s="393"/>
      <c r="D118" s="393"/>
      <c r="E118" s="393"/>
      <c r="F118" s="329"/>
      <c r="G118" s="393"/>
      <c r="H118" s="393"/>
    </row>
    <row r="119" spans="1:11" ht="18.75" x14ac:dyDescent="0.3">
      <c r="A119" s="285"/>
      <c r="B119" s="285"/>
      <c r="C119" s="393"/>
      <c r="D119" s="393"/>
      <c r="E119" s="393"/>
      <c r="F119" s="329"/>
      <c r="G119" s="393"/>
      <c r="H119" s="393"/>
    </row>
    <row r="120" spans="1:11" ht="18.75" x14ac:dyDescent="0.3">
      <c r="A120" s="458" t="s">
        <v>134</v>
      </c>
      <c r="B120" s="458" t="s">
        <v>135</v>
      </c>
      <c r="C120" s="281"/>
      <c r="D120" s="281"/>
      <c r="E120" s="281"/>
      <c r="F120" s="281"/>
      <c r="G120" s="281"/>
      <c r="H120" s="281"/>
    </row>
    <row r="121" spans="1:11" ht="18.75" x14ac:dyDescent="0.3">
      <c r="A121" s="458"/>
      <c r="B121" s="458"/>
      <c r="C121" s="281"/>
      <c r="D121" s="281"/>
      <c r="E121" s="281"/>
      <c r="F121" s="281"/>
      <c r="G121" s="281"/>
      <c r="H121" s="281"/>
    </row>
    <row r="122" spans="1:11" ht="18.75" x14ac:dyDescent="0.3">
      <c r="A122" s="459" t="s">
        <v>4</v>
      </c>
      <c r="B122" s="460" t="s">
        <v>138</v>
      </c>
      <c r="C122" s="281"/>
      <c r="D122" s="281"/>
      <c r="E122" s="281"/>
      <c r="F122" s="281"/>
      <c r="G122" s="281"/>
      <c r="H122" s="281"/>
    </row>
    <row r="123" spans="1:11" ht="18.75" x14ac:dyDescent="0.3">
      <c r="A123" s="461" t="s">
        <v>48</v>
      </c>
      <c r="B123" s="460" t="s">
        <v>139</v>
      </c>
      <c r="C123" s="281"/>
      <c r="D123" s="281"/>
      <c r="E123" s="281"/>
      <c r="F123" s="281"/>
      <c r="G123" s="281"/>
      <c r="H123" s="281"/>
    </row>
    <row r="124" spans="1:11" ht="19.5" customHeight="1" x14ac:dyDescent="0.3">
      <c r="A124" s="461" t="s">
        <v>6</v>
      </c>
      <c r="B124" s="460">
        <v>99.3</v>
      </c>
      <c r="C124" s="281"/>
      <c r="D124" s="281"/>
      <c r="E124" s="281"/>
      <c r="F124" s="281"/>
      <c r="G124" s="281"/>
      <c r="H124" s="281"/>
    </row>
    <row r="125" spans="1:11" s="2" customFormat="1" ht="15.75" customHeight="1" x14ac:dyDescent="0.3">
      <c r="A125" s="461" t="s">
        <v>49</v>
      </c>
      <c r="B125" s="460"/>
      <c r="C125" s="565" t="s">
        <v>50</v>
      </c>
      <c r="D125" s="566"/>
      <c r="E125" s="566"/>
      <c r="F125" s="566"/>
      <c r="G125" s="567"/>
      <c r="I125" s="282"/>
      <c r="J125" s="282"/>
      <c r="K125" s="282"/>
    </row>
    <row r="126" spans="1:11" s="2" customFormat="1" ht="19.5" customHeight="1" x14ac:dyDescent="0.3">
      <c r="A126" s="461" t="s">
        <v>51</v>
      </c>
      <c r="B126" s="462">
        <f>B124-B125</f>
        <v>99.3</v>
      </c>
      <c r="C126" s="463"/>
      <c r="D126" s="463"/>
      <c r="E126" s="463"/>
      <c r="F126" s="463"/>
      <c r="G126" s="464"/>
      <c r="I126" s="282"/>
      <c r="J126" s="282"/>
      <c r="K126" s="282"/>
    </row>
    <row r="127" spans="1:11" s="2" customFormat="1" ht="27" customHeight="1" x14ac:dyDescent="0.25">
      <c r="A127" s="309" t="s">
        <v>52</v>
      </c>
      <c r="B127" s="316">
        <v>1</v>
      </c>
      <c r="C127" s="568" t="s">
        <v>53</v>
      </c>
      <c r="D127" s="569"/>
      <c r="E127" s="569"/>
      <c r="F127" s="569"/>
      <c r="G127" s="569"/>
      <c r="H127" s="570"/>
      <c r="I127" s="282"/>
      <c r="J127" s="282"/>
      <c r="K127" s="282"/>
    </row>
    <row r="128" spans="1:11" s="2" customFormat="1" ht="27" customHeight="1" x14ac:dyDescent="0.25">
      <c r="A128" s="309" t="s">
        <v>54</v>
      </c>
      <c r="B128" s="316">
        <v>1</v>
      </c>
      <c r="C128" s="568" t="s">
        <v>55</v>
      </c>
      <c r="D128" s="569"/>
      <c r="E128" s="569"/>
      <c r="F128" s="569"/>
      <c r="G128" s="569"/>
      <c r="H128" s="570"/>
      <c r="I128" s="282"/>
      <c r="J128" s="282"/>
      <c r="K128" s="282"/>
    </row>
    <row r="129" spans="1:11" s="2" customFormat="1" ht="18.75" x14ac:dyDescent="0.25">
      <c r="A129" s="309"/>
      <c r="B129" s="317"/>
      <c r="C129" s="285"/>
      <c r="D129" s="285"/>
      <c r="E129" s="285"/>
      <c r="F129" s="285"/>
      <c r="G129" s="285"/>
      <c r="H129" s="285"/>
      <c r="I129" s="282"/>
      <c r="J129" s="282"/>
      <c r="K129" s="282"/>
    </row>
    <row r="130" spans="1:11" ht="18.75" x14ac:dyDescent="0.3">
      <c r="A130" s="309" t="s">
        <v>56</v>
      </c>
      <c r="B130" s="318">
        <f>B127/B128</f>
        <v>1</v>
      </c>
      <c r="C130" s="299" t="s">
        <v>57</v>
      </c>
      <c r="H130" s="312"/>
    </row>
    <row r="131" spans="1:11" ht="19.5" customHeight="1" x14ac:dyDescent="0.3">
      <c r="A131" s="458"/>
      <c r="B131" s="458"/>
      <c r="C131" s="281"/>
      <c r="D131" s="281"/>
      <c r="E131" s="281"/>
      <c r="F131" s="281"/>
      <c r="G131" s="281"/>
      <c r="H131" s="281"/>
    </row>
    <row r="132" spans="1:11" ht="27" customHeight="1" x14ac:dyDescent="0.3">
      <c r="A132" s="465" t="s">
        <v>126</v>
      </c>
      <c r="B132" s="520">
        <v>25</v>
      </c>
      <c r="C132" s="281"/>
      <c r="D132" s="571" t="s">
        <v>59</v>
      </c>
      <c r="E132" s="572"/>
      <c r="F132" s="571" t="s">
        <v>60</v>
      </c>
      <c r="G132" s="572"/>
      <c r="H132" s="281"/>
    </row>
    <row r="133" spans="1:11" ht="26.25" customHeight="1" x14ac:dyDescent="0.3">
      <c r="A133" s="466" t="s">
        <v>61</v>
      </c>
      <c r="B133" s="521">
        <v>10</v>
      </c>
      <c r="C133" s="467" t="s">
        <v>136</v>
      </c>
      <c r="D133" s="519" t="s">
        <v>63</v>
      </c>
      <c r="E133" s="468" t="s">
        <v>64</v>
      </c>
      <c r="F133" s="519" t="s">
        <v>63</v>
      </c>
      <c r="G133" s="468" t="s">
        <v>64</v>
      </c>
      <c r="H133" s="281"/>
    </row>
    <row r="134" spans="1:11" ht="26.25" customHeight="1" x14ac:dyDescent="0.3">
      <c r="A134" s="466" t="s">
        <v>66</v>
      </c>
      <c r="B134" s="521">
        <v>20</v>
      </c>
      <c r="C134" s="469">
        <v>1</v>
      </c>
      <c r="D134" s="397"/>
      <c r="E134" s="470" t="str">
        <f>IF(ISBLANK(D134),"-",$D$144/$D$141*D134)</f>
        <v>-</v>
      </c>
      <c r="F134" s="397"/>
      <c r="G134" s="470" t="str">
        <f>IF(ISBLANK(F134),"-",$D$144/$F$141*F134)</f>
        <v>-</v>
      </c>
      <c r="H134" s="281"/>
    </row>
    <row r="135" spans="1:11" ht="26.25" customHeight="1" x14ac:dyDescent="0.3">
      <c r="A135" s="466" t="s">
        <v>67</v>
      </c>
      <c r="B135" s="521">
        <v>1</v>
      </c>
      <c r="C135" s="471">
        <v>2</v>
      </c>
      <c r="D135" s="378"/>
      <c r="E135" s="472" t="str">
        <f>IF(ISBLANK(D135),"-",$D$144/$D$141*D135)</f>
        <v>-</v>
      </c>
      <c r="F135" s="378"/>
      <c r="G135" s="472" t="str">
        <f>IF(ISBLANK(F135),"-",$D$144/$F$141*F135)</f>
        <v>-</v>
      </c>
      <c r="H135" s="281"/>
    </row>
    <row r="136" spans="1:11" ht="26.25" customHeight="1" x14ac:dyDescent="0.3">
      <c r="A136" s="466" t="s">
        <v>68</v>
      </c>
      <c r="B136" s="521">
        <v>1</v>
      </c>
      <c r="C136" s="471">
        <v>3</v>
      </c>
      <c r="D136" s="378"/>
      <c r="E136" s="472" t="str">
        <f>IF(ISBLANK(D136),"-",$D$144/$D$141*D136)</f>
        <v>-</v>
      </c>
      <c r="F136" s="378"/>
      <c r="G136" s="472" t="str">
        <f>IF(ISBLANK(F136),"-",$D$144/$F$141*F136)</f>
        <v>-</v>
      </c>
      <c r="H136" s="281"/>
    </row>
    <row r="137" spans="1:11" ht="26.25" customHeight="1" x14ac:dyDescent="0.3">
      <c r="A137" s="466" t="s">
        <v>69</v>
      </c>
      <c r="B137" s="521">
        <v>1</v>
      </c>
      <c r="C137" s="473">
        <v>4</v>
      </c>
      <c r="D137" s="404"/>
      <c r="E137" s="474" t="str">
        <f>IF(ISBLANK(D137),"-",$D$144/$D$141*D137)</f>
        <v>-</v>
      </c>
      <c r="F137" s="404"/>
      <c r="G137" s="474" t="str">
        <f>IF(ISBLANK(F137),"-",$D$144/$D$141*F137)</f>
        <v>-</v>
      </c>
      <c r="H137" s="281"/>
    </row>
    <row r="138" spans="1:11" ht="27" customHeight="1" x14ac:dyDescent="0.3">
      <c r="A138" s="466" t="s">
        <v>70</v>
      </c>
      <c r="B138" s="521">
        <v>1</v>
      </c>
      <c r="C138" s="475" t="s">
        <v>71</v>
      </c>
      <c r="D138" s="476" t="e">
        <f>AVERAGE(D134:D137)</f>
        <v>#DIV/0!</v>
      </c>
      <c r="E138" s="523" t="e">
        <f>AVERAGE(E134:E137)</f>
        <v>#DIV/0!</v>
      </c>
      <c r="F138" s="476" t="e">
        <f>AVERAGE(F134:F137)</f>
        <v>#DIV/0!</v>
      </c>
      <c r="G138" s="524" t="e">
        <f>AVERAGE(G134:G137)</f>
        <v>#DIV/0!</v>
      </c>
      <c r="H138" s="281"/>
    </row>
    <row r="139" spans="1:11" ht="26.25" customHeight="1" x14ac:dyDescent="0.3">
      <c r="A139" s="466" t="s">
        <v>72</v>
      </c>
      <c r="B139" s="521">
        <v>1</v>
      </c>
      <c r="C139" s="477" t="s">
        <v>113</v>
      </c>
      <c r="D139" s="322"/>
      <c r="E139" s="286"/>
      <c r="F139" s="518"/>
      <c r="G139" s="281"/>
      <c r="H139" s="281"/>
    </row>
    <row r="140" spans="1:11" ht="26.25" customHeight="1" x14ac:dyDescent="0.3">
      <c r="A140" s="466" t="s">
        <v>74</v>
      </c>
      <c r="B140" s="521">
        <v>1</v>
      </c>
      <c r="C140" s="478" t="s">
        <v>114</v>
      </c>
      <c r="D140" s="479">
        <f>D139*B130</f>
        <v>0</v>
      </c>
      <c r="E140" s="480"/>
      <c r="F140" s="481">
        <f>F139*B130</f>
        <v>0</v>
      </c>
      <c r="G140" s="281"/>
      <c r="H140" s="281"/>
    </row>
    <row r="141" spans="1:11" ht="19.5" customHeight="1" x14ac:dyDescent="0.3">
      <c r="A141" s="466" t="s">
        <v>76</v>
      </c>
      <c r="B141" s="522">
        <f>(B140/B139)*(B138/B137)*(B136/B135)*(B134/B133)*B132</f>
        <v>50</v>
      </c>
      <c r="C141" s="478" t="s">
        <v>115</v>
      </c>
      <c r="D141" s="482">
        <f>D140*B126/100</f>
        <v>0</v>
      </c>
      <c r="E141" s="483"/>
      <c r="F141" s="484">
        <f>F140*B126/100</f>
        <v>0</v>
      </c>
      <c r="G141" s="281"/>
      <c r="H141" s="281"/>
    </row>
    <row r="142" spans="1:11" ht="19.5" customHeight="1" x14ac:dyDescent="0.3">
      <c r="A142" s="559" t="s">
        <v>78</v>
      </c>
      <c r="B142" s="574"/>
      <c r="C142" s="478" t="s">
        <v>116</v>
      </c>
      <c r="D142" s="479">
        <f>D141/$B$141</f>
        <v>0</v>
      </c>
      <c r="E142" s="483"/>
      <c r="F142" s="485">
        <f>F141/$B$141</f>
        <v>0</v>
      </c>
      <c r="G142" s="486"/>
      <c r="H142" s="487"/>
    </row>
    <row r="143" spans="1:11" ht="19.5" customHeight="1" x14ac:dyDescent="0.3">
      <c r="A143" s="561"/>
      <c r="B143" s="575"/>
      <c r="C143" s="478" t="s">
        <v>127</v>
      </c>
      <c r="D143" s="488">
        <f>$B$56/$B$159</f>
        <v>0.6</v>
      </c>
      <c r="E143" s="281"/>
      <c r="F143" s="489"/>
      <c r="G143" s="490"/>
      <c r="H143" s="487"/>
    </row>
    <row r="144" spans="1:11" ht="18.75" x14ac:dyDescent="0.3">
      <c r="A144" s="281"/>
      <c r="B144" s="281"/>
      <c r="C144" s="478" t="s">
        <v>81</v>
      </c>
      <c r="D144" s="479">
        <f>D143*$B$141</f>
        <v>30</v>
      </c>
      <c r="E144" s="281"/>
      <c r="F144" s="489"/>
      <c r="G144" s="486"/>
      <c r="H144" s="487"/>
    </row>
    <row r="145" spans="1:9" ht="19.5" customHeight="1" x14ac:dyDescent="0.3">
      <c r="A145" s="281"/>
      <c r="B145" s="281"/>
      <c r="C145" s="491" t="s">
        <v>82</v>
      </c>
      <c r="D145" s="492">
        <f>D144/B130</f>
        <v>30</v>
      </c>
      <c r="E145" s="281"/>
      <c r="F145" s="493"/>
      <c r="G145" s="486"/>
      <c r="H145" s="487"/>
      <c r="I145" s="288"/>
    </row>
    <row r="146" spans="1:9" ht="18.75" x14ac:dyDescent="0.3">
      <c r="A146" s="281"/>
      <c r="B146" s="281"/>
      <c r="C146" s="494" t="s">
        <v>117</v>
      </c>
      <c r="D146" s="495" t="e">
        <f>AVERAGE(E134:E137,G134:G137)</f>
        <v>#DIV/0!</v>
      </c>
      <c r="E146" s="281"/>
      <c r="F146" s="493"/>
      <c r="G146" s="496"/>
      <c r="H146" s="487"/>
      <c r="I146" s="289"/>
    </row>
    <row r="147" spans="1:9" ht="18.75" x14ac:dyDescent="0.3">
      <c r="A147" s="281"/>
      <c r="B147" s="281"/>
      <c r="C147" s="497" t="s">
        <v>84</v>
      </c>
      <c r="D147" s="498" t="e">
        <f>STDEV(E134:E137,G134:G137)/D146</f>
        <v>#DIV/0!</v>
      </c>
      <c r="E147" s="281"/>
      <c r="F147" s="493"/>
      <c r="G147" s="486"/>
      <c r="H147" s="487"/>
      <c r="I147" s="289"/>
    </row>
    <row r="148" spans="1:9" ht="19.5" customHeight="1" x14ac:dyDescent="0.3">
      <c r="A148" s="281"/>
      <c r="B148" s="281"/>
      <c r="C148" s="499" t="s">
        <v>20</v>
      </c>
      <c r="D148" s="500">
        <f>COUNT(E134:E137,G134:G137)</f>
        <v>0</v>
      </c>
      <c r="E148" s="281"/>
      <c r="F148" s="493"/>
      <c r="G148" s="486"/>
      <c r="H148" s="487"/>
      <c r="I148" s="289"/>
    </row>
    <row r="149" spans="1:9" ht="19.5" customHeight="1" x14ac:dyDescent="0.3">
      <c r="A149" s="501"/>
      <c r="B149" s="501"/>
      <c r="C149" s="501"/>
      <c r="D149" s="501"/>
      <c r="E149" s="501"/>
      <c r="F149" s="281"/>
      <c r="G149" s="281"/>
      <c r="H149" s="281"/>
    </row>
    <row r="150" spans="1:9" ht="17.25" customHeight="1" x14ac:dyDescent="0.3">
      <c r="A150" s="465" t="s">
        <v>118</v>
      </c>
      <c r="B150" s="520">
        <v>1000</v>
      </c>
      <c r="C150" s="502" t="s">
        <v>133</v>
      </c>
      <c r="D150" s="526" t="s">
        <v>63</v>
      </c>
      <c r="E150" s="503" t="s">
        <v>120</v>
      </c>
      <c r="F150" s="504" t="s">
        <v>121</v>
      </c>
      <c r="G150" s="281"/>
      <c r="H150" s="281"/>
    </row>
    <row r="151" spans="1:9" ht="26.25" customHeight="1" x14ac:dyDescent="0.3">
      <c r="A151" s="466" t="s">
        <v>122</v>
      </c>
      <c r="B151" s="521">
        <v>1</v>
      </c>
      <c r="C151" s="505">
        <v>1</v>
      </c>
      <c r="D151" s="527"/>
      <c r="E151" s="506" t="str">
        <f t="shared" ref="E151:E156" si="3">IF(ISBLANK(D151),"-",D151/$D$146*$D$143*$B$159)</f>
        <v>-</v>
      </c>
      <c r="F151" s="507" t="str">
        <f t="shared" ref="F151:F156" si="4">IF(ISBLANK(D151), "-", E151/$B$56)</f>
        <v>-</v>
      </c>
      <c r="G151" s="281"/>
      <c r="H151" s="281"/>
    </row>
    <row r="152" spans="1:9" ht="26.25" customHeight="1" x14ac:dyDescent="0.3">
      <c r="A152" s="466" t="s">
        <v>95</v>
      </c>
      <c r="B152" s="521">
        <v>1</v>
      </c>
      <c r="C152" s="505">
        <v>2</v>
      </c>
      <c r="D152" s="528"/>
      <c r="E152" s="508" t="str">
        <f t="shared" si="3"/>
        <v>-</v>
      </c>
      <c r="F152" s="509" t="str">
        <f t="shared" si="4"/>
        <v>-</v>
      </c>
      <c r="G152" s="281"/>
      <c r="H152" s="281"/>
    </row>
    <row r="153" spans="1:9" ht="26.25" customHeight="1" x14ac:dyDescent="0.3">
      <c r="A153" s="466" t="s">
        <v>96</v>
      </c>
      <c r="B153" s="521">
        <v>1</v>
      </c>
      <c r="C153" s="505">
        <v>3</v>
      </c>
      <c r="D153" s="528"/>
      <c r="E153" s="508" t="str">
        <f t="shared" si="3"/>
        <v>-</v>
      </c>
      <c r="F153" s="509" t="str">
        <f t="shared" si="4"/>
        <v>-</v>
      </c>
      <c r="G153" s="281"/>
      <c r="H153" s="281"/>
    </row>
    <row r="154" spans="1:9" ht="26.25" customHeight="1" x14ac:dyDescent="0.3">
      <c r="A154" s="466" t="s">
        <v>97</v>
      </c>
      <c r="B154" s="521">
        <v>1</v>
      </c>
      <c r="C154" s="505">
        <v>4</v>
      </c>
      <c r="D154" s="528"/>
      <c r="E154" s="508" t="str">
        <f t="shared" si="3"/>
        <v>-</v>
      </c>
      <c r="F154" s="509" t="str">
        <f t="shared" si="4"/>
        <v>-</v>
      </c>
      <c r="G154" s="281"/>
      <c r="H154" s="281"/>
    </row>
    <row r="155" spans="1:9" ht="26.25" customHeight="1" x14ac:dyDescent="0.3">
      <c r="A155" s="466" t="s">
        <v>98</v>
      </c>
      <c r="B155" s="521">
        <v>1</v>
      </c>
      <c r="C155" s="505">
        <v>5</v>
      </c>
      <c r="D155" s="528"/>
      <c r="E155" s="508" t="str">
        <f t="shared" si="3"/>
        <v>-</v>
      </c>
      <c r="F155" s="509" t="str">
        <f t="shared" si="4"/>
        <v>-</v>
      </c>
      <c r="G155" s="281"/>
      <c r="H155" s="281"/>
    </row>
    <row r="156" spans="1:9" ht="26.25" customHeight="1" x14ac:dyDescent="0.3">
      <c r="A156" s="466" t="s">
        <v>100</v>
      </c>
      <c r="B156" s="521">
        <v>1</v>
      </c>
      <c r="C156" s="510">
        <v>6</v>
      </c>
      <c r="D156" s="529"/>
      <c r="E156" s="511" t="str">
        <f t="shared" si="3"/>
        <v>-</v>
      </c>
      <c r="F156" s="512" t="str">
        <f t="shared" si="4"/>
        <v>-</v>
      </c>
      <c r="G156" s="281"/>
      <c r="H156" s="281"/>
    </row>
    <row r="157" spans="1:9" ht="26.25" customHeight="1" x14ac:dyDescent="0.3">
      <c r="A157" s="466" t="s">
        <v>101</v>
      </c>
      <c r="B157" s="521">
        <v>1</v>
      </c>
      <c r="C157" s="505"/>
      <c r="D157" s="471"/>
      <c r="E157" s="287"/>
      <c r="F157" s="513"/>
      <c r="G157" s="281"/>
      <c r="H157" s="281"/>
    </row>
    <row r="158" spans="1:9" ht="26.25" customHeight="1" x14ac:dyDescent="0.4">
      <c r="A158" s="466" t="s">
        <v>102</v>
      </c>
      <c r="B158" s="521">
        <v>1</v>
      </c>
      <c r="C158" s="505"/>
      <c r="D158" s="514"/>
      <c r="E158" s="540" t="s">
        <v>71</v>
      </c>
      <c r="F158" s="538" t="e">
        <f>AVERAGE(F151:F156)</f>
        <v>#DIV/0!</v>
      </c>
      <c r="G158" s="281"/>
      <c r="H158" s="281"/>
    </row>
    <row r="159" spans="1:9" ht="27" customHeight="1" x14ac:dyDescent="0.4">
      <c r="A159" s="466" t="s">
        <v>103</v>
      </c>
      <c r="B159" s="522">
        <f>(B158/B157)*(B156/B155)*(B154/B153)*(B152/B151)*B150</f>
        <v>1000</v>
      </c>
      <c r="C159" s="515"/>
      <c r="D159" s="287"/>
      <c r="E159" s="541" t="s">
        <v>84</v>
      </c>
      <c r="F159" s="539" t="e">
        <f>STDEV(F151:F156)/F158</f>
        <v>#DIV/0!</v>
      </c>
      <c r="G159" s="281"/>
      <c r="H159" s="281"/>
    </row>
    <row r="160" spans="1:9" ht="27" customHeight="1" x14ac:dyDescent="0.4">
      <c r="A160" s="559" t="s">
        <v>78</v>
      </c>
      <c r="B160" s="560"/>
      <c r="C160" s="516"/>
      <c r="D160" s="536"/>
      <c r="E160" s="542" t="s">
        <v>20</v>
      </c>
      <c r="F160" s="537">
        <f>COUNT(F151:F156)</f>
        <v>0</v>
      </c>
      <c r="G160" s="281"/>
      <c r="H160" s="281"/>
      <c r="I160" s="289"/>
    </row>
    <row r="161" spans="1:8" ht="19.5" customHeight="1" x14ac:dyDescent="0.3">
      <c r="A161" s="561"/>
      <c r="B161" s="562"/>
      <c r="C161" s="287"/>
      <c r="D161" s="287"/>
      <c r="E161" s="287"/>
      <c r="F161" s="471"/>
      <c r="G161" s="287"/>
      <c r="H161" s="287"/>
    </row>
    <row r="162" spans="1:8" ht="18.75" x14ac:dyDescent="0.3">
      <c r="A162" s="285"/>
      <c r="B162" s="285"/>
      <c r="C162" s="287"/>
      <c r="D162" s="287"/>
      <c r="E162" s="287"/>
      <c r="F162" s="471"/>
      <c r="G162" s="287"/>
      <c r="H162" s="287"/>
    </row>
    <row r="163" spans="1:8" ht="18.75" x14ac:dyDescent="0.3">
      <c r="A163" s="458" t="s">
        <v>134</v>
      </c>
      <c r="B163" s="517" t="s">
        <v>137</v>
      </c>
      <c r="C163" s="287"/>
      <c r="D163" s="287"/>
      <c r="E163" s="287"/>
      <c r="F163" s="471"/>
      <c r="G163" s="287"/>
      <c r="H163" s="287"/>
    </row>
    <row r="164" spans="1:8" ht="19.5" customHeight="1" x14ac:dyDescent="0.3">
      <c r="A164" s="285"/>
      <c r="B164" s="285"/>
      <c r="C164" s="287"/>
      <c r="D164" s="287"/>
      <c r="E164" s="287"/>
      <c r="F164" s="471"/>
      <c r="G164" s="287"/>
      <c r="H164" s="287"/>
    </row>
    <row r="165" spans="1:8" ht="26.25" customHeight="1" x14ac:dyDescent="0.4">
      <c r="A165" s="530" t="s">
        <v>71</v>
      </c>
      <c r="B165" s="533">
        <f>AVERAGE(F108:F113,F151:F156)</f>
        <v>0.80915751789765189</v>
      </c>
      <c r="C165" s="287"/>
      <c r="D165" s="287"/>
      <c r="E165" s="287"/>
      <c r="F165" s="471"/>
      <c r="G165" s="287"/>
      <c r="H165" s="287"/>
    </row>
    <row r="166" spans="1:8" ht="26.25" customHeight="1" x14ac:dyDescent="0.4">
      <c r="A166" s="466" t="s">
        <v>84</v>
      </c>
      <c r="B166" s="532">
        <f>STDEV(F108:F113,F151:F156)/B165</f>
        <v>8.7299421099832936E-2</v>
      </c>
      <c r="C166" s="287"/>
      <c r="D166" s="287"/>
      <c r="E166" s="287"/>
      <c r="F166" s="471"/>
      <c r="G166" s="287"/>
      <c r="H166" s="287"/>
    </row>
    <row r="167" spans="1:8" ht="27" customHeight="1" x14ac:dyDescent="0.4">
      <c r="A167" s="531" t="s">
        <v>20</v>
      </c>
      <c r="B167" s="535">
        <f>COUNT(F108:F113,F151:F156)</f>
        <v>6</v>
      </c>
      <c r="C167" s="287"/>
      <c r="D167" s="287"/>
      <c r="E167" s="287"/>
      <c r="F167" s="471"/>
      <c r="G167" s="287"/>
      <c r="H167" s="287"/>
    </row>
    <row r="168" spans="1:8" ht="26.25" customHeight="1" x14ac:dyDescent="0.3">
      <c r="A168" s="308" t="s">
        <v>132</v>
      </c>
      <c r="B168" s="392" t="s">
        <v>123</v>
      </c>
      <c r="C168" s="577" t="str">
        <f>B20</f>
        <v xml:space="preserve">Efavirenz   </v>
      </c>
      <c r="D168" s="577"/>
      <c r="E168" s="393" t="s">
        <v>124</v>
      </c>
      <c r="F168" s="393"/>
      <c r="G168" s="534">
        <f>B165</f>
        <v>0.80915751789765189</v>
      </c>
      <c r="H168" s="393"/>
    </row>
    <row r="169" spans="1:8" ht="19.5" customHeight="1" x14ac:dyDescent="0.3">
      <c r="A169" s="297"/>
      <c r="B169" s="297"/>
      <c r="C169" s="443"/>
      <c r="D169" s="443"/>
      <c r="E169" s="443"/>
      <c r="F169" s="443"/>
      <c r="G169" s="443"/>
      <c r="H169" s="443"/>
    </row>
    <row r="170" spans="1:8" ht="18.75" x14ac:dyDescent="0.3">
      <c r="B170" s="576" t="s">
        <v>26</v>
      </c>
      <c r="C170" s="576"/>
      <c r="E170" s="296" t="s">
        <v>27</v>
      </c>
      <c r="F170" s="444"/>
      <c r="G170" s="576" t="s">
        <v>28</v>
      </c>
      <c r="H170" s="576"/>
    </row>
    <row r="171" spans="1:8" ht="83.25" customHeight="1" x14ac:dyDescent="0.3">
      <c r="A171" s="445" t="s">
        <v>29</v>
      </c>
      <c r="B171" s="446"/>
      <c r="C171" s="446"/>
      <c r="E171" s="447"/>
      <c r="F171" s="393"/>
      <c r="G171" s="448"/>
      <c r="H171" s="448"/>
    </row>
    <row r="172" spans="1:8" ht="84" customHeight="1" x14ac:dyDescent="0.3">
      <c r="A172" s="445" t="s">
        <v>30</v>
      </c>
      <c r="B172" s="449"/>
      <c r="C172" s="449"/>
      <c r="E172" s="450"/>
      <c r="F172" s="393"/>
      <c r="G172" s="451"/>
      <c r="H172" s="451"/>
    </row>
    <row r="173" spans="1:8" ht="18.75" x14ac:dyDescent="0.3">
      <c r="A173" s="388"/>
      <c r="B173" s="388"/>
      <c r="C173" s="329"/>
      <c r="D173" s="329"/>
      <c r="E173" s="329"/>
      <c r="F173" s="390"/>
      <c r="G173" s="329"/>
      <c r="H173" s="329"/>
    </row>
    <row r="174" spans="1:8" ht="18.75" x14ac:dyDescent="0.3">
      <c r="A174" s="388"/>
      <c r="B174" s="388"/>
      <c r="C174" s="329"/>
      <c r="D174" s="329"/>
      <c r="E174" s="329"/>
      <c r="F174" s="390"/>
      <c r="G174" s="329"/>
      <c r="H174" s="329"/>
    </row>
    <row r="175" spans="1:8" ht="18.75" x14ac:dyDescent="0.3">
      <c r="A175" s="388"/>
      <c r="B175" s="388"/>
      <c r="C175" s="329"/>
      <c r="D175" s="329"/>
      <c r="E175" s="329"/>
      <c r="F175" s="390"/>
      <c r="G175" s="329"/>
      <c r="H175" s="329"/>
    </row>
    <row r="176" spans="1:8" ht="18.75" x14ac:dyDescent="0.3">
      <c r="A176" s="388"/>
      <c r="B176" s="388"/>
      <c r="C176" s="329"/>
      <c r="D176" s="329"/>
      <c r="E176" s="329"/>
      <c r="F176" s="390"/>
      <c r="G176" s="329"/>
      <c r="H176" s="329"/>
    </row>
    <row r="177" spans="1:8" ht="18.75" x14ac:dyDescent="0.3">
      <c r="A177" s="388"/>
      <c r="B177" s="388"/>
      <c r="C177" s="329"/>
      <c r="D177" s="329"/>
      <c r="E177" s="329"/>
      <c r="F177" s="390"/>
      <c r="G177" s="329"/>
      <c r="H177" s="329"/>
    </row>
    <row r="178" spans="1:8" ht="18.75" x14ac:dyDescent="0.3">
      <c r="A178" s="388"/>
      <c r="B178" s="388"/>
      <c r="C178" s="329"/>
      <c r="D178" s="329"/>
      <c r="E178" s="329"/>
      <c r="F178" s="390"/>
      <c r="G178" s="329"/>
      <c r="H178" s="329"/>
    </row>
    <row r="179" spans="1:8" ht="18.75" x14ac:dyDescent="0.3">
      <c r="A179" s="388"/>
      <c r="B179" s="388"/>
      <c r="C179" s="329"/>
      <c r="D179" s="329"/>
      <c r="E179" s="329"/>
      <c r="F179" s="390"/>
      <c r="G179" s="329"/>
      <c r="H179" s="329"/>
    </row>
    <row r="180" spans="1:8" ht="18.75" x14ac:dyDescent="0.3">
      <c r="A180" s="388"/>
      <c r="B180" s="388"/>
      <c r="C180" s="329"/>
      <c r="D180" s="329"/>
      <c r="E180" s="329"/>
      <c r="F180" s="390"/>
      <c r="G180" s="329"/>
      <c r="H180" s="329"/>
    </row>
    <row r="181" spans="1:8" ht="18.75" x14ac:dyDescent="0.3">
      <c r="A181" s="388"/>
      <c r="B181" s="388"/>
      <c r="C181" s="329"/>
      <c r="D181" s="329"/>
      <c r="E181" s="329"/>
      <c r="F181" s="390"/>
      <c r="G181" s="329"/>
      <c r="H181" s="329"/>
    </row>
    <row r="250" spans="1:1" x14ac:dyDescent="0.3">
      <c r="A250" s="19">
        <v>0</v>
      </c>
    </row>
  </sheetData>
  <sheetProtection password="F258" sheet="1" objects="1" scenarios="1" formatCells="0" formatColumns="0" formatRows="0"/>
  <mergeCells count="39">
    <mergeCell ref="C125:G125"/>
    <mergeCell ref="F132:G132"/>
    <mergeCell ref="A142:B143"/>
    <mergeCell ref="A160:B161"/>
    <mergeCell ref="C127:H127"/>
    <mergeCell ref="C128:H128"/>
    <mergeCell ref="D132:E132"/>
    <mergeCell ref="B170:C170"/>
    <mergeCell ref="G170:H170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A70:B71"/>
    <mergeCell ref="C168:D168"/>
    <mergeCell ref="C84:H84"/>
    <mergeCell ref="A1:H7"/>
    <mergeCell ref="A8:H14"/>
    <mergeCell ref="A117:B118"/>
    <mergeCell ref="A99:B100"/>
    <mergeCell ref="A16:H16"/>
    <mergeCell ref="B79:C79"/>
    <mergeCell ref="B80:C80"/>
    <mergeCell ref="B26:C26"/>
    <mergeCell ref="B27:C27"/>
    <mergeCell ref="A17:H17"/>
    <mergeCell ref="B18:C18"/>
    <mergeCell ref="F89:G89"/>
    <mergeCell ref="A46:B47"/>
    <mergeCell ref="C82:G82"/>
    <mergeCell ref="C76:D76"/>
    <mergeCell ref="C85:H85"/>
  </mergeCells>
  <conditionalFormatting sqref="D51">
    <cfRule type="cellIs" dxfId="2" priority="1" operator="greaterThan">
      <formula>0.02</formula>
    </cfRule>
  </conditionalFormatting>
  <conditionalFormatting sqref="H73">
    <cfRule type="cellIs" dxfId="1" priority="2" operator="greaterThan">
      <formula>0.02</formula>
    </cfRule>
  </conditionalFormatting>
  <conditionalFormatting sqref="D104">
    <cfRule type="cellIs" dxfId="0" priority="3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19" fitToHeight="2" orientation="landscape" r:id="rId1"/>
  <headerFooter alignWithMargins="0">
    <oddHeader>&amp;LVer 2</oddHeader>
    <oddFooter>&amp;LNQCL/ADDO/014&amp;CPage &amp;P of &amp;N&amp;R&amp;D &amp;T</oddFooter>
  </headerFooter>
  <rowBreaks count="1" manualBreakCount="1">
    <brk id="7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</vt:lpstr>
      <vt:lpstr>Uniformity</vt:lpstr>
      <vt:lpstr>Lamivudine</vt:lpstr>
      <vt:lpstr>Efavirenz</vt:lpstr>
      <vt:lpstr>Efavirenz!Print_Area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dcterms:created xsi:type="dcterms:W3CDTF">2005-07-05T10:19:27Z</dcterms:created>
  <dcterms:modified xsi:type="dcterms:W3CDTF">2016-10-28T11:53:51Z</dcterms:modified>
</cp:coreProperties>
</file>