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528" windowWidth="20772" windowHeight="11448"/>
  </bookViews>
  <sheets>
    <sheet name="SST(zid)" sheetId="7" r:id="rId1"/>
    <sheet name="SST(nev)" sheetId="6" r:id="rId2"/>
    <sheet name="SST(lam)" sheetId="1" r:id="rId3"/>
    <sheet name="Uniformity" sheetId="2" r:id="rId4"/>
    <sheet name="Uniformity (3TC)" sheetId="10" r:id="rId5"/>
    <sheet name="Lamivudine" sheetId="8" r:id="rId6"/>
    <sheet name="Nevirapine" sheetId="4" r:id="rId7"/>
    <sheet name="Zidovudine" sheetId="5" r:id="rId8"/>
  </sheets>
  <definedNames>
    <definedName name="_xlnm.Print_Area" localSheetId="5">Lamivudine!$A$1:$I$125</definedName>
    <definedName name="_xlnm.Print_Area" localSheetId="3">Uniformity!$A$1:$H$54</definedName>
    <definedName name="_xlnm.Print_Area" localSheetId="4">'Uniformity (3TC)'!$A$12:$H$56</definedName>
  </definedNames>
  <calcPr calcId="145621"/>
</workbook>
</file>

<file path=xl/calcChain.xml><?xml version="1.0" encoding="utf-8"?>
<calcChain xmlns="http://schemas.openxmlformats.org/spreadsheetml/2006/main">
  <c r="B57" i="8" l="1"/>
  <c r="D50" i="10"/>
  <c r="C50" i="10"/>
  <c r="D49" i="10"/>
  <c r="C49" i="10"/>
  <c r="B49" i="10"/>
  <c r="C46" i="10"/>
  <c r="C45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C19" i="10"/>
  <c r="B69" i="8" l="1"/>
  <c r="C120" i="8"/>
  <c r="B116" i="8"/>
  <c r="D100" i="8" s="1"/>
  <c r="D101" i="8" s="1"/>
  <c r="D102" i="8" s="1"/>
  <c r="F113" i="8"/>
  <c r="E113" i="8"/>
  <c r="F112" i="8"/>
  <c r="E112" i="8"/>
  <c r="F111" i="8"/>
  <c r="E111" i="8"/>
  <c r="F110" i="8"/>
  <c r="F115" i="8" s="1"/>
  <c r="E110" i="8"/>
  <c r="F109" i="8"/>
  <c r="E109" i="8"/>
  <c r="F108" i="8"/>
  <c r="F117" i="8" s="1"/>
  <c r="E108" i="8"/>
  <c r="E115" i="8" s="1"/>
  <c r="E116" i="8" s="1"/>
  <c r="B98" i="8"/>
  <c r="F95" i="8"/>
  <c r="D95" i="8"/>
  <c r="I92" i="8" s="1"/>
  <c r="G94" i="8"/>
  <c r="E94" i="8"/>
  <c r="D103" i="8" s="1"/>
  <c r="D104" i="8" s="1"/>
  <c r="G93" i="8"/>
  <c r="E93" i="8"/>
  <c r="G92" i="8"/>
  <c r="E92" i="8"/>
  <c r="G91" i="8"/>
  <c r="G95" i="8" s="1"/>
  <c r="E91" i="8"/>
  <c r="D105" i="8" s="1"/>
  <c r="B87" i="8"/>
  <c r="F97" i="8" s="1"/>
  <c r="F98" i="8" s="1"/>
  <c r="F99" i="8" s="1"/>
  <c r="B83" i="8"/>
  <c r="C76" i="8"/>
  <c r="H71" i="8"/>
  <c r="G71" i="8"/>
  <c r="B68" i="8"/>
  <c r="H67" i="8"/>
  <c r="G67" i="8"/>
  <c r="H63" i="8"/>
  <c r="G63" i="8"/>
  <c r="C56" i="8"/>
  <c r="B55" i="8"/>
  <c r="B45" i="8"/>
  <c r="D48" i="8" s="1"/>
  <c r="F42" i="8"/>
  <c r="D42" i="8"/>
  <c r="I39" i="8" s="1"/>
  <c r="G41" i="8"/>
  <c r="E41" i="8"/>
  <c r="B34" i="8"/>
  <c r="F44" i="8" s="1"/>
  <c r="F45" i="8" s="1"/>
  <c r="F46" i="8" s="1"/>
  <c r="B30" i="8"/>
  <c r="G40" i="8" l="1"/>
  <c r="D49" i="8"/>
  <c r="G39" i="8"/>
  <c r="E38" i="8"/>
  <c r="G38" i="8"/>
  <c r="G42" i="8" s="1"/>
  <c r="G120" i="8"/>
  <c r="F116" i="8"/>
  <c r="E95" i="8"/>
  <c r="D44" i="8"/>
  <c r="D45" i="8" s="1"/>
  <c r="D46" i="8" s="1"/>
  <c r="D97" i="8"/>
  <c r="D98" i="8" s="1"/>
  <c r="D99" i="8" s="1"/>
  <c r="E117" i="8"/>
  <c r="E40" i="8" l="1"/>
  <c r="E39" i="8"/>
  <c r="D52" i="8" s="1"/>
  <c r="E42" i="8" l="1"/>
  <c r="D50" i="8"/>
  <c r="G65" i="8" l="1"/>
  <c r="H65" i="8" s="1"/>
  <c r="G61" i="8"/>
  <c r="H61" i="8" s="1"/>
  <c r="G70" i="8"/>
  <c r="H70" i="8" s="1"/>
  <c r="G69" i="8"/>
  <c r="H69" i="8" s="1"/>
  <c r="G68" i="8"/>
  <c r="H68" i="8" s="1"/>
  <c r="G60" i="8"/>
  <c r="G66" i="8"/>
  <c r="H66" i="8" s="1"/>
  <c r="G64" i="8"/>
  <c r="H64" i="8" s="1"/>
  <c r="G62" i="8"/>
  <c r="H62" i="8" s="1"/>
  <c r="D51" i="8"/>
  <c r="G72" i="8" l="1"/>
  <c r="G73" i="8" s="1"/>
  <c r="G74" i="8"/>
  <c r="H60" i="8"/>
  <c r="H74" i="8" l="1"/>
  <c r="H72" i="8"/>
  <c r="G76" i="8" l="1"/>
  <c r="H73" i="8"/>
  <c r="B53" i="7" l="1"/>
  <c r="E51" i="7"/>
  <c r="D51" i="7"/>
  <c r="C51" i="7"/>
  <c r="B51" i="7"/>
  <c r="B52" i="7" s="1"/>
  <c r="B32" i="7"/>
  <c r="E30" i="7"/>
  <c r="D30" i="7"/>
  <c r="C30" i="7"/>
  <c r="B30" i="7"/>
  <c r="B31" i="7" s="1"/>
  <c r="B53" i="6"/>
  <c r="E51" i="6"/>
  <c r="D51" i="6"/>
  <c r="C51" i="6"/>
  <c r="B51" i="6"/>
  <c r="B52" i="6" s="1"/>
  <c r="B32" i="6"/>
  <c r="E30" i="6"/>
  <c r="D30" i="6"/>
  <c r="C30" i="6"/>
  <c r="B30" i="6"/>
  <c r="B31" i="6" s="1"/>
  <c r="C120" i="5" l="1"/>
  <c r="B116" i="5"/>
  <c r="D100" i="5"/>
  <c r="B98" i="5"/>
  <c r="F95" i="5"/>
  <c r="D95" i="5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I39" i="5"/>
  <c r="B34" i="5"/>
  <c r="D44" i="5" s="1"/>
  <c r="D45" i="5" s="1"/>
  <c r="B30" i="5"/>
  <c r="C120" i="4"/>
  <c r="B116" i="4"/>
  <c r="D100" i="4"/>
  <c r="B98" i="4"/>
  <c r="D101" i="4" s="1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46" i="2"/>
  <c r="D27" i="2" s="1"/>
  <c r="C4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35" i="2" l="1"/>
  <c r="D29" i="2"/>
  <c r="D31" i="2"/>
  <c r="D49" i="2"/>
  <c r="D37" i="2"/>
  <c r="D40" i="2"/>
  <c r="D25" i="2"/>
  <c r="D43" i="2"/>
  <c r="D33" i="2"/>
  <c r="I92" i="5"/>
  <c r="I92" i="4"/>
  <c r="D101" i="5"/>
  <c r="D102" i="5" s="1"/>
  <c r="D49" i="5"/>
  <c r="F44" i="5"/>
  <c r="F45" i="5" s="1"/>
  <c r="G40" i="5" s="1"/>
  <c r="I39" i="4"/>
  <c r="D49" i="4"/>
  <c r="F44" i="4"/>
  <c r="F45" i="4" s="1"/>
  <c r="D45" i="4"/>
  <c r="D46" i="4" s="1"/>
  <c r="D50" i="2"/>
  <c r="B49" i="2"/>
  <c r="D42" i="2"/>
  <c r="D38" i="2"/>
  <c r="B57" i="5"/>
  <c r="B69" i="5" s="1"/>
  <c r="B57" i="4"/>
  <c r="B69" i="4" s="1"/>
  <c r="D24" i="2"/>
  <c r="D28" i="2"/>
  <c r="D32" i="2"/>
  <c r="D36" i="2"/>
  <c r="D41" i="2"/>
  <c r="C49" i="2"/>
  <c r="F98" i="5"/>
  <c r="F99" i="5" s="1"/>
  <c r="D102" i="4"/>
  <c r="D26" i="2"/>
  <c r="D30" i="2"/>
  <c r="D34" i="2"/>
  <c r="D39" i="2"/>
  <c r="C50" i="2"/>
  <c r="F98" i="4"/>
  <c r="F99" i="4" s="1"/>
  <c r="E38" i="5"/>
  <c r="D46" i="5"/>
  <c r="E39" i="5"/>
  <c r="G41" i="5"/>
  <c r="F46" i="5"/>
  <c r="E41" i="5"/>
  <c r="D97" i="4"/>
  <c r="D98" i="4" s="1"/>
  <c r="D99" i="4" s="1"/>
  <c r="D97" i="5"/>
  <c r="D98" i="5" s="1"/>
  <c r="D99" i="5" s="1"/>
  <c r="E40" i="5"/>
  <c r="G39" i="5" l="1"/>
  <c r="G38" i="5"/>
  <c r="D50" i="5" s="1"/>
  <c r="G42" i="5"/>
  <c r="G40" i="4"/>
  <c r="G41" i="4"/>
  <c r="G39" i="4"/>
  <c r="F46" i="4"/>
  <c r="G38" i="4"/>
  <c r="E38" i="4"/>
  <c r="E40" i="4"/>
  <c r="E39" i="4"/>
  <c r="E41" i="4"/>
  <c r="E91" i="4"/>
  <c r="E92" i="4"/>
  <c r="E91" i="5"/>
  <c r="E92" i="5"/>
  <c r="D52" i="5"/>
  <c r="E42" i="5"/>
  <c r="G94" i="4"/>
  <c r="G93" i="4"/>
  <c r="G94" i="5"/>
  <c r="G93" i="5"/>
  <c r="G92" i="4"/>
  <c r="G91" i="4"/>
  <c r="G92" i="5"/>
  <c r="G91" i="5"/>
  <c r="E94" i="4"/>
  <c r="E93" i="4"/>
  <c r="E94" i="5"/>
  <c r="E93" i="5"/>
  <c r="G95" i="5" l="1"/>
  <c r="E42" i="4"/>
  <c r="G42" i="4"/>
  <c r="D50" i="4"/>
  <c r="G66" i="4" s="1"/>
  <c r="H66" i="4" s="1"/>
  <c r="D52" i="4"/>
  <c r="G95" i="4"/>
  <c r="E95" i="4"/>
  <c r="D105" i="4"/>
  <c r="D103" i="4"/>
  <c r="G68" i="5"/>
  <c r="H68" i="5" s="1"/>
  <c r="G71" i="5"/>
  <c r="H71" i="5" s="1"/>
  <c r="G69" i="5"/>
  <c r="H69" i="5" s="1"/>
  <c r="G66" i="5"/>
  <c r="H66" i="5" s="1"/>
  <c r="G64" i="5"/>
  <c r="H64" i="5" s="1"/>
  <c r="G62" i="5"/>
  <c r="H62" i="5" s="1"/>
  <c r="G60" i="5"/>
  <c r="D51" i="5"/>
  <c r="G70" i="5"/>
  <c r="H70" i="5" s="1"/>
  <c r="G67" i="5"/>
  <c r="H67" i="5" s="1"/>
  <c r="G65" i="5"/>
  <c r="H65" i="5" s="1"/>
  <c r="G63" i="5"/>
  <c r="H63" i="5" s="1"/>
  <c r="G61" i="5"/>
  <c r="H61" i="5" s="1"/>
  <c r="E95" i="5"/>
  <c r="D105" i="5"/>
  <c r="D103" i="5"/>
  <c r="G68" i="4" l="1"/>
  <c r="H68" i="4" s="1"/>
  <c r="G69" i="4"/>
  <c r="H69" i="4" s="1"/>
  <c r="G62" i="4"/>
  <c r="H62" i="4" s="1"/>
  <c r="G65" i="4"/>
  <c r="H65" i="4" s="1"/>
  <c r="G70" i="4"/>
  <c r="H70" i="4" s="1"/>
  <c r="G67" i="4"/>
  <c r="H67" i="4" s="1"/>
  <c r="G64" i="4"/>
  <c r="H64" i="4" s="1"/>
  <c r="G61" i="4"/>
  <c r="H61" i="4" s="1"/>
  <c r="G60" i="4"/>
  <c r="H60" i="4" s="1"/>
  <c r="G71" i="4"/>
  <c r="H71" i="4" s="1"/>
  <c r="G63" i="4"/>
  <c r="H63" i="4" s="1"/>
  <c r="D51" i="4"/>
  <c r="E112" i="5"/>
  <c r="F112" i="5" s="1"/>
  <c r="E110" i="5"/>
  <c r="F110" i="5" s="1"/>
  <c r="E108" i="5"/>
  <c r="E113" i="5"/>
  <c r="F113" i="5" s="1"/>
  <c r="E111" i="5"/>
  <c r="F111" i="5" s="1"/>
  <c r="E109" i="5"/>
  <c r="F109" i="5" s="1"/>
  <c r="D104" i="5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H60" i="5"/>
  <c r="G74" i="5"/>
  <c r="G72" i="5"/>
  <c r="G73" i="5" s="1"/>
  <c r="G74" i="4" l="1"/>
  <c r="G72" i="4"/>
  <c r="G73" i="4" s="1"/>
  <c r="H74" i="4"/>
  <c r="H72" i="4"/>
  <c r="H74" i="5"/>
  <c r="H72" i="5"/>
  <c r="E115" i="4"/>
  <c r="E116" i="4" s="1"/>
  <c r="E117" i="4"/>
  <c r="F108" i="4"/>
  <c r="E115" i="5"/>
  <c r="E116" i="5" s="1"/>
  <c r="E117" i="5"/>
  <c r="F108" i="5"/>
  <c r="G76" i="5" l="1"/>
  <c r="H73" i="5"/>
  <c r="F117" i="4"/>
  <c r="F115" i="4"/>
  <c r="F117" i="5"/>
  <c r="F115" i="5"/>
  <c r="G76" i="4"/>
  <c r="H73" i="4"/>
  <c r="G120" i="5" l="1"/>
  <c r="F116" i="5"/>
  <c r="G120" i="4"/>
  <c r="F116" i="4"/>
</calcChain>
</file>

<file path=xl/sharedStrings.xml><?xml version="1.0" encoding="utf-8"?>
<sst xmlns="http://schemas.openxmlformats.org/spreadsheetml/2006/main" count="669" uniqueCount="137">
  <si>
    <t>HPLC System Suitability Report</t>
  </si>
  <si>
    <t>Analysis Data</t>
  </si>
  <si>
    <t>Assay</t>
  </si>
  <si>
    <t>Sample(s)</t>
  </si>
  <si>
    <t>Reference Substance:</t>
  </si>
  <si>
    <t>LAMIVUDINE 50MG + ZIDOVUDINE 60MG + NEVIRAPINE 30MG TABLETS</t>
  </si>
  <si>
    <t>% age Purity:</t>
  </si>
  <si>
    <t>NDQD2016061063</t>
  </si>
  <si>
    <t>Weight (mg):</t>
  </si>
  <si>
    <t>Lamivudine     Nevirapine and Zidovudine</t>
  </si>
  <si>
    <t>Standard Conc (mg/mL):</t>
  </si>
  <si>
    <t xml:space="preserve">Lamivudine 50mg + Zidovudine 60mg + Nevirapine 30mg </t>
  </si>
  <si>
    <t>2016-06-14 07:41:59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</si>
  <si>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</si>
  <si>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</si>
  <si>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</si>
  <si>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</si>
  <si>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</si>
  <si>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</si>
  <si>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</si>
  <si>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</si>
  <si>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</si>
  <si>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</si>
  <si>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</si>
  <si>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</si>
  <si>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</si>
  <si>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</si>
  <si>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</si>
  <si>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</si>
  <si>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</si>
  <si>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</si>
  <si>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</si>
  <si>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</si>
  <si>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</si>
  <si>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</si>
  <si>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</si>
  <si>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</si>
  <si>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</si>
  <si>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</si>
  <si>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</si>
  <si>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</si>
  <si>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</si>
  <si>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</si>
  <si>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</si>
  <si>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</si>
  <si>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</si>
  <si>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</si>
  <si>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</si>
  <si>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</si>
  <si>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</si>
  <si>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</si>
  <si>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</si>
  <si>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</si>
  <si>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</si>
  <si>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</si>
  <si>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</si>
  <si>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</si>
  <si>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</si>
  <si>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</si>
  <si>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</si>
  <si>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</si>
  <si>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</si>
  <si>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</si>
  <si>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</si>
  <si>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</si>
  <si>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</si>
  <si>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</si>
  <si>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</si>
  <si>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</si>
  <si>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</si>
  <si>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</si>
  <si>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</si>
  <si>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</si>
  <si>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</si>
  <si>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</si>
  <si>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</si>
  <si>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</si>
  <si>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</si>
  <si>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</si>
  <si>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</si>
  <si>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</si>
  <si>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</si>
  <si>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</si>
  <si>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</si>
  <si>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</si>
  <si>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</si>
  <si>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</si>
  <si>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</si>
  <si>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</si>
  <si>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</si>
  <si>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</si>
  <si>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</si>
  <si>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</si>
  <si>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</si>
  <si>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</si>
  <si>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</si>
  <si>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</si>
  <si>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</si>
  <si>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</si>
  <si>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</si>
  <si>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</si>
  <si>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</si>
  <si>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</si>
  <si>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</si>
  <si>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</si>
  <si>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</si>
  <si>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</si>
  <si>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</si>
  <si>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</si>
  <si>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</si>
  <si>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</si>
  <si>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</si>
  <si>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</si>
  <si>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</si>
  <si>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</si>
  <si>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</si>
  <si>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</si>
  <si>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</si>
  <si>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</si>
  <si>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</si>
  <si>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</si>
  <si>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</si>
  <si>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</si>
  <si>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</si>
  <si>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</si>
  <si>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nevirapine</t>
  </si>
  <si>
    <t>zidovudine</t>
  </si>
  <si>
    <t>Lamivudine</t>
  </si>
  <si>
    <t>24/03/2017</t>
  </si>
  <si>
    <t>27/03/2017</t>
  </si>
  <si>
    <t>L42-1</t>
  </si>
  <si>
    <t>NDQD2016061064</t>
  </si>
  <si>
    <t>LAMIVUDINE 50MG, ZIDOVUDINE 60MG, NEVIRAPINE 50MG TABLETS</t>
  </si>
  <si>
    <t xml:space="preserve">Lamivudine 30mg, Zidovudine 60mg, Nevirapine 50mg </t>
  </si>
  <si>
    <t>2016-06-14 07:55:11</t>
  </si>
  <si>
    <t>NEVIRAPINE</t>
  </si>
  <si>
    <t>ZIDOVUDINE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</si>
</sst>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4" fillId="2" borderId="0"/>
    <xf numFmtId="0" fontId="24" fillId="2" borderId="0"/>
    <xf numFmtId="0" fontId="24" fillId="2" borderId="0"/>
  </cellStyleXfs>
  <cellXfs count="77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2" fillId="2" borderId="0" xfId="1" applyFont="1" applyFill="1"/>
    <xf numFmtId="0" fontId="11" fillId="2" borderId="0" xfId="1" applyFont="1" applyFill="1"/>
    <xf numFmtId="0" fontId="24" fillId="2" borderId="0" xfId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5" fillId="2" borderId="1" xfId="1" applyFont="1" applyFill="1" applyBorder="1" applyAlignment="1">
      <alignment horizontal="center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0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0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0" fontId="11" fillId="2" borderId="22" xfId="1" applyNumberFormat="1" applyFont="1" applyFill="1" applyBorder="1" applyAlignment="1">
      <alignment horizontal="center" vertical="center"/>
    </xf>
    <xf numFmtId="166" fontId="11" fillId="2" borderId="14" xfId="1" applyNumberFormat="1" applyFont="1" applyFill="1" applyBorder="1" applyAlignment="1">
      <alignment horizontal="center"/>
    </xf>
    <xf numFmtId="10" fontId="11" fillId="2" borderId="24" xfId="1" applyNumberFormat="1" applyFont="1" applyFill="1" applyBorder="1" applyAlignment="1">
      <alignment horizontal="center" vertical="center"/>
    </xf>
    <xf numFmtId="166" fontId="11" fillId="2" borderId="15" xfId="1" applyNumberFormat="1" applyFont="1" applyFill="1" applyBorder="1" applyAlignment="1">
      <alignment horizontal="center"/>
    </xf>
    <xf numFmtId="10" fontId="11" fillId="2" borderId="44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10" fontId="11" fillId="2" borderId="15" xfId="1" applyNumberFormat="1" applyFont="1" applyFill="1" applyBorder="1" applyAlignment="1">
      <alignment horizontal="center" vertic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0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7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54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0" fontId="11" fillId="2" borderId="23" xfId="1" applyFont="1" applyFill="1" applyBorder="1" applyAlignment="1">
      <alignment horizontal="center"/>
    </xf>
    <xf numFmtId="1" fontId="13" fillId="3" borderId="31" xfId="1" applyNumberFormat="1" applyFont="1" applyFill="1" applyBorder="1" applyAlignment="1" applyProtection="1">
      <alignment horizontal="center"/>
      <protection locked="0"/>
    </xf>
    <xf numFmtId="166" fontId="11" fillId="2" borderId="26" xfId="1" applyNumberFormat="1" applyFont="1" applyFill="1" applyBorder="1" applyAlignment="1">
      <alignment horizontal="center"/>
    </xf>
    <xf numFmtId="10" fontId="11" fillId="2" borderId="30" xfId="1" applyNumberFormat="1" applyFont="1" applyFill="1" applyBorder="1" applyAlignment="1">
      <alignment horizontal="center"/>
    </xf>
    <xf numFmtId="166" fontId="11" fillId="2" borderId="31" xfId="1" applyNumberFormat="1" applyFont="1" applyFill="1" applyBorder="1" applyAlignment="1">
      <alignment horizontal="center"/>
    </xf>
    <xf numFmtId="10" fontId="11" fillId="2" borderId="32" xfId="1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/>
    </xf>
    <xf numFmtId="1" fontId="13" fillId="3" borderId="35" xfId="1" applyNumberFormat="1" applyFont="1" applyFill="1" applyBorder="1" applyAlignment="1" applyProtection="1">
      <alignment horizontal="center"/>
      <protection locked="0"/>
    </xf>
    <xf numFmtId="166" fontId="11" fillId="2" borderId="35" xfId="1" applyNumberFormat="1" applyFont="1" applyFill="1" applyBorder="1" applyAlignment="1">
      <alignment horizontal="center"/>
    </xf>
    <xf numFmtId="10" fontId="11" fillId="2" borderId="36" xfId="1" applyNumberFormat="1" applyFont="1" applyFill="1" applyBorder="1" applyAlignment="1">
      <alignment horizontal="center"/>
    </xf>
    <xf numFmtId="2" fontId="11" fillId="2" borderId="24" xfId="1" applyNumberFormat="1" applyFont="1" applyFill="1" applyBorder="1" applyAlignment="1">
      <alignment horizontal="center"/>
    </xf>
    <xf numFmtId="171" fontId="11" fillId="2" borderId="2" xfId="1" applyNumberFormat="1" applyFont="1" applyFill="1" applyBorder="1" applyAlignment="1">
      <alignment horizontal="right"/>
    </xf>
    <xf numFmtId="2" fontId="13" fillId="7" borderId="27" xfId="1" applyNumberFormat="1" applyFont="1" applyFill="1" applyBorder="1" applyAlignment="1">
      <alignment horizontal="center"/>
    </xf>
    <xf numFmtId="10" fontId="13" fillId="7" borderId="27" xfId="1" applyNumberFormat="1" applyFont="1" applyFill="1" applyBorder="1" applyAlignment="1">
      <alignment horizontal="center"/>
    </xf>
    <xf numFmtId="0" fontId="11" fillId="2" borderId="23" xfId="1" applyFont="1" applyFill="1" applyBorder="1"/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1" fillId="2" borderId="56" xfId="1" applyFont="1" applyFill="1" applyBorder="1" applyAlignment="1">
      <alignment horizontal="right"/>
    </xf>
    <xf numFmtId="0" fontId="13" fillId="7" borderId="17" xfId="1" applyFont="1" applyFill="1" applyBorder="1" applyAlignment="1">
      <alignment horizontal="center"/>
    </xf>
    <xf numFmtId="0" fontId="19" fillId="2" borderId="0" xfId="1" applyFont="1" applyFill="1" applyAlignment="1">
      <alignment horizontal="righ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10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/>
    </xf>
    <xf numFmtId="0" fontId="12" fillId="2" borderId="58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40" xfId="1" applyFont="1" applyFill="1" applyBorder="1" applyAlignment="1">
      <alignment horizontal="center"/>
    </xf>
    <xf numFmtId="0" fontId="14" fillId="3" borderId="0" xfId="1" applyFont="1" applyFill="1" applyAlignment="1" applyProtection="1">
      <alignment horizontal="left" wrapText="1"/>
      <protection locked="0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0" fillId="2" borderId="10" xfId="1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" fillId="2" borderId="0" xfId="3" applyFont="1" applyFill="1"/>
    <xf numFmtId="0" fontId="10" fillId="2" borderId="18" xfId="3" applyFont="1" applyFill="1" applyBorder="1" applyAlignment="1">
      <alignment horizontal="center" wrapText="1"/>
    </xf>
    <xf numFmtId="0" fontId="10" fillId="2" borderId="19" xfId="3" applyFont="1" applyFill="1" applyBorder="1" applyAlignment="1">
      <alignment horizontal="center" wrapText="1"/>
    </xf>
    <xf numFmtId="0" fontId="10" fillId="2" borderId="20" xfId="3" applyFont="1" applyFill="1" applyBorder="1" applyAlignment="1">
      <alignment horizontal="center" wrapText="1"/>
    </xf>
    <xf numFmtId="0" fontId="10" fillId="2" borderId="0" xfId="3" applyFont="1" applyFill="1" applyAlignment="1">
      <alignment wrapText="1"/>
    </xf>
    <xf numFmtId="0" fontId="4" fillId="2" borderId="0" xfId="3" applyFont="1" applyFill="1" applyAlignment="1">
      <alignment horizontal="center"/>
    </xf>
    <xf numFmtId="0" fontId="4" fillId="2" borderId="0" xfId="3" applyFont="1" applyFill="1"/>
    <xf numFmtId="0" fontId="5" fillId="2" borderId="0" xfId="3" applyFont="1" applyFill="1" applyAlignment="1">
      <alignment horizontal="right"/>
    </xf>
    <xf numFmtId="0" fontId="6" fillId="2" borderId="0" xfId="3" applyFont="1" applyFill="1"/>
    <xf numFmtId="167" fontId="6" fillId="2" borderId="0" xfId="3" applyNumberFormat="1" applyFont="1" applyFill="1" applyAlignment="1">
      <alignment horizontal="center"/>
    </xf>
    <xf numFmtId="0" fontId="5" fillId="2" borderId="0" xfId="3" applyFont="1" applyFill="1" applyAlignment="1">
      <alignment horizontal="right"/>
    </xf>
    <xf numFmtId="167" fontId="6" fillId="2" borderId="0" xfId="3" applyNumberFormat="1" applyFont="1" applyFill="1"/>
    <xf numFmtId="0" fontId="4" fillId="2" borderId="0" xfId="3" applyFont="1" applyFill="1" applyAlignment="1">
      <alignment horizontal="left"/>
    </xf>
    <xf numFmtId="0" fontId="9" fillId="2" borderId="0" xfId="3" applyFont="1" applyFill="1"/>
    <xf numFmtId="164" fontId="1" fillId="2" borderId="0" xfId="3" applyNumberFormat="1" applyFont="1" applyFill="1" applyAlignment="1">
      <alignment horizontal="center"/>
    </xf>
    <xf numFmtId="164" fontId="1" fillId="2" borderId="0" xfId="3" applyNumberFormat="1" applyFont="1" applyFill="1"/>
    <xf numFmtId="164" fontId="5" fillId="2" borderId="12" xfId="3" applyNumberFormat="1" applyFont="1" applyFill="1" applyBorder="1" applyAlignment="1">
      <alignment horizontal="center" wrapText="1"/>
    </xf>
    <xf numFmtId="0" fontId="5" fillId="2" borderId="12" xfId="3" applyFont="1" applyFill="1" applyBorder="1" applyAlignment="1">
      <alignment horizontal="center" wrapText="1"/>
    </xf>
    <xf numFmtId="0" fontId="2" fillId="2" borderId="0" xfId="3" applyFont="1" applyFill="1" applyAlignment="1">
      <alignment horizontal="center"/>
    </xf>
    <xf numFmtId="2" fontId="6" fillId="3" borderId="14" xfId="3" applyNumberFormat="1" applyFont="1" applyFill="1" applyBorder="1" applyProtection="1">
      <protection locked="0"/>
    </xf>
    <xf numFmtId="10" fontId="6" fillId="2" borderId="13" xfId="3" applyNumberFormat="1" applyFont="1" applyFill="1" applyBorder="1" applyAlignment="1">
      <alignment horizontal="center"/>
    </xf>
    <xf numFmtId="10" fontId="6" fillId="2" borderId="0" xfId="3" applyNumberFormat="1" applyFont="1" applyFill="1" applyAlignment="1">
      <alignment horizontal="center"/>
    </xf>
    <xf numFmtId="10" fontId="6" fillId="2" borderId="14" xfId="3" applyNumberFormat="1" applyFont="1" applyFill="1" applyBorder="1" applyAlignment="1">
      <alignment horizontal="center"/>
    </xf>
    <xf numFmtId="2" fontId="6" fillId="3" borderId="15" xfId="3" applyNumberFormat="1" applyFont="1" applyFill="1" applyBorder="1" applyProtection="1">
      <protection locked="0"/>
    </xf>
    <xf numFmtId="10" fontId="6" fillId="2" borderId="15" xfId="3" applyNumberFormat="1" applyFont="1" applyFill="1" applyBorder="1" applyAlignment="1">
      <alignment horizontal="center"/>
    </xf>
    <xf numFmtId="166" fontId="2" fillId="2" borderId="0" xfId="3" applyNumberFormat="1" applyFont="1" applyFill="1" applyAlignment="1">
      <alignment horizontal="center"/>
    </xf>
    <xf numFmtId="10" fontId="2" fillId="2" borderId="0" xfId="3" applyNumberFormat="1" applyFont="1" applyFill="1" applyAlignment="1">
      <alignment horizontal="center"/>
    </xf>
    <xf numFmtId="0" fontId="6" fillId="2" borderId="12" xfId="3" applyFont="1" applyFill="1" applyBorder="1" applyAlignment="1">
      <alignment horizontal="right" vertical="center"/>
    </xf>
    <xf numFmtId="166" fontId="6" fillId="2" borderId="12" xfId="3" applyNumberFormat="1" applyFont="1" applyFill="1" applyBorder="1" applyAlignment="1">
      <alignment horizontal="center" vertical="center"/>
    </xf>
    <xf numFmtId="166" fontId="6" fillId="2" borderId="0" xfId="3" applyNumberFormat="1" applyFont="1" applyFill="1" applyAlignment="1">
      <alignment horizontal="center"/>
    </xf>
    <xf numFmtId="164" fontId="5" fillId="2" borderId="12" xfId="3" applyNumberFormat="1" applyFont="1" applyFill="1" applyBorder="1" applyAlignment="1">
      <alignment horizontal="center" vertical="center"/>
    </xf>
    <xf numFmtId="2" fontId="8" fillId="2" borderId="0" xfId="3" applyNumberFormat="1" applyFont="1" applyFill="1" applyAlignment="1">
      <alignment horizontal="right"/>
    </xf>
    <xf numFmtId="2" fontId="5" fillId="2" borderId="0" xfId="3" applyNumberFormat="1" applyFont="1" applyFill="1"/>
    <xf numFmtId="2" fontId="8" fillId="2" borderId="0" xfId="3" applyNumberFormat="1" applyFont="1" applyFill="1"/>
    <xf numFmtId="0" fontId="5" fillId="2" borderId="12" xfId="3" applyFont="1" applyFill="1" applyBorder="1" applyAlignment="1">
      <alignment horizontal="center" vertical="center"/>
    </xf>
    <xf numFmtId="10" fontId="2" fillId="2" borderId="0" xfId="3" applyNumberFormat="1" applyFont="1" applyFill="1"/>
    <xf numFmtId="166" fontId="5" fillId="2" borderId="13" xfId="3" applyNumberFormat="1" applyFont="1" applyFill="1" applyBorder="1" applyAlignment="1">
      <alignment horizontal="center" vertical="center"/>
    </xf>
    <xf numFmtId="165" fontId="5" fillId="2" borderId="16" xfId="3" applyNumberFormat="1" applyFont="1" applyFill="1" applyBorder="1" applyAlignment="1">
      <alignment horizontal="center"/>
    </xf>
    <xf numFmtId="2" fontId="5" fillId="2" borderId="12" xfId="3" applyNumberFormat="1" applyFont="1" applyFill="1" applyBorder="1" applyAlignment="1">
      <alignment horizontal="center" vertical="center"/>
    </xf>
    <xf numFmtId="166" fontId="5" fillId="2" borderId="15" xfId="3" applyNumberFormat="1" applyFont="1" applyFill="1" applyBorder="1" applyAlignment="1">
      <alignment horizontal="center" vertical="center"/>
    </xf>
    <xf numFmtId="165" fontId="5" fillId="2" borderId="17" xfId="3" applyNumberFormat="1" applyFont="1" applyFill="1" applyBorder="1" applyAlignment="1">
      <alignment horizontal="center"/>
    </xf>
    <xf numFmtId="0" fontId="6" fillId="2" borderId="9" xfId="3" applyFont="1" applyFill="1" applyBorder="1"/>
    <xf numFmtId="0" fontId="6" fillId="2" borderId="0" xfId="3" applyFont="1" applyFill="1" applyAlignment="1">
      <alignment horizontal="center"/>
    </xf>
    <xf numFmtId="10" fontId="6" fillId="2" borderId="9" xfId="3" applyNumberFormat="1" applyFont="1" applyFill="1" applyBorder="1"/>
    <xf numFmtId="0" fontId="5" fillId="2" borderId="10" xfId="3" applyFont="1" applyFill="1" applyBorder="1"/>
    <xf numFmtId="0" fontId="5" fillId="2" borderId="10" xfId="3" applyFont="1" applyFill="1" applyBorder="1" applyAlignment="1">
      <alignment horizontal="center"/>
    </xf>
    <xf numFmtId="0" fontId="6" fillId="2" borderId="10" xfId="3" applyFont="1" applyFill="1" applyBorder="1" applyAlignment="1">
      <alignment horizontal="center"/>
    </xf>
    <xf numFmtId="0" fontId="6" fillId="2" borderId="7" xfId="3" applyFont="1" applyFill="1" applyBorder="1"/>
    <xf numFmtId="0" fontId="5" fillId="2" borderId="11" xfId="3" applyFont="1" applyFill="1" applyBorder="1"/>
    <xf numFmtId="0" fontId="5" fillId="2" borderId="0" xfId="3" applyFont="1" applyFill="1"/>
    <xf numFmtId="0" fontId="6" fillId="2" borderId="11" xfId="3" applyFont="1" applyFill="1" applyBorder="1"/>
    <xf numFmtId="0" fontId="24" fillId="2" borderId="0" xfId="3" applyFill="1"/>
  </cellXfs>
  <cellStyles count="4">
    <cellStyle name="Normal" xfId="0" builtinId="0"/>
    <cellStyle name="Normal 2" xfId="1"/>
    <cellStyle name="Normal 3" xfId="2"/>
    <cellStyle name="Normal 4" xfId="3"/>
  </cellStyles>
  <dxfs count="69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10" workbookViewId="0">
      <selection activeCell="E19" sqref="E19"/>
    </sheetView>
  </sheetViews>
  <sheetFormatPr defaultColWidth="9.109375" defaultRowHeight="13.8" x14ac:dyDescent="0.3"/>
  <cols>
    <col min="1" max="1" width="27.5546875" style="410" customWidth="1"/>
    <col min="2" max="2" width="20.44140625" style="410" customWidth="1"/>
    <col min="3" max="3" width="31.88671875" style="410" customWidth="1"/>
    <col min="4" max="4" width="25.88671875" style="410" customWidth="1"/>
    <col min="5" max="5" width="25.6640625" style="410" customWidth="1"/>
    <col min="6" max="6" width="23.109375" style="410" customWidth="1"/>
    <col min="7" max="7" width="28.44140625" style="410" customWidth="1"/>
    <col min="8" max="8" width="21.5546875" style="410" customWidth="1"/>
    <col min="9" max="9" width="9.109375" style="410" customWidth="1"/>
    <col min="10" max="16384" width="9.109375" style="44"/>
  </cols>
  <sheetData>
    <row r="14" spans="1:6" ht="15" customHeight="1" x14ac:dyDescent="0.3">
      <c r="A14" s="1"/>
      <c r="C14" s="3"/>
      <c r="F14" s="3"/>
    </row>
    <row r="15" spans="1:6" ht="18.75" customHeight="1" x14ac:dyDescent="0.35">
      <c r="A15" s="630" t="s">
        <v>0</v>
      </c>
      <c r="B15" s="630"/>
      <c r="C15" s="630"/>
      <c r="D15" s="630"/>
      <c r="E15" s="630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131</v>
      </c>
      <c r="D17" s="9"/>
      <c r="E17" s="72"/>
    </row>
    <row r="18" spans="1:5" ht="16.5" customHeight="1" x14ac:dyDescent="0.3">
      <c r="A18" s="75" t="s">
        <v>4</v>
      </c>
      <c r="B18" s="9" t="s">
        <v>136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99.4</v>
      </c>
      <c r="C19" s="72"/>
      <c r="D19" s="72"/>
      <c r="E19" s="72"/>
    </row>
    <row r="20" spans="1:5" ht="16.5" customHeight="1" x14ac:dyDescent="0.3">
      <c r="A20" s="8" t="s">
        <v>8</v>
      </c>
      <c r="B20" s="12">
        <v>29.96</v>
      </c>
      <c r="C20" s="72"/>
      <c r="D20" s="72"/>
      <c r="E20" s="72"/>
    </row>
    <row r="21" spans="1:5" ht="16.5" customHeight="1" x14ac:dyDescent="0.3">
      <c r="A21" s="8" t="s">
        <v>10</v>
      </c>
      <c r="B21" s="13">
        <v>0.3</v>
      </c>
      <c r="C21" s="72"/>
      <c r="D21" s="72"/>
      <c r="E21" s="72"/>
    </row>
    <row r="22" spans="1:5" ht="15.75" customHeight="1" x14ac:dyDescent="0.3">
      <c r="A22" s="72"/>
      <c r="B22" s="72"/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233966032</v>
      </c>
      <c r="C24" s="18">
        <v>6053.4</v>
      </c>
      <c r="D24" s="19">
        <v>1.2</v>
      </c>
      <c r="E24" s="20">
        <v>4.3</v>
      </c>
    </row>
    <row r="25" spans="1:5" ht="16.5" customHeight="1" x14ac:dyDescent="0.3">
      <c r="A25" s="17">
        <v>2</v>
      </c>
      <c r="B25" s="18">
        <v>233962720</v>
      </c>
      <c r="C25" s="18">
        <v>6105.8</v>
      </c>
      <c r="D25" s="19">
        <v>1.2</v>
      </c>
      <c r="E25" s="19">
        <v>4.3</v>
      </c>
    </row>
    <row r="26" spans="1:5" ht="16.5" customHeight="1" x14ac:dyDescent="0.3">
      <c r="A26" s="17">
        <v>3</v>
      </c>
      <c r="B26" s="18">
        <v>233436270</v>
      </c>
      <c r="C26" s="18">
        <v>6094.3</v>
      </c>
      <c r="D26" s="19">
        <v>1.2</v>
      </c>
      <c r="E26" s="19">
        <v>4.3</v>
      </c>
    </row>
    <row r="27" spans="1:5" ht="16.5" customHeight="1" x14ac:dyDescent="0.3">
      <c r="A27" s="17">
        <v>4</v>
      </c>
      <c r="B27" s="18">
        <v>234041439</v>
      </c>
      <c r="C27" s="18">
        <v>6075.6</v>
      </c>
      <c r="D27" s="19">
        <v>1.2</v>
      </c>
      <c r="E27" s="19">
        <v>4.3</v>
      </c>
    </row>
    <row r="28" spans="1:5" ht="16.5" customHeight="1" x14ac:dyDescent="0.3">
      <c r="A28" s="17">
        <v>5</v>
      </c>
      <c r="B28" s="18">
        <v>234077698</v>
      </c>
      <c r="C28" s="18">
        <v>6107.1</v>
      </c>
      <c r="D28" s="19">
        <v>1.2</v>
      </c>
      <c r="E28" s="19">
        <v>4.3</v>
      </c>
    </row>
    <row r="29" spans="1:5" ht="16.5" customHeight="1" x14ac:dyDescent="0.3">
      <c r="A29" s="17">
        <v>6</v>
      </c>
      <c r="B29" s="21">
        <v>233490107</v>
      </c>
      <c r="C29" s="21">
        <v>6104.7</v>
      </c>
      <c r="D29" s="22">
        <v>1.2</v>
      </c>
      <c r="E29" s="22">
        <v>4.3</v>
      </c>
    </row>
    <row r="30" spans="1:5" ht="16.5" customHeight="1" x14ac:dyDescent="0.3">
      <c r="A30" s="23" t="s">
        <v>18</v>
      </c>
      <c r="B30" s="24">
        <f>AVERAGE(B24:B29)</f>
        <v>233829044.33333334</v>
      </c>
      <c r="C30" s="25">
        <f>AVERAGE(C24:C29)</f>
        <v>6090.1499999999987</v>
      </c>
      <c r="D30" s="26">
        <f>AVERAGE(D24:D29)</f>
        <v>1.2</v>
      </c>
      <c r="E30" s="26">
        <f>AVERAGE(E24:E29)</f>
        <v>4.3</v>
      </c>
    </row>
    <row r="31" spans="1:5" ht="16.5" customHeight="1" x14ac:dyDescent="0.3">
      <c r="A31" s="27" t="s">
        <v>19</v>
      </c>
      <c r="B31" s="28">
        <f>(STDEV(B24:B29)/B30)</f>
        <v>1.2287032409146292E-3</v>
      </c>
      <c r="C31" s="29"/>
      <c r="D31" s="29"/>
      <c r="E31" s="30"/>
    </row>
    <row r="32" spans="1:5" s="410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410" customFormat="1" ht="15.75" customHeight="1" x14ac:dyDescent="0.3">
      <c r="A33" s="72"/>
      <c r="B33" s="72"/>
      <c r="C33" s="72"/>
      <c r="D33" s="72"/>
      <c r="E33" s="72"/>
    </row>
    <row r="34" spans="1:5" s="410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3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/>
      <c r="C39" s="72"/>
      <c r="D39" s="72"/>
      <c r="E39" s="72"/>
    </row>
    <row r="40" spans="1:5" ht="16.5" customHeight="1" x14ac:dyDescent="0.3">
      <c r="A40" s="75" t="s">
        <v>6</v>
      </c>
      <c r="B40" s="12"/>
      <c r="C40" s="72"/>
      <c r="D40" s="72"/>
      <c r="E40" s="72"/>
    </row>
    <row r="41" spans="1:5" ht="16.5" customHeight="1" x14ac:dyDescent="0.3">
      <c r="A41" s="8" t="s">
        <v>8</v>
      </c>
      <c r="B41" s="12"/>
      <c r="C41" s="72"/>
      <c r="D41" s="72"/>
      <c r="E41" s="72"/>
    </row>
    <row r="42" spans="1:5" ht="16.5" customHeight="1" x14ac:dyDescent="0.3">
      <c r="A42" s="8" t="s">
        <v>10</v>
      </c>
      <c r="B42" s="13"/>
      <c r="C42" s="72"/>
      <c r="D42" s="72"/>
      <c r="E42" s="72"/>
    </row>
    <row r="43" spans="1:5" ht="15.75" customHeight="1" x14ac:dyDescent="0.3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410" customFormat="1" ht="16.5" customHeight="1" x14ac:dyDescent="0.3">
      <c r="A53" s="31" t="s">
        <v>20</v>
      </c>
      <c r="B53" s="32">
        <f>COUNT(B45:B50)</f>
        <v>0</v>
      </c>
      <c r="C53" s="33"/>
      <c r="D53" s="73"/>
      <c r="E53" s="35"/>
    </row>
    <row r="54" spans="1:7" s="410" customFormat="1" ht="15.75" customHeight="1" x14ac:dyDescent="0.3">
      <c r="A54" s="72"/>
      <c r="B54" s="72"/>
      <c r="C54" s="72"/>
      <c r="D54" s="72"/>
      <c r="E54" s="72"/>
    </row>
    <row r="55" spans="1:7" s="410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5">
      <c r="A58" s="41"/>
      <c r="B58" s="333"/>
      <c r="D58" s="43"/>
      <c r="F58" s="44"/>
      <c r="G58" s="44"/>
    </row>
    <row r="59" spans="1:7" ht="15" customHeight="1" x14ac:dyDescent="0.3">
      <c r="B59" s="631" t="s">
        <v>26</v>
      </c>
      <c r="C59" s="631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3" workbookViewId="0">
      <selection activeCell="B19" sqref="B19"/>
    </sheetView>
  </sheetViews>
  <sheetFormatPr defaultColWidth="9.109375" defaultRowHeight="13.8" x14ac:dyDescent="0.3"/>
  <cols>
    <col min="1" max="1" width="27.5546875" style="410" customWidth="1"/>
    <col min="2" max="2" width="20.44140625" style="410" customWidth="1"/>
    <col min="3" max="3" width="31.88671875" style="410" customWidth="1"/>
    <col min="4" max="4" width="25.88671875" style="410" customWidth="1"/>
    <col min="5" max="5" width="25.6640625" style="410" customWidth="1"/>
    <col min="6" max="6" width="23.109375" style="410" customWidth="1"/>
    <col min="7" max="7" width="28.44140625" style="410" customWidth="1"/>
    <col min="8" max="8" width="21.5546875" style="410" customWidth="1"/>
    <col min="9" max="9" width="9.109375" style="410" customWidth="1"/>
    <col min="10" max="16384" width="9.109375" style="44"/>
  </cols>
  <sheetData>
    <row r="14" spans="1:6" ht="15" customHeight="1" x14ac:dyDescent="0.3">
      <c r="A14" s="1"/>
      <c r="C14" s="3"/>
      <c r="F14" s="3"/>
    </row>
    <row r="15" spans="1:6" ht="18.75" customHeight="1" x14ac:dyDescent="0.35">
      <c r="A15" s="630" t="s">
        <v>0</v>
      </c>
      <c r="B15" s="630"/>
      <c r="C15" s="630"/>
      <c r="D15" s="630"/>
      <c r="E15" s="630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9" t="s">
        <v>131</v>
      </c>
      <c r="D17" s="9"/>
      <c r="E17" s="72"/>
    </row>
    <row r="18" spans="1:5" ht="16.5" customHeight="1" x14ac:dyDescent="0.3">
      <c r="A18" s="75" t="s">
        <v>4</v>
      </c>
      <c r="B18" s="9" t="s">
        <v>135</v>
      </c>
      <c r="C18" s="72"/>
      <c r="D18" s="72"/>
      <c r="E18" s="72"/>
    </row>
    <row r="19" spans="1:5" ht="16.5" customHeight="1" x14ac:dyDescent="0.3">
      <c r="A19" s="75" t="s">
        <v>6</v>
      </c>
      <c r="B19" s="12">
        <v>98.8</v>
      </c>
      <c r="C19" s="72"/>
      <c r="D19" s="72"/>
      <c r="E19" s="72"/>
    </row>
    <row r="20" spans="1:5" ht="16.5" customHeight="1" x14ac:dyDescent="0.3">
      <c r="A20" s="8" t="s">
        <v>8</v>
      </c>
      <c r="B20" s="12">
        <v>20.27</v>
      </c>
      <c r="C20" s="72"/>
      <c r="D20" s="72"/>
      <c r="E20" s="72"/>
    </row>
    <row r="21" spans="1:5" ht="16.5" customHeight="1" x14ac:dyDescent="0.3">
      <c r="A21" s="8" t="s">
        <v>10</v>
      </c>
      <c r="B21" s="13">
        <v>0.2</v>
      </c>
      <c r="C21" s="72"/>
      <c r="D21" s="72"/>
      <c r="E21" s="72"/>
    </row>
    <row r="22" spans="1:5" ht="15.75" customHeight="1" x14ac:dyDescent="0.3">
      <c r="A22" s="72"/>
      <c r="B22" s="72"/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106409030</v>
      </c>
      <c r="C24" s="18">
        <v>6663.7</v>
      </c>
      <c r="D24" s="19">
        <v>1.1000000000000001</v>
      </c>
      <c r="E24" s="20">
        <v>7.6</v>
      </c>
    </row>
    <row r="25" spans="1:5" ht="16.5" customHeight="1" x14ac:dyDescent="0.3">
      <c r="A25" s="17">
        <v>2</v>
      </c>
      <c r="B25" s="18">
        <v>106461290</v>
      </c>
      <c r="C25" s="18">
        <v>6760.7</v>
      </c>
      <c r="D25" s="19">
        <v>1.1000000000000001</v>
      </c>
      <c r="E25" s="19">
        <v>7.6</v>
      </c>
    </row>
    <row r="26" spans="1:5" ht="16.5" customHeight="1" x14ac:dyDescent="0.3">
      <c r="A26" s="17">
        <v>3</v>
      </c>
      <c r="B26" s="18">
        <v>106236002</v>
      </c>
      <c r="C26" s="18">
        <v>6718.5</v>
      </c>
      <c r="D26" s="19">
        <v>1.1000000000000001</v>
      </c>
      <c r="E26" s="19">
        <v>7.6</v>
      </c>
    </row>
    <row r="27" spans="1:5" ht="16.5" customHeight="1" x14ac:dyDescent="0.3">
      <c r="A27" s="17">
        <v>4</v>
      </c>
      <c r="B27" s="18">
        <v>106502131</v>
      </c>
      <c r="C27" s="18">
        <v>6726.9</v>
      </c>
      <c r="D27" s="19">
        <v>1.1000000000000001</v>
      </c>
      <c r="E27" s="19">
        <v>7.7</v>
      </c>
    </row>
    <row r="28" spans="1:5" ht="16.5" customHeight="1" x14ac:dyDescent="0.3">
      <c r="A28" s="17">
        <v>5</v>
      </c>
      <c r="B28" s="18">
        <v>106563478</v>
      </c>
      <c r="C28" s="18">
        <v>6730.9</v>
      </c>
      <c r="D28" s="19">
        <v>1.1000000000000001</v>
      </c>
      <c r="E28" s="19">
        <v>7.7</v>
      </c>
    </row>
    <row r="29" spans="1:5" ht="16.5" customHeight="1" x14ac:dyDescent="0.3">
      <c r="A29" s="17">
        <v>6</v>
      </c>
      <c r="B29" s="21">
        <v>106312189</v>
      </c>
      <c r="C29" s="21">
        <v>6764.2</v>
      </c>
      <c r="D29" s="22">
        <v>1.1000000000000001</v>
      </c>
      <c r="E29" s="22">
        <v>7.7</v>
      </c>
    </row>
    <row r="30" spans="1:5" ht="16.5" customHeight="1" x14ac:dyDescent="0.3">
      <c r="A30" s="23" t="s">
        <v>18</v>
      </c>
      <c r="B30" s="24">
        <f>AVERAGE(B24:B29)</f>
        <v>106414020</v>
      </c>
      <c r="C30" s="25">
        <f>AVERAGE(C24:C29)</f>
        <v>6727.4833333333336</v>
      </c>
      <c r="D30" s="26">
        <f>AVERAGE(D24:D29)</f>
        <v>1.0999999999999999</v>
      </c>
      <c r="E30" s="26">
        <f>AVERAGE(E24:E29)</f>
        <v>7.6499999999999995</v>
      </c>
    </row>
    <row r="31" spans="1:5" ht="16.5" customHeight="1" x14ac:dyDescent="0.3">
      <c r="A31" s="27" t="s">
        <v>19</v>
      </c>
      <c r="B31" s="28">
        <f>(STDEV(B24:B29)/B30)</f>
        <v>1.146469757577654E-3</v>
      </c>
      <c r="C31" s="29"/>
      <c r="D31" s="29"/>
      <c r="E31" s="30"/>
    </row>
    <row r="32" spans="1:5" s="410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410" customFormat="1" ht="15.75" customHeight="1" x14ac:dyDescent="0.3">
      <c r="A33" s="72"/>
      <c r="B33" s="72"/>
      <c r="C33" s="72"/>
      <c r="D33" s="72"/>
      <c r="E33" s="72"/>
    </row>
    <row r="34" spans="1:5" s="410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3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/>
      <c r="C39" s="72"/>
      <c r="D39" s="72"/>
      <c r="E39" s="72"/>
    </row>
    <row r="40" spans="1:5" ht="16.5" customHeight="1" x14ac:dyDescent="0.3">
      <c r="A40" s="75" t="s">
        <v>6</v>
      </c>
      <c r="B40" s="12"/>
      <c r="C40" s="72"/>
      <c r="D40" s="72"/>
      <c r="E40" s="72"/>
    </row>
    <row r="41" spans="1:5" ht="16.5" customHeight="1" x14ac:dyDescent="0.3">
      <c r="A41" s="8" t="s">
        <v>8</v>
      </c>
      <c r="B41" s="12"/>
      <c r="C41" s="72"/>
      <c r="D41" s="72"/>
      <c r="E41" s="72"/>
    </row>
    <row r="42" spans="1:5" ht="16.5" customHeight="1" x14ac:dyDescent="0.3">
      <c r="A42" s="8" t="s">
        <v>10</v>
      </c>
      <c r="B42" s="13"/>
      <c r="C42" s="72"/>
      <c r="D42" s="72"/>
      <c r="E42" s="72"/>
    </row>
    <row r="43" spans="1:5" ht="15.75" customHeight="1" x14ac:dyDescent="0.3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410" customFormat="1" ht="16.5" customHeight="1" x14ac:dyDescent="0.3">
      <c r="A53" s="31" t="s">
        <v>20</v>
      </c>
      <c r="B53" s="32">
        <f>COUNT(B45:B50)</f>
        <v>0</v>
      </c>
      <c r="C53" s="33"/>
      <c r="D53" s="73"/>
      <c r="E53" s="35"/>
    </row>
    <row r="54" spans="1:7" s="410" customFormat="1" ht="15.75" customHeight="1" x14ac:dyDescent="0.3">
      <c r="A54" s="72"/>
      <c r="B54" s="72"/>
      <c r="C54" s="72"/>
      <c r="D54" s="72"/>
      <c r="E54" s="72"/>
    </row>
    <row r="55" spans="1:7" s="410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5">
      <c r="A58" s="41"/>
      <c r="B58" s="333"/>
      <c r="D58" s="43"/>
      <c r="F58" s="44"/>
      <c r="G58" s="44"/>
    </row>
    <row r="59" spans="1:7" ht="15" customHeight="1" x14ac:dyDescent="0.3">
      <c r="B59" s="631" t="s">
        <v>26</v>
      </c>
      <c r="C59" s="631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0" workbookViewId="0">
      <selection activeCell="B21" sqref="B21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630" t="s">
        <v>0</v>
      </c>
      <c r="B15" s="630"/>
      <c r="C15" s="630"/>
      <c r="D15" s="630"/>
      <c r="E15" s="63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131</v>
      </c>
      <c r="D17" s="9"/>
      <c r="E17" s="10"/>
    </row>
    <row r="18" spans="1:6" ht="16.5" customHeight="1" x14ac:dyDescent="0.3">
      <c r="A18" s="11" t="s">
        <v>4</v>
      </c>
      <c r="B18" s="9" t="s">
        <v>127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99.8</v>
      </c>
      <c r="C19" s="10"/>
      <c r="D19" s="10"/>
      <c r="E19" s="10"/>
    </row>
    <row r="20" spans="1:6" ht="16.5" customHeight="1" x14ac:dyDescent="0.3">
      <c r="A20" s="7" t="s">
        <v>8</v>
      </c>
      <c r="B20" s="12">
        <v>15.49</v>
      </c>
      <c r="C20" s="10"/>
      <c r="D20" s="10"/>
      <c r="E20" s="10"/>
    </row>
    <row r="21" spans="1:6" ht="16.5" customHeight="1" x14ac:dyDescent="0.3">
      <c r="A21" s="7" t="s">
        <v>10</v>
      </c>
      <c r="B21" s="13">
        <v>0.15</v>
      </c>
      <c r="C21" s="10"/>
      <c r="D21" s="10"/>
      <c r="E21" s="10"/>
    </row>
    <row r="22" spans="1:6" ht="15.75" customHeight="1" x14ac:dyDescent="0.3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62276208</v>
      </c>
      <c r="C24" s="18">
        <v>5696.62</v>
      </c>
      <c r="D24" s="19">
        <v>1.1499999999999999</v>
      </c>
      <c r="E24" s="20">
        <v>3.01</v>
      </c>
    </row>
    <row r="25" spans="1:6" ht="16.5" customHeight="1" x14ac:dyDescent="0.3">
      <c r="A25" s="17">
        <v>2</v>
      </c>
      <c r="B25" s="18">
        <v>62460573</v>
      </c>
      <c r="C25" s="18">
        <v>5619.59</v>
      </c>
      <c r="D25" s="19">
        <v>1.19</v>
      </c>
      <c r="E25" s="19">
        <v>3.01</v>
      </c>
    </row>
    <row r="26" spans="1:6" ht="16.5" customHeight="1" x14ac:dyDescent="0.3">
      <c r="A26" s="17">
        <v>3</v>
      </c>
      <c r="B26" s="18">
        <v>62319446</v>
      </c>
      <c r="C26" s="18">
        <v>5674.99</v>
      </c>
      <c r="D26" s="19">
        <v>1.17</v>
      </c>
      <c r="E26" s="19">
        <v>3.01</v>
      </c>
    </row>
    <row r="27" spans="1:6" ht="16.5" customHeight="1" x14ac:dyDescent="0.3">
      <c r="A27" s="17">
        <v>4</v>
      </c>
      <c r="B27" s="18">
        <v>62401198</v>
      </c>
      <c r="C27" s="18">
        <v>5702.79</v>
      </c>
      <c r="D27" s="19">
        <v>1.1499999999999999</v>
      </c>
      <c r="E27" s="19">
        <v>3.02</v>
      </c>
    </row>
    <row r="28" spans="1:6" ht="16.5" customHeight="1" x14ac:dyDescent="0.3">
      <c r="A28" s="17">
        <v>5</v>
      </c>
      <c r="B28" s="18">
        <v>62336011</v>
      </c>
      <c r="C28" s="18">
        <v>5677.22</v>
      </c>
      <c r="D28" s="19">
        <v>1.18</v>
      </c>
      <c r="E28" s="19">
        <v>3.01</v>
      </c>
    </row>
    <row r="29" spans="1:6" ht="16.5" customHeight="1" x14ac:dyDescent="0.3">
      <c r="A29" s="17">
        <v>6</v>
      </c>
      <c r="B29" s="21">
        <v>63118507</v>
      </c>
      <c r="C29" s="21">
        <v>5675.33</v>
      </c>
      <c r="D29" s="22">
        <v>1.1399999999999999</v>
      </c>
      <c r="E29" s="19">
        <v>3.02</v>
      </c>
    </row>
    <row r="30" spans="1:6" ht="16.5" customHeight="1" x14ac:dyDescent="0.3">
      <c r="A30" s="23" t="s">
        <v>18</v>
      </c>
      <c r="B30" s="24">
        <f>AVERAGE(B24:B29)</f>
        <v>62485323.833333336</v>
      </c>
      <c r="C30" s="25">
        <f>AVERAGE(C24:C29)</f>
        <v>5674.4233333333332</v>
      </c>
      <c r="D30" s="26">
        <f>AVERAGE(D24:D29)</f>
        <v>1.1633333333333333</v>
      </c>
      <c r="E30" s="26">
        <f>AVERAGE(E24:E29)</f>
        <v>3.0133333333333332</v>
      </c>
    </row>
    <row r="31" spans="1:6" ht="16.5" customHeight="1" x14ac:dyDescent="0.3">
      <c r="A31" s="27" t="s">
        <v>19</v>
      </c>
      <c r="B31" s="28">
        <f>(STDEV(B24:B29)/B30)</f>
        <v>5.0717012055951456E-3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3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3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3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3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3">
      <c r="A58" s="41"/>
      <c r="B58" s="42"/>
      <c r="D58" s="43"/>
      <c r="F58" s="44"/>
      <c r="G58" s="44"/>
    </row>
    <row r="59" spans="1:7" ht="15" customHeight="1" x14ac:dyDescent="0.3">
      <c r="B59" s="631" t="s">
        <v>26</v>
      </c>
      <c r="C59" s="631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27" workbookViewId="0">
      <selection activeCell="C46" sqref="C46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635" t="s">
        <v>31</v>
      </c>
      <c r="B11" s="636"/>
      <c r="C11" s="636"/>
      <c r="D11" s="636"/>
      <c r="E11" s="636"/>
      <c r="F11" s="637"/>
      <c r="G11" s="91"/>
    </row>
    <row r="12" spans="1:7" ht="16.5" customHeight="1" x14ac:dyDescent="0.3">
      <c r="A12" s="634" t="s">
        <v>32</v>
      </c>
      <c r="B12" s="634"/>
      <c r="C12" s="634"/>
      <c r="D12" s="634"/>
      <c r="E12" s="634"/>
      <c r="F12" s="634"/>
      <c r="G12" s="90"/>
    </row>
    <row r="14" spans="1:7" ht="16.5" customHeight="1" x14ac:dyDescent="0.3">
      <c r="A14" s="639" t="s">
        <v>33</v>
      </c>
      <c r="B14" s="639"/>
      <c r="C14" s="60" t="s">
        <v>5</v>
      </c>
    </row>
    <row r="15" spans="1:7" ht="16.5" customHeight="1" x14ac:dyDescent="0.3">
      <c r="A15" s="639" t="s">
        <v>34</v>
      </c>
      <c r="B15" s="639"/>
      <c r="C15" s="60" t="s">
        <v>7</v>
      </c>
    </row>
    <row r="16" spans="1:7" ht="16.5" customHeight="1" x14ac:dyDescent="0.3">
      <c r="A16" s="639" t="s">
        <v>35</v>
      </c>
      <c r="B16" s="639"/>
      <c r="C16" s="60" t="s">
        <v>9</v>
      </c>
    </row>
    <row r="17" spans="1:5" ht="16.5" customHeight="1" x14ac:dyDescent="0.3">
      <c r="A17" s="639" t="s">
        <v>36</v>
      </c>
      <c r="B17" s="639"/>
      <c r="C17" s="60" t="s">
        <v>11</v>
      </c>
    </row>
    <row r="18" spans="1:5" ht="16.5" customHeight="1" x14ac:dyDescent="0.3">
      <c r="A18" s="639" t="s">
        <v>37</v>
      </c>
      <c r="B18" s="639"/>
      <c r="C18" s="97" t="s">
        <v>12</v>
      </c>
    </row>
    <row r="19" spans="1:5" ht="16.5" customHeight="1" x14ac:dyDescent="0.3">
      <c r="A19" s="639" t="s">
        <v>38</v>
      </c>
      <c r="B19" s="639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634" t="s">
        <v>1</v>
      </c>
      <c r="B21" s="634"/>
      <c r="C21" s="59" t="s">
        <v>39</v>
      </c>
      <c r="D21" s="66"/>
    </row>
    <row r="22" spans="1:5" ht="15.75" customHeight="1" x14ac:dyDescent="0.3">
      <c r="A22" s="638"/>
      <c r="B22" s="638"/>
      <c r="C22" s="57"/>
      <c r="D22" s="638"/>
      <c r="E22" s="638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350.97</v>
      </c>
      <c r="D24" s="87">
        <f t="shared" ref="D24:D43" si="0">(C24-$C$46)/$C$46</f>
        <v>-6.1195420396398439E-3</v>
      </c>
      <c r="E24" s="53"/>
    </row>
    <row r="25" spans="1:5" ht="15.75" customHeight="1" x14ac:dyDescent="0.3">
      <c r="C25" s="95">
        <v>353.95</v>
      </c>
      <c r="D25" s="88">
        <f t="shared" si="0"/>
        <v>2.3192526286276282E-3</v>
      </c>
      <c r="E25" s="53"/>
    </row>
    <row r="26" spans="1:5" ht="15.75" customHeight="1" x14ac:dyDescent="0.3">
      <c r="C26" s="95">
        <v>355.16</v>
      </c>
      <c r="D26" s="88">
        <f t="shared" si="0"/>
        <v>5.7457430811793326E-3</v>
      </c>
      <c r="E26" s="53"/>
    </row>
    <row r="27" spans="1:5" ht="15.75" customHeight="1" x14ac:dyDescent="0.3">
      <c r="C27" s="95">
        <v>355.76</v>
      </c>
      <c r="D27" s="88">
        <f t="shared" si="0"/>
        <v>7.4448292559982122E-3</v>
      </c>
      <c r="E27" s="53"/>
    </row>
    <row r="28" spans="1:5" ht="15.75" customHeight="1" x14ac:dyDescent="0.3">
      <c r="C28" s="95">
        <v>349.89</v>
      </c>
      <c r="D28" s="88">
        <f t="shared" si="0"/>
        <v>-9.1778971543141161E-3</v>
      </c>
      <c r="E28" s="53"/>
    </row>
    <row r="29" spans="1:5" ht="15.75" customHeight="1" x14ac:dyDescent="0.3">
      <c r="C29" s="95">
        <v>347.86</v>
      </c>
      <c r="D29" s="88">
        <f t="shared" si="0"/>
        <v>-1.4926472045784909E-2</v>
      </c>
      <c r="E29" s="53"/>
    </row>
    <row r="30" spans="1:5" ht="15.75" customHeight="1" x14ac:dyDescent="0.3">
      <c r="C30" s="95">
        <v>354.55</v>
      </c>
      <c r="D30" s="88">
        <f t="shared" si="0"/>
        <v>4.0183388034466683E-3</v>
      </c>
      <c r="E30" s="53"/>
    </row>
    <row r="31" spans="1:5" ht="15.75" customHeight="1" x14ac:dyDescent="0.3">
      <c r="C31" s="95">
        <v>357.8</v>
      </c>
      <c r="D31" s="88">
        <f t="shared" si="0"/>
        <v>1.3221722250382789E-2</v>
      </c>
      <c r="E31" s="53"/>
    </row>
    <row r="32" spans="1:5" ht="15.75" customHeight="1" x14ac:dyDescent="0.3">
      <c r="C32" s="95">
        <v>341.08</v>
      </c>
      <c r="D32" s="88">
        <f t="shared" si="0"/>
        <v>-3.412614582123942E-2</v>
      </c>
      <c r="E32" s="53"/>
    </row>
    <row r="33" spans="1:7" ht="15.75" customHeight="1" x14ac:dyDescent="0.3">
      <c r="C33" s="95">
        <v>355.91</v>
      </c>
      <c r="D33" s="88">
        <f t="shared" si="0"/>
        <v>7.8696007997030529E-3</v>
      </c>
      <c r="E33" s="53"/>
    </row>
    <row r="34" spans="1:7" ht="15.75" customHeight="1" x14ac:dyDescent="0.3">
      <c r="C34" s="95">
        <v>355.82</v>
      </c>
      <c r="D34" s="88">
        <f t="shared" si="0"/>
        <v>7.6147378734801163E-3</v>
      </c>
      <c r="E34" s="53"/>
    </row>
    <row r="35" spans="1:7" ht="15.75" customHeight="1" x14ac:dyDescent="0.3">
      <c r="C35" s="95">
        <v>355.18</v>
      </c>
      <c r="D35" s="88">
        <f t="shared" si="0"/>
        <v>5.8023792870065807E-3</v>
      </c>
      <c r="E35" s="53"/>
    </row>
    <row r="36" spans="1:7" ht="15.75" customHeight="1" x14ac:dyDescent="0.3">
      <c r="C36" s="95">
        <v>357.88</v>
      </c>
      <c r="D36" s="88">
        <f t="shared" si="0"/>
        <v>1.3448267073691941E-2</v>
      </c>
      <c r="E36" s="53"/>
    </row>
    <row r="37" spans="1:7" ht="15.75" customHeight="1" x14ac:dyDescent="0.3">
      <c r="C37" s="95">
        <v>355.39</v>
      </c>
      <c r="D37" s="88">
        <f t="shared" si="0"/>
        <v>6.3970594481931641E-3</v>
      </c>
      <c r="E37" s="53"/>
    </row>
    <row r="38" spans="1:7" ht="15.75" customHeight="1" x14ac:dyDescent="0.3">
      <c r="C38" s="95">
        <v>353.81</v>
      </c>
      <c r="D38" s="88">
        <f t="shared" si="0"/>
        <v>1.9227991878365722E-3</v>
      </c>
      <c r="E38" s="53"/>
    </row>
    <row r="39" spans="1:7" ht="15.75" customHeight="1" x14ac:dyDescent="0.3">
      <c r="C39" s="95">
        <v>355.43</v>
      </c>
      <c r="D39" s="88">
        <f t="shared" si="0"/>
        <v>6.5103318598478208E-3</v>
      </c>
      <c r="E39" s="53"/>
    </row>
    <row r="40" spans="1:7" ht="15.75" customHeight="1" x14ac:dyDescent="0.3">
      <c r="C40" s="95">
        <v>351.43</v>
      </c>
      <c r="D40" s="88">
        <f t="shared" si="0"/>
        <v>-4.8169093056120204E-3</v>
      </c>
      <c r="E40" s="53"/>
    </row>
    <row r="41" spans="1:7" ht="15.75" customHeight="1" x14ac:dyDescent="0.3">
      <c r="C41" s="95">
        <v>351.04</v>
      </c>
      <c r="D41" s="88">
        <f t="shared" si="0"/>
        <v>-5.9213153192443158E-3</v>
      </c>
      <c r="E41" s="53"/>
    </row>
    <row r="42" spans="1:7" ht="15.75" customHeight="1" x14ac:dyDescent="0.3">
      <c r="C42" s="95">
        <v>351.99</v>
      </c>
      <c r="D42" s="88">
        <f t="shared" si="0"/>
        <v>-3.2310955424476361E-3</v>
      </c>
      <c r="E42" s="53"/>
    </row>
    <row r="43" spans="1:7" ht="16.5" customHeight="1" x14ac:dyDescent="0.3">
      <c r="C43" s="96">
        <v>351.72</v>
      </c>
      <c r="D43" s="89">
        <f t="shared" si="0"/>
        <v>-3.9956843211161235E-3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7062.6200000000017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353.13100000000009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632">
        <f>C46</f>
        <v>353.13100000000009</v>
      </c>
      <c r="C49" s="93">
        <f>-IF(C46&lt;=80,10%,IF(C46&lt;250,7.5%,5%))</f>
        <v>-0.05</v>
      </c>
      <c r="D49" s="81">
        <f>IF(C46&lt;=80,C46*0.9,IF(C46&lt;250,C46*0.925,C46*0.95))</f>
        <v>335.47445000000005</v>
      </c>
    </row>
    <row r="50" spans="1:6" ht="17.25" customHeight="1" x14ac:dyDescent="0.3">
      <c r="B50" s="633"/>
      <c r="C50" s="94">
        <f>IF(C46&lt;=80, 10%, IF(C46&lt;250, 7.5%, 5%))</f>
        <v>0.05</v>
      </c>
      <c r="D50" s="81">
        <f>IF(C46&lt;=80, C46*1.1, IF(C46&lt;250, C46*1.075, C46*1.05))</f>
        <v>370.78755000000012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6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6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6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6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6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6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6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6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6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5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5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5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5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5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5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5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5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5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4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4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5" workbookViewId="0">
      <selection activeCell="C45" sqref="C45"/>
    </sheetView>
  </sheetViews>
  <sheetFormatPr defaultRowHeight="13.8" x14ac:dyDescent="0.3"/>
  <cols>
    <col min="1" max="1" width="15.5546875" style="718" customWidth="1"/>
    <col min="2" max="2" width="18.44140625" style="718" customWidth="1"/>
    <col min="3" max="3" width="14.33203125" style="718" customWidth="1"/>
    <col min="4" max="4" width="15" style="718" customWidth="1"/>
    <col min="5" max="5" width="9.109375" style="718" customWidth="1"/>
    <col min="6" max="6" width="27.88671875" style="718" customWidth="1"/>
    <col min="7" max="7" width="12.33203125" style="718" customWidth="1"/>
    <col min="8" max="8" width="9.109375" style="718" customWidth="1"/>
    <col min="9" max="16384" width="8.88671875" style="769"/>
  </cols>
  <sheetData>
    <row r="10" spans="1:7" ht="13.5" customHeight="1" thickBot="1" x14ac:dyDescent="0.35"/>
    <row r="11" spans="1:7" ht="13.5" customHeight="1" thickBot="1" x14ac:dyDescent="0.35">
      <c r="A11" s="719" t="s">
        <v>31</v>
      </c>
      <c r="B11" s="720"/>
      <c r="C11" s="720"/>
      <c r="D11" s="720"/>
      <c r="E11" s="720"/>
      <c r="F11" s="721"/>
      <c r="G11" s="722"/>
    </row>
    <row r="12" spans="1:7" ht="16.5" customHeight="1" x14ac:dyDescent="0.3">
      <c r="A12" s="723" t="s">
        <v>32</v>
      </c>
      <c r="B12" s="723"/>
      <c r="C12" s="723"/>
      <c r="D12" s="723"/>
      <c r="E12" s="723"/>
      <c r="F12" s="723"/>
      <c r="G12" s="724"/>
    </row>
    <row r="14" spans="1:7" ht="16.5" customHeight="1" x14ac:dyDescent="0.3">
      <c r="A14" s="725" t="s">
        <v>33</v>
      </c>
      <c r="B14" s="725"/>
      <c r="C14" s="726" t="s">
        <v>132</v>
      </c>
    </row>
    <row r="15" spans="1:7" ht="16.5" customHeight="1" x14ac:dyDescent="0.3">
      <c r="A15" s="725" t="s">
        <v>34</v>
      </c>
      <c r="B15" s="725"/>
      <c r="C15" s="726" t="s">
        <v>131</v>
      </c>
    </row>
    <row r="16" spans="1:7" ht="16.5" customHeight="1" x14ac:dyDescent="0.3">
      <c r="A16" s="725" t="s">
        <v>35</v>
      </c>
      <c r="B16" s="725"/>
      <c r="C16" s="726" t="s">
        <v>9</v>
      </c>
    </row>
    <row r="17" spans="1:5" ht="16.5" customHeight="1" x14ac:dyDescent="0.3">
      <c r="A17" s="725" t="s">
        <v>36</v>
      </c>
      <c r="B17" s="725"/>
      <c r="C17" s="726" t="s">
        <v>133</v>
      </c>
    </row>
    <row r="18" spans="1:5" ht="16.5" customHeight="1" x14ac:dyDescent="0.3">
      <c r="A18" s="725" t="s">
        <v>37</v>
      </c>
      <c r="B18" s="725"/>
      <c r="C18" s="727" t="s">
        <v>134</v>
      </c>
    </row>
    <row r="19" spans="1:5" ht="16.5" customHeight="1" x14ac:dyDescent="0.3">
      <c r="A19" s="725" t="s">
        <v>38</v>
      </c>
      <c r="B19" s="725"/>
      <c r="C19" s="727" t="e">
        <f>#REF!</f>
        <v>#REF!</v>
      </c>
    </row>
    <row r="20" spans="1:5" ht="16.5" customHeight="1" x14ac:dyDescent="0.3">
      <c r="A20" s="728"/>
      <c r="B20" s="728"/>
      <c r="C20" s="729"/>
    </row>
    <row r="21" spans="1:5" ht="16.5" customHeight="1" x14ac:dyDescent="0.3">
      <c r="A21" s="723" t="s">
        <v>1</v>
      </c>
      <c r="B21" s="723"/>
      <c r="C21" s="730" t="s">
        <v>39</v>
      </c>
      <c r="D21" s="731"/>
    </row>
    <row r="22" spans="1:5" ht="15.75" customHeight="1" thickBot="1" x14ac:dyDescent="0.35">
      <c r="A22" s="732"/>
      <c r="B22" s="732"/>
      <c r="C22" s="733"/>
      <c r="D22" s="732"/>
      <c r="E22" s="732"/>
    </row>
    <row r="23" spans="1:5" ht="33.75" customHeight="1" thickBot="1" x14ac:dyDescent="0.35">
      <c r="C23" s="734" t="s">
        <v>40</v>
      </c>
      <c r="D23" s="735" t="s">
        <v>41</v>
      </c>
      <c r="E23" s="736"/>
    </row>
    <row r="24" spans="1:5" ht="15.75" customHeight="1" x14ac:dyDescent="0.3">
      <c r="C24" s="737">
        <v>358.89</v>
      </c>
      <c r="D24" s="738">
        <f t="shared" ref="D24:D43" si="0">(C24-$C$46)/$C$46</f>
        <v>1.0896523168315273E-2</v>
      </c>
      <c r="E24" s="739"/>
    </row>
    <row r="25" spans="1:5" ht="15.75" customHeight="1" x14ac:dyDescent="0.3">
      <c r="C25" s="737">
        <v>351.99</v>
      </c>
      <c r="D25" s="740">
        <f t="shared" si="0"/>
        <v>-8.5389194738908422E-3</v>
      </c>
      <c r="E25" s="739"/>
    </row>
    <row r="26" spans="1:5" ht="15.75" customHeight="1" x14ac:dyDescent="0.3">
      <c r="C26" s="737">
        <v>352.01</v>
      </c>
      <c r="D26" s="740">
        <f t="shared" si="0"/>
        <v>-8.4825848575366732E-3</v>
      </c>
      <c r="E26" s="739"/>
    </row>
    <row r="27" spans="1:5" ht="15.75" customHeight="1" x14ac:dyDescent="0.3">
      <c r="C27" s="737">
        <v>358.53</v>
      </c>
      <c r="D27" s="740">
        <f t="shared" si="0"/>
        <v>9.8825000739392599E-3</v>
      </c>
      <c r="E27" s="739"/>
    </row>
    <row r="28" spans="1:5" ht="15.75" customHeight="1" x14ac:dyDescent="0.3">
      <c r="C28" s="737">
        <v>351.67</v>
      </c>
      <c r="D28" s="740">
        <f t="shared" si="0"/>
        <v>-9.4402733355583562E-3</v>
      </c>
      <c r="E28" s="739"/>
    </row>
    <row r="29" spans="1:5" ht="15.75" customHeight="1" x14ac:dyDescent="0.3">
      <c r="C29" s="737">
        <v>355.26</v>
      </c>
      <c r="D29" s="740">
        <f t="shared" si="0"/>
        <v>6.7179030002420873E-4</v>
      </c>
      <c r="E29" s="739"/>
    </row>
    <row r="30" spans="1:5" ht="15.75" customHeight="1" x14ac:dyDescent="0.3">
      <c r="C30" s="737">
        <v>358.65</v>
      </c>
      <c r="D30" s="740">
        <f t="shared" si="0"/>
        <v>1.0220507772064598E-2</v>
      </c>
      <c r="E30" s="739"/>
    </row>
    <row r="31" spans="1:5" ht="15.75" customHeight="1" x14ac:dyDescent="0.3">
      <c r="C31" s="737">
        <v>356.29</v>
      </c>
      <c r="D31" s="740">
        <f t="shared" si="0"/>
        <v>3.5730230422666635E-3</v>
      </c>
      <c r="E31" s="739"/>
    </row>
    <row r="32" spans="1:5" ht="15.75" customHeight="1" x14ac:dyDescent="0.3">
      <c r="C32" s="737">
        <v>357.77</v>
      </c>
      <c r="D32" s="740">
        <f t="shared" si="0"/>
        <v>7.7417846524788945E-3</v>
      </c>
      <c r="E32" s="739"/>
    </row>
    <row r="33" spans="1:7" ht="15.75" customHeight="1" x14ac:dyDescent="0.3">
      <c r="C33" s="737">
        <v>358.03</v>
      </c>
      <c r="D33" s="740">
        <f t="shared" si="0"/>
        <v>8.4741346650837393E-3</v>
      </c>
      <c r="E33" s="739"/>
    </row>
    <row r="34" spans="1:7" ht="15.75" customHeight="1" x14ac:dyDescent="0.3">
      <c r="C34" s="737">
        <v>352.29</v>
      </c>
      <c r="D34" s="740">
        <f t="shared" si="0"/>
        <v>-7.6939002285774981E-3</v>
      </c>
      <c r="E34" s="739"/>
    </row>
    <row r="35" spans="1:7" ht="15.75" customHeight="1" x14ac:dyDescent="0.3">
      <c r="C35" s="737">
        <v>350.29</v>
      </c>
      <c r="D35" s="740">
        <f t="shared" si="0"/>
        <v>-1.332736186399958E-2</v>
      </c>
      <c r="E35" s="739"/>
    </row>
    <row r="36" spans="1:7" ht="15.75" customHeight="1" x14ac:dyDescent="0.3">
      <c r="C36" s="737">
        <v>352.82</v>
      </c>
      <c r="D36" s="740">
        <f t="shared" si="0"/>
        <v>-6.2010328951907241E-3</v>
      </c>
      <c r="E36" s="739"/>
    </row>
    <row r="37" spans="1:7" ht="15.75" customHeight="1" x14ac:dyDescent="0.3">
      <c r="C37" s="737">
        <v>357.11</v>
      </c>
      <c r="D37" s="740">
        <f t="shared" si="0"/>
        <v>5.8827423127896976E-3</v>
      </c>
      <c r="E37" s="739"/>
    </row>
    <row r="38" spans="1:7" ht="15.75" customHeight="1" x14ac:dyDescent="0.3">
      <c r="C38" s="737">
        <v>352.61</v>
      </c>
      <c r="D38" s="740">
        <f t="shared" si="0"/>
        <v>-6.7925463669099842E-3</v>
      </c>
      <c r="E38" s="739"/>
    </row>
    <row r="39" spans="1:7" ht="15.75" customHeight="1" x14ac:dyDescent="0.3">
      <c r="C39" s="737">
        <v>354.96</v>
      </c>
      <c r="D39" s="740">
        <f t="shared" si="0"/>
        <v>-1.7322894528913548E-4</v>
      </c>
      <c r="E39" s="739"/>
    </row>
    <row r="40" spans="1:7" ht="15.75" customHeight="1" x14ac:dyDescent="0.3">
      <c r="C40" s="737">
        <v>352.33</v>
      </c>
      <c r="D40" s="740">
        <f t="shared" si="0"/>
        <v>-7.5812309958691593E-3</v>
      </c>
      <c r="E40" s="739"/>
    </row>
    <row r="41" spans="1:7" ht="15.75" customHeight="1" x14ac:dyDescent="0.3">
      <c r="C41" s="737">
        <v>360.22</v>
      </c>
      <c r="D41" s="740">
        <f t="shared" si="0"/>
        <v>1.4642775155871071E-2</v>
      </c>
      <c r="E41" s="739"/>
    </row>
    <row r="42" spans="1:7" ht="15.75" customHeight="1" x14ac:dyDescent="0.3">
      <c r="C42" s="737">
        <v>352.12</v>
      </c>
      <c r="D42" s="740">
        <f t="shared" si="0"/>
        <v>-8.1727444675884203E-3</v>
      </c>
      <c r="E42" s="739"/>
    </row>
    <row r="43" spans="1:7" ht="16.5" customHeight="1" thickBot="1" x14ac:dyDescent="0.35">
      <c r="C43" s="741">
        <v>356.59</v>
      </c>
      <c r="D43" s="742">
        <f t="shared" si="0"/>
        <v>4.4180422875798476E-3</v>
      </c>
      <c r="E43" s="739"/>
    </row>
    <row r="44" spans="1:7" ht="16.5" customHeight="1" thickBot="1" x14ac:dyDescent="0.35">
      <c r="C44" s="743"/>
      <c r="D44" s="739"/>
      <c r="E44" s="744"/>
    </row>
    <row r="45" spans="1:7" ht="16.5" customHeight="1" thickBot="1" x14ac:dyDescent="0.35">
      <c r="B45" s="745" t="s">
        <v>42</v>
      </c>
      <c r="C45" s="746">
        <f>SUM(C24:C44)</f>
        <v>7100.4299999999994</v>
      </c>
      <c r="D45" s="747"/>
      <c r="E45" s="743"/>
    </row>
    <row r="46" spans="1:7" ht="17.25" customHeight="1" thickBot="1" x14ac:dyDescent="0.35">
      <c r="B46" s="745" t="s">
        <v>43</v>
      </c>
      <c r="C46" s="748">
        <f>AVERAGE(C24:C44)</f>
        <v>355.02149999999995</v>
      </c>
      <c r="E46" s="749"/>
    </row>
    <row r="47" spans="1:7" ht="17.25" customHeight="1" thickBot="1" x14ac:dyDescent="0.35">
      <c r="A47" s="726"/>
      <c r="B47" s="750"/>
      <c r="D47" s="751"/>
      <c r="E47" s="749"/>
    </row>
    <row r="48" spans="1:7" ht="33.75" customHeight="1" thickBot="1" x14ac:dyDescent="0.35">
      <c r="B48" s="752" t="s">
        <v>43</v>
      </c>
      <c r="C48" s="735" t="s">
        <v>44</v>
      </c>
      <c r="D48" s="753"/>
      <c r="G48" s="751"/>
    </row>
    <row r="49" spans="1:6" ht="17.25" customHeight="1" thickBot="1" x14ac:dyDescent="0.35">
      <c r="B49" s="754">
        <f>C46</f>
        <v>355.02149999999995</v>
      </c>
      <c r="C49" s="755">
        <f>-IF(C46&lt;=80,10%,IF(C46&lt;250,7.5%,5%))</f>
        <v>-0.05</v>
      </c>
      <c r="D49" s="756">
        <f>IF(C46&lt;=80,C46*0.9,IF(C46&lt;250,C46*0.925,C46*0.95))</f>
        <v>337.27042499999993</v>
      </c>
    </row>
    <row r="50" spans="1:6" ht="17.25" customHeight="1" thickBot="1" x14ac:dyDescent="0.35">
      <c r="B50" s="757"/>
      <c r="C50" s="758">
        <f>IF(C46&lt;=80, 10%, IF(C46&lt;250, 7.5%, 5%))</f>
        <v>0.05</v>
      </c>
      <c r="D50" s="756">
        <f>IF(C46&lt;=80, C46*1.1, IF(C46&lt;250, C46*1.075, C46*1.05))</f>
        <v>372.77257499999996</v>
      </c>
    </row>
    <row r="51" spans="1:6" ht="16.5" customHeight="1" thickBot="1" x14ac:dyDescent="0.35">
      <c r="A51" s="759"/>
      <c r="B51" s="760"/>
      <c r="C51" s="726"/>
      <c r="D51" s="761"/>
      <c r="E51" s="726"/>
      <c r="F51" s="731"/>
    </row>
    <row r="52" spans="1:6" ht="16.5" customHeight="1" x14ac:dyDescent="0.3">
      <c r="A52" s="726"/>
      <c r="B52" s="762" t="s">
        <v>26</v>
      </c>
      <c r="C52" s="762"/>
      <c r="D52" s="763" t="s">
        <v>27</v>
      </c>
      <c r="E52" s="764"/>
      <c r="F52" s="763" t="s">
        <v>28</v>
      </c>
    </row>
    <row r="53" spans="1:6" ht="34.5" customHeight="1" x14ac:dyDescent="0.3">
      <c r="A53" s="728" t="s">
        <v>29</v>
      </c>
      <c r="B53" s="765"/>
      <c r="C53" s="726"/>
      <c r="D53" s="765"/>
      <c r="E53" s="726"/>
      <c r="F53" s="765"/>
    </row>
    <row r="54" spans="1:6" ht="34.5" customHeight="1" x14ac:dyDescent="0.3">
      <c r="A54" s="728" t="s">
        <v>30</v>
      </c>
      <c r="B54" s="766"/>
      <c r="C54" s="767"/>
      <c r="D54" s="766"/>
      <c r="E54" s="726"/>
      <c r="F54" s="768"/>
    </row>
  </sheetData>
  <sheetProtection password="F3F3" sheet="1" formatColumns="0" formatRows="0" insertColumns="0" insertHyperlinks="0" deleteColumns="0" deleteRows="0" autoFilter="0" pivotTables="0"/>
  <mergeCells count="12">
    <mergeCell ref="A18:B18"/>
    <mergeCell ref="A19:B19"/>
    <mergeCell ref="A21:B21"/>
    <mergeCell ref="A22:B22"/>
    <mergeCell ref="D22:E22"/>
    <mergeCell ref="B49:B50"/>
    <mergeCell ref="A11:F11"/>
    <mergeCell ref="A12:F12"/>
    <mergeCell ref="A14:B14"/>
    <mergeCell ref="A15:B15"/>
    <mergeCell ref="A16:B16"/>
    <mergeCell ref="A17:B17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5" zoomScale="60" zoomScaleNormal="40" zoomScalePageLayoutView="50" workbookViewId="0">
      <selection activeCell="F70" sqref="F70"/>
    </sheetView>
  </sheetViews>
  <sheetFormatPr defaultColWidth="9.109375" defaultRowHeight="13.8" x14ac:dyDescent="0.3"/>
  <cols>
    <col min="1" max="1" width="55.44140625" style="464" customWidth="1"/>
    <col min="2" max="2" width="33.6640625" style="464" customWidth="1"/>
    <col min="3" max="3" width="42.33203125" style="464" customWidth="1"/>
    <col min="4" max="4" width="30.5546875" style="464" customWidth="1"/>
    <col min="5" max="5" width="39.88671875" style="464" customWidth="1"/>
    <col min="6" max="6" width="30.6640625" style="464" customWidth="1"/>
    <col min="7" max="7" width="39.88671875" style="464" customWidth="1"/>
    <col min="8" max="8" width="30" style="464" customWidth="1"/>
    <col min="9" max="9" width="30.33203125" style="464" hidden="1" customWidth="1"/>
    <col min="10" max="10" width="30.44140625" style="464" customWidth="1"/>
    <col min="11" max="11" width="21.33203125" style="464" customWidth="1"/>
    <col min="12" max="12" width="9.109375" style="464"/>
    <col min="13" max="16384" width="9.109375" style="466"/>
  </cols>
  <sheetData>
    <row r="1" spans="1:9" ht="18.75" customHeight="1" x14ac:dyDescent="0.3">
      <c r="A1" s="673" t="s">
        <v>45</v>
      </c>
      <c r="B1" s="673"/>
      <c r="C1" s="673"/>
      <c r="D1" s="673"/>
      <c r="E1" s="673"/>
      <c r="F1" s="673"/>
      <c r="G1" s="673"/>
      <c r="H1" s="673"/>
      <c r="I1" s="673"/>
    </row>
    <row r="2" spans="1:9" ht="18.75" customHeight="1" x14ac:dyDescent="0.3">
      <c r="A2" s="673"/>
      <c r="B2" s="673"/>
      <c r="C2" s="673"/>
      <c r="D2" s="673"/>
      <c r="E2" s="673"/>
      <c r="F2" s="673"/>
      <c r="G2" s="673"/>
      <c r="H2" s="673"/>
      <c r="I2" s="673"/>
    </row>
    <row r="3" spans="1:9" ht="18.75" customHeight="1" x14ac:dyDescent="0.3">
      <c r="A3" s="673"/>
      <c r="B3" s="673"/>
      <c r="C3" s="673"/>
      <c r="D3" s="673"/>
      <c r="E3" s="673"/>
      <c r="F3" s="673"/>
      <c r="G3" s="673"/>
      <c r="H3" s="673"/>
      <c r="I3" s="673"/>
    </row>
    <row r="4" spans="1:9" ht="18.75" customHeight="1" x14ac:dyDescent="0.3">
      <c r="A4" s="673"/>
      <c r="B4" s="673"/>
      <c r="C4" s="673"/>
      <c r="D4" s="673"/>
      <c r="E4" s="673"/>
      <c r="F4" s="673"/>
      <c r="G4" s="673"/>
      <c r="H4" s="673"/>
      <c r="I4" s="673"/>
    </row>
    <row r="5" spans="1:9" ht="18.75" customHeight="1" x14ac:dyDescent="0.3">
      <c r="A5" s="673"/>
      <c r="B5" s="673"/>
      <c r="C5" s="673"/>
      <c r="D5" s="673"/>
      <c r="E5" s="673"/>
      <c r="F5" s="673"/>
      <c r="G5" s="673"/>
      <c r="H5" s="673"/>
      <c r="I5" s="673"/>
    </row>
    <row r="6" spans="1:9" ht="18.75" customHeight="1" x14ac:dyDescent="0.3">
      <c r="A6" s="673"/>
      <c r="B6" s="673"/>
      <c r="C6" s="673"/>
      <c r="D6" s="673"/>
      <c r="E6" s="673"/>
      <c r="F6" s="673"/>
      <c r="G6" s="673"/>
      <c r="H6" s="673"/>
      <c r="I6" s="673"/>
    </row>
    <row r="7" spans="1:9" ht="18.75" customHeight="1" x14ac:dyDescent="0.3">
      <c r="A7" s="673"/>
      <c r="B7" s="673"/>
      <c r="C7" s="673"/>
      <c r="D7" s="673"/>
      <c r="E7" s="673"/>
      <c r="F7" s="673"/>
      <c r="G7" s="673"/>
      <c r="H7" s="673"/>
      <c r="I7" s="673"/>
    </row>
    <row r="8" spans="1:9" x14ac:dyDescent="0.3">
      <c r="A8" s="674" t="s">
        <v>46</v>
      </c>
      <c r="B8" s="674"/>
      <c r="C8" s="674"/>
      <c r="D8" s="674"/>
      <c r="E8" s="674"/>
      <c r="F8" s="674"/>
      <c r="G8" s="674"/>
      <c r="H8" s="674"/>
      <c r="I8" s="674"/>
    </row>
    <row r="9" spans="1:9" x14ac:dyDescent="0.3">
      <c r="A9" s="674"/>
      <c r="B9" s="674"/>
      <c r="C9" s="674"/>
      <c r="D9" s="674"/>
      <c r="E9" s="674"/>
      <c r="F9" s="674"/>
      <c r="G9" s="674"/>
      <c r="H9" s="674"/>
      <c r="I9" s="674"/>
    </row>
    <row r="10" spans="1:9" x14ac:dyDescent="0.3">
      <c r="A10" s="674"/>
      <c r="B10" s="674"/>
      <c r="C10" s="674"/>
      <c r="D10" s="674"/>
      <c r="E10" s="674"/>
      <c r="F10" s="674"/>
      <c r="G10" s="674"/>
      <c r="H10" s="674"/>
      <c r="I10" s="674"/>
    </row>
    <row r="11" spans="1:9" x14ac:dyDescent="0.3">
      <c r="A11" s="674"/>
      <c r="B11" s="674"/>
      <c r="C11" s="674"/>
      <c r="D11" s="674"/>
      <c r="E11" s="674"/>
      <c r="F11" s="674"/>
      <c r="G11" s="674"/>
      <c r="H11" s="674"/>
      <c r="I11" s="674"/>
    </row>
    <row r="12" spans="1:9" x14ac:dyDescent="0.3">
      <c r="A12" s="674"/>
      <c r="B12" s="674"/>
      <c r="C12" s="674"/>
      <c r="D12" s="674"/>
      <c r="E12" s="674"/>
      <c r="F12" s="674"/>
      <c r="G12" s="674"/>
      <c r="H12" s="674"/>
      <c r="I12" s="674"/>
    </row>
    <row r="13" spans="1:9" x14ac:dyDescent="0.3">
      <c r="A13" s="674"/>
      <c r="B13" s="674"/>
      <c r="C13" s="674"/>
      <c r="D13" s="674"/>
      <c r="E13" s="674"/>
      <c r="F13" s="674"/>
      <c r="G13" s="674"/>
      <c r="H13" s="674"/>
      <c r="I13" s="674"/>
    </row>
    <row r="14" spans="1:9" x14ac:dyDescent="0.3">
      <c r="A14" s="674"/>
      <c r="B14" s="674"/>
      <c r="C14" s="674"/>
      <c r="D14" s="674"/>
      <c r="E14" s="674"/>
      <c r="F14" s="674"/>
      <c r="G14" s="674"/>
      <c r="H14" s="674"/>
      <c r="I14" s="674"/>
    </row>
    <row r="15" spans="1:9" ht="19.5" customHeight="1" thickBot="1" x14ac:dyDescent="0.4">
      <c r="A15" s="465"/>
    </row>
    <row r="16" spans="1:9" ht="19.5" customHeight="1" thickBot="1" x14ac:dyDescent="0.4">
      <c r="A16" s="675" t="s">
        <v>31</v>
      </c>
      <c r="B16" s="676"/>
      <c r="C16" s="676"/>
      <c r="D16" s="676"/>
      <c r="E16" s="676"/>
      <c r="F16" s="676"/>
      <c r="G16" s="676"/>
      <c r="H16" s="677"/>
    </row>
    <row r="17" spans="1:14" ht="20.25" customHeight="1" x14ac:dyDescent="0.3">
      <c r="A17" s="678" t="s">
        <v>47</v>
      </c>
      <c r="B17" s="678"/>
      <c r="C17" s="678"/>
      <c r="D17" s="678"/>
      <c r="E17" s="678"/>
      <c r="F17" s="678"/>
      <c r="G17" s="678"/>
      <c r="H17" s="678"/>
    </row>
    <row r="18" spans="1:14" ht="26.25" customHeight="1" x14ac:dyDescent="0.5">
      <c r="A18" s="467" t="s">
        <v>33</v>
      </c>
      <c r="B18" s="671" t="s">
        <v>5</v>
      </c>
      <c r="C18" s="671"/>
      <c r="D18" s="468"/>
      <c r="E18" s="469"/>
      <c r="F18" s="470"/>
      <c r="G18" s="470"/>
      <c r="H18" s="470"/>
    </row>
    <row r="19" spans="1:14" ht="26.25" customHeight="1" x14ac:dyDescent="0.5">
      <c r="A19" s="467" t="s">
        <v>34</v>
      </c>
      <c r="B19" s="471" t="s">
        <v>131</v>
      </c>
      <c r="C19" s="470">
        <v>29</v>
      </c>
      <c r="D19" s="470"/>
      <c r="E19" s="470"/>
      <c r="F19" s="470"/>
      <c r="G19" s="470"/>
      <c r="H19" s="470"/>
    </row>
    <row r="20" spans="1:14" ht="26.25" customHeight="1" x14ac:dyDescent="0.5">
      <c r="A20" s="467" t="s">
        <v>35</v>
      </c>
      <c r="B20" s="670" t="s">
        <v>9</v>
      </c>
      <c r="C20" s="670"/>
      <c r="D20" s="470"/>
      <c r="E20" s="470"/>
      <c r="F20" s="470"/>
      <c r="G20" s="470"/>
      <c r="H20" s="470"/>
    </row>
    <row r="21" spans="1:14" ht="26.25" customHeight="1" x14ac:dyDescent="0.5">
      <c r="A21" s="467" t="s">
        <v>36</v>
      </c>
      <c r="B21" s="670" t="s">
        <v>11</v>
      </c>
      <c r="C21" s="670"/>
      <c r="D21" s="670"/>
      <c r="E21" s="670"/>
      <c r="F21" s="670"/>
      <c r="G21" s="670"/>
      <c r="H21" s="670"/>
      <c r="I21" s="472"/>
    </row>
    <row r="22" spans="1:14" ht="26.25" customHeight="1" x14ac:dyDescent="0.5">
      <c r="A22" s="467" t="s">
        <v>37</v>
      </c>
      <c r="B22" s="473" t="s">
        <v>128</v>
      </c>
      <c r="C22" s="470"/>
      <c r="D22" s="470"/>
      <c r="E22" s="470"/>
      <c r="F22" s="470"/>
      <c r="G22" s="470"/>
      <c r="H22" s="470"/>
    </row>
    <row r="23" spans="1:14" ht="26.25" customHeight="1" x14ac:dyDescent="0.5">
      <c r="A23" s="467" t="s">
        <v>38</v>
      </c>
      <c r="B23" s="473" t="s">
        <v>129</v>
      </c>
      <c r="C23" s="470"/>
      <c r="D23" s="470"/>
      <c r="E23" s="470"/>
      <c r="F23" s="470"/>
      <c r="G23" s="470"/>
      <c r="H23" s="470"/>
    </row>
    <row r="24" spans="1:14" ht="18" x14ac:dyDescent="0.35">
      <c r="A24" s="467"/>
      <c r="B24" s="474"/>
    </row>
    <row r="25" spans="1:14" ht="18" x14ac:dyDescent="0.35">
      <c r="A25" s="475" t="s">
        <v>1</v>
      </c>
      <c r="B25" s="474"/>
    </row>
    <row r="26" spans="1:14" ht="26.25" customHeight="1" x14ac:dyDescent="0.45">
      <c r="A26" s="476" t="s">
        <v>4</v>
      </c>
      <c r="B26" s="671" t="s">
        <v>127</v>
      </c>
      <c r="C26" s="671"/>
    </row>
    <row r="27" spans="1:14" ht="26.25" customHeight="1" x14ac:dyDescent="0.5">
      <c r="A27" s="477" t="s">
        <v>48</v>
      </c>
      <c r="B27" s="672" t="s">
        <v>130</v>
      </c>
      <c r="C27" s="672"/>
    </row>
    <row r="28" spans="1:14" ht="27" customHeight="1" thickBot="1" x14ac:dyDescent="0.5">
      <c r="A28" s="477" t="s">
        <v>6</v>
      </c>
      <c r="B28" s="478">
        <v>99.8</v>
      </c>
    </row>
    <row r="29" spans="1:14" s="480" customFormat="1" ht="27" customHeight="1" thickBot="1" x14ac:dyDescent="0.55000000000000004">
      <c r="A29" s="477" t="s">
        <v>49</v>
      </c>
      <c r="B29" s="479">
        <v>0</v>
      </c>
      <c r="C29" s="650" t="s">
        <v>50</v>
      </c>
      <c r="D29" s="651"/>
      <c r="E29" s="651"/>
      <c r="F29" s="651"/>
      <c r="G29" s="652"/>
      <c r="I29" s="481"/>
      <c r="J29" s="481"/>
      <c r="K29" s="481"/>
      <c r="L29" s="481"/>
    </row>
    <row r="30" spans="1:14" s="480" customFormat="1" ht="19.5" customHeight="1" thickBot="1" x14ac:dyDescent="0.4">
      <c r="A30" s="477" t="s">
        <v>51</v>
      </c>
      <c r="B30" s="482">
        <f>B28-B29</f>
        <v>99.8</v>
      </c>
      <c r="C30" s="483"/>
      <c r="D30" s="483"/>
      <c r="E30" s="483"/>
      <c r="F30" s="483"/>
      <c r="G30" s="484"/>
      <c r="I30" s="481"/>
      <c r="J30" s="481"/>
      <c r="K30" s="481"/>
      <c r="L30" s="481"/>
    </row>
    <row r="31" spans="1:14" s="480" customFormat="1" ht="27" customHeight="1" thickBot="1" x14ac:dyDescent="0.5">
      <c r="A31" s="477" t="s">
        <v>52</v>
      </c>
      <c r="B31" s="485">
        <v>1</v>
      </c>
      <c r="C31" s="653" t="s">
        <v>53</v>
      </c>
      <c r="D31" s="654"/>
      <c r="E31" s="654"/>
      <c r="F31" s="654"/>
      <c r="G31" s="654"/>
      <c r="H31" s="655"/>
      <c r="I31" s="481"/>
      <c r="J31" s="481"/>
      <c r="K31" s="481"/>
      <c r="L31" s="481"/>
    </row>
    <row r="32" spans="1:14" s="480" customFormat="1" ht="27" customHeight="1" thickBot="1" x14ac:dyDescent="0.5">
      <c r="A32" s="477" t="s">
        <v>54</v>
      </c>
      <c r="B32" s="485">
        <v>1</v>
      </c>
      <c r="C32" s="653" t="s">
        <v>55</v>
      </c>
      <c r="D32" s="654"/>
      <c r="E32" s="654"/>
      <c r="F32" s="654"/>
      <c r="G32" s="654"/>
      <c r="H32" s="655"/>
      <c r="I32" s="481"/>
      <c r="J32" s="481"/>
      <c r="K32" s="481"/>
      <c r="L32" s="486"/>
      <c r="M32" s="486"/>
      <c r="N32" s="487"/>
    </row>
    <row r="33" spans="1:14" s="480" customFormat="1" ht="17.25" customHeight="1" x14ac:dyDescent="0.35">
      <c r="A33" s="477"/>
      <c r="B33" s="488"/>
      <c r="C33" s="489"/>
      <c r="D33" s="489"/>
      <c r="E33" s="489"/>
      <c r="F33" s="489"/>
      <c r="G33" s="489"/>
      <c r="H33" s="489"/>
      <c r="I33" s="481"/>
      <c r="J33" s="481"/>
      <c r="K33" s="481"/>
      <c r="L33" s="486"/>
      <c r="M33" s="486"/>
      <c r="N33" s="487"/>
    </row>
    <row r="34" spans="1:14" s="480" customFormat="1" ht="18" x14ac:dyDescent="0.35">
      <c r="A34" s="477" t="s">
        <v>56</v>
      </c>
      <c r="B34" s="490">
        <f>B31/B32</f>
        <v>1</v>
      </c>
      <c r="C34" s="465" t="s">
        <v>57</v>
      </c>
      <c r="D34" s="465"/>
      <c r="E34" s="465"/>
      <c r="F34" s="465"/>
      <c r="G34" s="465"/>
      <c r="I34" s="481"/>
      <c r="J34" s="481"/>
      <c r="K34" s="481"/>
      <c r="L34" s="486"/>
      <c r="M34" s="486"/>
      <c r="N34" s="487"/>
    </row>
    <row r="35" spans="1:14" s="480" customFormat="1" ht="19.5" customHeight="1" thickBot="1" x14ac:dyDescent="0.4">
      <c r="A35" s="477"/>
      <c r="B35" s="482"/>
      <c r="G35" s="465"/>
      <c r="I35" s="481"/>
      <c r="J35" s="481"/>
      <c r="K35" s="481"/>
      <c r="L35" s="486"/>
      <c r="M35" s="486"/>
      <c r="N35" s="487"/>
    </row>
    <row r="36" spans="1:14" s="480" customFormat="1" ht="27" customHeight="1" thickBot="1" x14ac:dyDescent="0.5">
      <c r="A36" s="491" t="s">
        <v>58</v>
      </c>
      <c r="B36" s="492">
        <v>100</v>
      </c>
      <c r="C36" s="465"/>
      <c r="D36" s="656" t="s">
        <v>59</v>
      </c>
      <c r="E36" s="669"/>
      <c r="F36" s="656" t="s">
        <v>60</v>
      </c>
      <c r="G36" s="657"/>
      <c r="J36" s="481"/>
      <c r="K36" s="481"/>
      <c r="L36" s="486"/>
      <c r="M36" s="486"/>
      <c r="N36" s="487"/>
    </row>
    <row r="37" spans="1:14" s="480" customFormat="1" ht="27" customHeight="1" thickBot="1" x14ac:dyDescent="0.5">
      <c r="A37" s="493" t="s">
        <v>61</v>
      </c>
      <c r="B37" s="494">
        <v>1</v>
      </c>
      <c r="C37" s="495" t="s">
        <v>62</v>
      </c>
      <c r="D37" s="496" t="s">
        <v>63</v>
      </c>
      <c r="E37" s="497" t="s">
        <v>64</v>
      </c>
      <c r="F37" s="496" t="s">
        <v>63</v>
      </c>
      <c r="G37" s="498" t="s">
        <v>64</v>
      </c>
      <c r="I37" s="499" t="s">
        <v>65</v>
      </c>
      <c r="J37" s="481"/>
      <c r="K37" s="481"/>
      <c r="L37" s="486"/>
      <c r="M37" s="486"/>
      <c r="N37" s="487"/>
    </row>
    <row r="38" spans="1:14" s="480" customFormat="1" ht="26.25" customHeight="1" x14ac:dyDescent="0.45">
      <c r="A38" s="493" t="s">
        <v>66</v>
      </c>
      <c r="B38" s="494">
        <v>1</v>
      </c>
      <c r="C38" s="500">
        <v>1</v>
      </c>
      <c r="D38" s="501">
        <v>62456580</v>
      </c>
      <c r="E38" s="502">
        <f>IF(ISBLANK(D38),"-",$D$48/$D$45*D38)</f>
        <v>60602075.681382127</v>
      </c>
      <c r="F38" s="501">
        <v>53776571</v>
      </c>
      <c r="G38" s="503">
        <f>IF(ISBLANK(F38),"-",$D$48/$F$45*F38)</f>
        <v>60049412.718453243</v>
      </c>
      <c r="I38" s="504"/>
      <c r="J38" s="481"/>
      <c r="K38" s="481"/>
      <c r="L38" s="486"/>
      <c r="M38" s="486"/>
      <c r="N38" s="487"/>
    </row>
    <row r="39" spans="1:14" s="480" customFormat="1" ht="26.25" customHeight="1" x14ac:dyDescent="0.45">
      <c r="A39" s="493" t="s">
        <v>67</v>
      </c>
      <c r="B39" s="494">
        <v>1</v>
      </c>
      <c r="C39" s="505">
        <v>2</v>
      </c>
      <c r="D39" s="506">
        <v>62684072</v>
      </c>
      <c r="E39" s="507">
        <f>IF(ISBLANK(D39),"-",$D$48/$D$45*D39)</f>
        <v>60822812.830308773</v>
      </c>
      <c r="F39" s="506">
        <v>53294989</v>
      </c>
      <c r="G39" s="508">
        <f>IF(ISBLANK(F39),"-",$D$48/$F$45*F39)</f>
        <v>59511655.92701003</v>
      </c>
      <c r="I39" s="640">
        <f>ABS((F43/D43*D42)-F42)/D42</f>
        <v>1.3526612764218838E-2</v>
      </c>
      <c r="J39" s="481"/>
      <c r="K39" s="481"/>
      <c r="L39" s="486"/>
      <c r="M39" s="486"/>
      <c r="N39" s="487"/>
    </row>
    <row r="40" spans="1:14" ht="26.25" customHeight="1" x14ac:dyDescent="0.45">
      <c r="A40" s="493" t="s">
        <v>68</v>
      </c>
      <c r="B40" s="494">
        <v>1</v>
      </c>
      <c r="C40" s="505">
        <v>3</v>
      </c>
      <c r="D40" s="506">
        <v>62821894</v>
      </c>
      <c r="E40" s="507">
        <f>IF(ISBLANK(D40),"-",$D$48/$D$45*D40)</f>
        <v>60956542.5233941</v>
      </c>
      <c r="F40" s="506">
        <v>53715567</v>
      </c>
      <c r="G40" s="508">
        <f>IF(ISBLANK(F40),"-",$D$48/$F$45*F40)</f>
        <v>59981292.823388226</v>
      </c>
      <c r="I40" s="640"/>
      <c r="L40" s="486"/>
      <c r="M40" s="486"/>
      <c r="N40" s="465"/>
    </row>
    <row r="41" spans="1:14" ht="27" customHeight="1" thickBot="1" x14ac:dyDescent="0.5">
      <c r="A41" s="493" t="s">
        <v>69</v>
      </c>
      <c r="B41" s="494">
        <v>1</v>
      </c>
      <c r="C41" s="509">
        <v>4</v>
      </c>
      <c r="D41" s="510"/>
      <c r="E41" s="511" t="str">
        <f>IF(ISBLANK(D41),"-",$D$48/$D$45*D41)</f>
        <v>-</v>
      </c>
      <c r="F41" s="510"/>
      <c r="G41" s="512" t="str">
        <f>IF(ISBLANK(F41),"-",$D$48/$F$45*F41)</f>
        <v>-</v>
      </c>
      <c r="I41" s="513"/>
      <c r="L41" s="486"/>
      <c r="M41" s="486"/>
      <c r="N41" s="465"/>
    </row>
    <row r="42" spans="1:14" ht="27" customHeight="1" thickBot="1" x14ac:dyDescent="0.5">
      <c r="A42" s="493" t="s">
        <v>70</v>
      </c>
      <c r="B42" s="494">
        <v>1</v>
      </c>
      <c r="C42" s="514" t="s">
        <v>71</v>
      </c>
      <c r="D42" s="515">
        <f>AVERAGE(D38:D41)</f>
        <v>62654182</v>
      </c>
      <c r="E42" s="516">
        <f>AVERAGE(E38:E41)</f>
        <v>60793810.345028333</v>
      </c>
      <c r="F42" s="515">
        <f>AVERAGE(F38:F41)</f>
        <v>53595709</v>
      </c>
      <c r="G42" s="517">
        <f>AVERAGE(G38:G41)</f>
        <v>59847453.822950505</v>
      </c>
      <c r="H42" s="518"/>
    </row>
    <row r="43" spans="1:14" ht="26.25" customHeight="1" x14ac:dyDescent="0.45">
      <c r="A43" s="493" t="s">
        <v>72</v>
      </c>
      <c r="B43" s="494">
        <v>1</v>
      </c>
      <c r="C43" s="519" t="s">
        <v>73</v>
      </c>
      <c r="D43" s="520">
        <v>15.49</v>
      </c>
      <c r="E43" s="465"/>
      <c r="F43" s="520">
        <v>13.46</v>
      </c>
      <c r="H43" s="518"/>
    </row>
    <row r="44" spans="1:14" ht="26.25" customHeight="1" x14ac:dyDescent="0.45">
      <c r="A44" s="493" t="s">
        <v>74</v>
      </c>
      <c r="B44" s="494">
        <v>1</v>
      </c>
      <c r="C44" s="521" t="s">
        <v>75</v>
      </c>
      <c r="D44" s="522">
        <f>D43*$B$34</f>
        <v>15.49</v>
      </c>
      <c r="E44" s="523"/>
      <c r="F44" s="522">
        <f>F43*$B$34</f>
        <v>13.46</v>
      </c>
      <c r="H44" s="518"/>
    </row>
    <row r="45" spans="1:14" ht="19.5" customHeight="1" thickBot="1" x14ac:dyDescent="0.4">
      <c r="A45" s="493" t="s">
        <v>76</v>
      </c>
      <c r="B45" s="505">
        <f>(B44/B43)*(B42/B41)*(B40/B39)*(B38/B37)*B36</f>
        <v>100</v>
      </c>
      <c r="C45" s="521" t="s">
        <v>77</v>
      </c>
      <c r="D45" s="524">
        <f>D44*$B$30/100</f>
        <v>15.459020000000001</v>
      </c>
      <c r="E45" s="525"/>
      <c r="F45" s="524">
        <f>F44*$B$30/100</f>
        <v>13.43308</v>
      </c>
      <c r="H45" s="518"/>
    </row>
    <row r="46" spans="1:14" ht="19.5" customHeight="1" thickBot="1" x14ac:dyDescent="0.4">
      <c r="A46" s="641" t="s">
        <v>78</v>
      </c>
      <c r="B46" s="645"/>
      <c r="C46" s="521" t="s">
        <v>79</v>
      </c>
      <c r="D46" s="526">
        <f>D45/$B$45</f>
        <v>0.15459020000000001</v>
      </c>
      <c r="E46" s="527"/>
      <c r="F46" s="528">
        <f>F45/$B$45</f>
        <v>0.1343308</v>
      </c>
      <c r="H46" s="518"/>
    </row>
    <row r="47" spans="1:14" ht="27" customHeight="1" thickBot="1" x14ac:dyDescent="0.5">
      <c r="A47" s="643"/>
      <c r="B47" s="646"/>
      <c r="C47" s="529" t="s">
        <v>80</v>
      </c>
      <c r="D47" s="530">
        <v>0.15</v>
      </c>
      <c r="E47" s="531"/>
      <c r="F47" s="527"/>
      <c r="H47" s="518"/>
    </row>
    <row r="48" spans="1:14" ht="18" x14ac:dyDescent="0.35">
      <c r="C48" s="532" t="s">
        <v>81</v>
      </c>
      <c r="D48" s="524">
        <f>D47*$B$45</f>
        <v>15</v>
      </c>
      <c r="F48" s="533"/>
      <c r="H48" s="518"/>
    </row>
    <row r="49" spans="1:12" ht="19.5" customHeight="1" thickBot="1" x14ac:dyDescent="0.4">
      <c r="C49" s="534" t="s">
        <v>82</v>
      </c>
      <c r="D49" s="535">
        <f>D48/B34</f>
        <v>15</v>
      </c>
      <c r="F49" s="533"/>
      <c r="H49" s="518"/>
    </row>
    <row r="50" spans="1:12" ht="18" x14ac:dyDescent="0.35">
      <c r="C50" s="491" t="s">
        <v>83</v>
      </c>
      <c r="D50" s="536">
        <f>AVERAGE(E38:E41,G38:G41)</f>
        <v>60320632.083989419</v>
      </c>
      <c r="F50" s="537"/>
      <c r="H50" s="518"/>
    </row>
    <row r="51" spans="1:12" ht="18" x14ac:dyDescent="0.35">
      <c r="C51" s="493" t="s">
        <v>84</v>
      </c>
      <c r="D51" s="538">
        <f>STDEV(E38:E41,G38:G41)/D50</f>
        <v>9.3160276904343548E-3</v>
      </c>
      <c r="F51" s="537"/>
      <c r="H51" s="518"/>
    </row>
    <row r="52" spans="1:12" ht="19.5" customHeight="1" thickBot="1" x14ac:dyDescent="0.4">
      <c r="C52" s="539" t="s">
        <v>20</v>
      </c>
      <c r="D52" s="540">
        <f>COUNT(E38:E41,G38:G41)</f>
        <v>6</v>
      </c>
      <c r="F52" s="537"/>
    </row>
    <row r="54" spans="1:12" ht="18" x14ac:dyDescent="0.35">
      <c r="A54" s="541" t="s">
        <v>1</v>
      </c>
      <c r="B54" s="542" t="s">
        <v>85</v>
      </c>
    </row>
    <row r="55" spans="1:12" ht="18" x14ac:dyDescent="0.35">
      <c r="A55" s="465" t="s">
        <v>86</v>
      </c>
      <c r="B55" s="543" t="str">
        <f>B21</f>
        <v xml:space="preserve">Lamivudine 50mg + Zidovudine 60mg + Nevirapine 30mg </v>
      </c>
    </row>
    <row r="56" spans="1:12" ht="26.25" customHeight="1" x14ac:dyDescent="0.45">
      <c r="A56" s="543" t="s">
        <v>87</v>
      </c>
      <c r="B56" s="544">
        <v>30</v>
      </c>
      <c r="C56" s="465" t="str">
        <f>B20</f>
        <v>Lamivudine     Nevirapine and Zidovudine</v>
      </c>
      <c r="H56" s="523"/>
    </row>
    <row r="57" spans="1:12" ht="18" x14ac:dyDescent="0.35">
      <c r="A57" s="543" t="s">
        <v>88</v>
      </c>
      <c r="B57" s="545">
        <f>'Uniformity (3TC)'!C46</f>
        <v>355.02149999999995</v>
      </c>
      <c r="H57" s="523"/>
    </row>
    <row r="58" spans="1:12" ht="19.5" customHeight="1" thickBot="1" x14ac:dyDescent="0.4">
      <c r="H58" s="523"/>
    </row>
    <row r="59" spans="1:12" s="480" customFormat="1" ht="27" customHeight="1" thickBot="1" x14ac:dyDescent="0.5">
      <c r="A59" s="491" t="s">
        <v>89</v>
      </c>
      <c r="B59" s="492">
        <v>200</v>
      </c>
      <c r="C59" s="465"/>
      <c r="D59" s="546" t="s">
        <v>90</v>
      </c>
      <c r="E59" s="547" t="s">
        <v>62</v>
      </c>
      <c r="F59" s="547" t="s">
        <v>63</v>
      </c>
      <c r="G59" s="547" t="s">
        <v>91</v>
      </c>
      <c r="H59" s="495" t="s">
        <v>92</v>
      </c>
      <c r="L59" s="481"/>
    </row>
    <row r="60" spans="1:12" s="480" customFormat="1" ht="26.25" customHeight="1" x14ac:dyDescent="0.45">
      <c r="A60" s="493" t="s">
        <v>93</v>
      </c>
      <c r="B60" s="494">
        <v>1</v>
      </c>
      <c r="C60" s="658" t="s">
        <v>94</v>
      </c>
      <c r="D60" s="661">
        <v>356.22</v>
      </c>
      <c r="E60" s="548">
        <v>1</v>
      </c>
      <c r="F60" s="549">
        <v>62468754</v>
      </c>
      <c r="G60" s="550">
        <f>IF(ISBLANK(F60),"-",(F60/$D$50*$D$47*$B$68)*($B$57/$D$60))</f>
        <v>30.963822548077736</v>
      </c>
      <c r="H60" s="551">
        <f t="shared" ref="H60:H71" si="0">IF(ISBLANK(F60),"-",G60/$B$56)</f>
        <v>1.0321274182692579</v>
      </c>
      <c r="L60" s="481"/>
    </row>
    <row r="61" spans="1:12" s="480" customFormat="1" ht="26.25" customHeight="1" x14ac:dyDescent="0.45">
      <c r="A61" s="493" t="s">
        <v>95</v>
      </c>
      <c r="B61" s="494">
        <v>1</v>
      </c>
      <c r="C61" s="659"/>
      <c r="D61" s="662"/>
      <c r="E61" s="552">
        <v>2</v>
      </c>
      <c r="F61" s="506">
        <v>63842320</v>
      </c>
      <c r="G61" s="553">
        <f>IF(ISBLANK(F61),"-",(F61/$D$50*$D$47*$B$68)*($B$57/$D$60))</f>
        <v>31.644656583635307</v>
      </c>
      <c r="H61" s="554">
        <f t="shared" si="0"/>
        <v>1.0548218861211769</v>
      </c>
      <c r="L61" s="481"/>
    </row>
    <row r="62" spans="1:12" s="480" customFormat="1" ht="26.25" customHeight="1" x14ac:dyDescent="0.45">
      <c r="A62" s="493" t="s">
        <v>96</v>
      </c>
      <c r="B62" s="494">
        <v>1</v>
      </c>
      <c r="C62" s="659"/>
      <c r="D62" s="662"/>
      <c r="E62" s="552">
        <v>3</v>
      </c>
      <c r="F62" s="555">
        <v>61950851</v>
      </c>
      <c r="G62" s="553">
        <f>IF(ISBLANK(F62),"-",(F62/$D$50*$D$47*$B$68)*($B$57/$D$60))</f>
        <v>30.707114104859595</v>
      </c>
      <c r="H62" s="554">
        <f t="shared" si="0"/>
        <v>1.0235704701619865</v>
      </c>
      <c r="L62" s="481"/>
    </row>
    <row r="63" spans="1:12" ht="27" customHeight="1" thickBot="1" x14ac:dyDescent="0.5">
      <c r="A63" s="493" t="s">
        <v>97</v>
      </c>
      <c r="B63" s="494">
        <v>1</v>
      </c>
      <c r="C63" s="660"/>
      <c r="D63" s="663"/>
      <c r="E63" s="556">
        <v>4</v>
      </c>
      <c r="F63" s="557"/>
      <c r="G63" s="553" t="str">
        <f>IF(ISBLANK(F63),"-",(F63/$D$50*$D$47*$B$68)*($B$57/$D$60))</f>
        <v>-</v>
      </c>
      <c r="H63" s="554" t="str">
        <f t="shared" si="0"/>
        <v>-</v>
      </c>
    </row>
    <row r="64" spans="1:12" ht="26.25" customHeight="1" x14ac:dyDescent="0.45">
      <c r="A64" s="493" t="s">
        <v>98</v>
      </c>
      <c r="B64" s="494">
        <v>1</v>
      </c>
      <c r="C64" s="658" t="s">
        <v>99</v>
      </c>
      <c r="D64" s="661">
        <v>353.21</v>
      </c>
      <c r="E64" s="548">
        <v>1</v>
      </c>
      <c r="F64" s="549">
        <v>60283883</v>
      </c>
      <c r="G64" s="558">
        <f>IF(ISBLANK(F64),"-",(F64/$D$50*$D$47*$B$68)*($B$57/$D$64))</f>
        <v>30.135489700755951</v>
      </c>
      <c r="H64" s="559">
        <f t="shared" si="0"/>
        <v>1.0045163233585317</v>
      </c>
    </row>
    <row r="65" spans="1:8" ht="26.25" customHeight="1" x14ac:dyDescent="0.45">
      <c r="A65" s="493" t="s">
        <v>100</v>
      </c>
      <c r="B65" s="494">
        <v>1</v>
      </c>
      <c r="C65" s="659"/>
      <c r="D65" s="662"/>
      <c r="E65" s="552">
        <v>2</v>
      </c>
      <c r="F65" s="506">
        <v>60669653</v>
      </c>
      <c r="G65" s="560">
        <f>IF(ISBLANK(F65),"-",(F65/$D$50*$D$47*$B$68)*($B$57/$D$64))</f>
        <v>30.328333414254974</v>
      </c>
      <c r="H65" s="561">
        <f t="shared" si="0"/>
        <v>1.0109444471418325</v>
      </c>
    </row>
    <row r="66" spans="1:8" ht="26.25" customHeight="1" x14ac:dyDescent="0.45">
      <c r="A66" s="493" t="s">
        <v>101</v>
      </c>
      <c r="B66" s="494">
        <v>1</v>
      </c>
      <c r="C66" s="659"/>
      <c r="D66" s="662"/>
      <c r="E66" s="552">
        <v>3</v>
      </c>
      <c r="F66" s="506">
        <v>60363297</v>
      </c>
      <c r="G66" s="560">
        <f>IF(ISBLANK(F66),"-",(F66/$D$50*$D$47*$B$68)*($B$57/$D$64))</f>
        <v>30.175188201582383</v>
      </c>
      <c r="H66" s="561">
        <f t="shared" si="0"/>
        <v>1.0058396067194129</v>
      </c>
    </row>
    <row r="67" spans="1:8" ht="27" customHeight="1" thickBot="1" x14ac:dyDescent="0.5">
      <c r="A67" s="493" t="s">
        <v>102</v>
      </c>
      <c r="B67" s="494">
        <v>1</v>
      </c>
      <c r="C67" s="660"/>
      <c r="D67" s="663"/>
      <c r="E67" s="556">
        <v>4</v>
      </c>
      <c r="F67" s="557"/>
      <c r="G67" s="562" t="str">
        <f>IF(ISBLANK(F67),"-",(F67/$D$50*$D$47*$B$68)*($B$57/$D$64))</f>
        <v>-</v>
      </c>
      <c r="H67" s="563" t="str">
        <f t="shared" si="0"/>
        <v>-</v>
      </c>
    </row>
    <row r="68" spans="1:8" ht="26.25" customHeight="1" x14ac:dyDescent="0.5">
      <c r="A68" s="493" t="s">
        <v>103</v>
      </c>
      <c r="B68" s="564">
        <f>(B67/B66)*(B65/B64)*(B63/B62)*(B61/B60)*B59</f>
        <v>200</v>
      </c>
      <c r="C68" s="658" t="s">
        <v>104</v>
      </c>
      <c r="D68" s="661">
        <v>351.03</v>
      </c>
      <c r="E68" s="548">
        <v>1</v>
      </c>
      <c r="F68" s="549">
        <v>62396942</v>
      </c>
      <c r="G68" s="558">
        <f>IF(ISBLANK(F68),"-",(F68/$D$50*$D$47*$B$68)*($B$57/$D$68))</f>
        <v>31.385503302965489</v>
      </c>
      <c r="H68" s="554">
        <f t="shared" si="0"/>
        <v>1.0461834434321831</v>
      </c>
    </row>
    <row r="69" spans="1:8" ht="27" customHeight="1" thickBot="1" x14ac:dyDescent="0.55000000000000004">
      <c r="A69" s="539" t="s">
        <v>105</v>
      </c>
      <c r="B69" s="565">
        <f>(D47*B68)/B56*B57</f>
        <v>355.02149999999995</v>
      </c>
      <c r="C69" s="659"/>
      <c r="D69" s="662"/>
      <c r="E69" s="552">
        <v>2</v>
      </c>
      <c r="F69" s="506">
        <v>62443933</v>
      </c>
      <c r="G69" s="560">
        <f>IF(ISBLANK(F69),"-",(F69/$D$50*$D$47*$B$68)*($B$57/$D$68))</f>
        <v>31.409139656582141</v>
      </c>
      <c r="H69" s="554">
        <f t="shared" si="0"/>
        <v>1.0469713218860714</v>
      </c>
    </row>
    <row r="70" spans="1:8" ht="26.25" customHeight="1" x14ac:dyDescent="0.45">
      <c r="A70" s="665" t="s">
        <v>78</v>
      </c>
      <c r="B70" s="666"/>
      <c r="C70" s="659"/>
      <c r="D70" s="662"/>
      <c r="E70" s="552">
        <v>3</v>
      </c>
      <c r="F70" s="506">
        <v>62562589</v>
      </c>
      <c r="G70" s="560">
        <f>IF(ISBLANK(F70),"-",(F70/$D$50*$D$47*$B$68)*($B$57/$D$68))</f>
        <v>31.468823323129723</v>
      </c>
      <c r="H70" s="554">
        <f t="shared" si="0"/>
        <v>1.0489607774376575</v>
      </c>
    </row>
    <row r="71" spans="1:8" ht="27" customHeight="1" thickBot="1" x14ac:dyDescent="0.5">
      <c r="A71" s="667"/>
      <c r="B71" s="668"/>
      <c r="C71" s="664"/>
      <c r="D71" s="663"/>
      <c r="E71" s="556">
        <v>4</v>
      </c>
      <c r="F71" s="557"/>
      <c r="G71" s="562" t="str">
        <f>IF(ISBLANK(F71),"-",(F71/$D$50*$D$47*$B$68)*($B$57/$D$68))</f>
        <v>-</v>
      </c>
      <c r="H71" s="566" t="str">
        <f t="shared" si="0"/>
        <v>-</v>
      </c>
    </row>
    <row r="72" spans="1:8" ht="26.25" customHeight="1" x14ac:dyDescent="0.45">
      <c r="A72" s="523"/>
      <c r="B72" s="523"/>
      <c r="C72" s="523"/>
      <c r="D72" s="523"/>
      <c r="E72" s="523"/>
      <c r="F72" s="567" t="s">
        <v>71</v>
      </c>
      <c r="G72" s="568">
        <f>AVERAGE(G60:G71)</f>
        <v>30.91311898176037</v>
      </c>
      <c r="H72" s="569">
        <f>AVERAGE(H60:H71)</f>
        <v>1.0304372993920121</v>
      </c>
    </row>
    <row r="73" spans="1:8" ht="26.25" customHeight="1" x14ac:dyDescent="0.45">
      <c r="C73" s="523"/>
      <c r="D73" s="523"/>
      <c r="E73" s="523"/>
      <c r="F73" s="570" t="s">
        <v>84</v>
      </c>
      <c r="G73" s="571">
        <f>STDEV(G60:G71)/G72</f>
        <v>1.9305747391524863E-2</v>
      </c>
      <c r="H73" s="571">
        <f>STDEV(H60:H71)/H72</f>
        <v>1.9305747391524873E-2</v>
      </c>
    </row>
    <row r="74" spans="1:8" ht="27" customHeight="1" thickBot="1" x14ac:dyDescent="0.5">
      <c r="A74" s="523"/>
      <c r="B74" s="523"/>
      <c r="C74" s="523"/>
      <c r="D74" s="523"/>
      <c r="E74" s="525"/>
      <c r="F74" s="572" t="s">
        <v>20</v>
      </c>
      <c r="G74" s="573">
        <f>COUNT(G60:G71)</f>
        <v>9</v>
      </c>
      <c r="H74" s="573">
        <f>COUNT(H60:H71)</f>
        <v>9</v>
      </c>
    </row>
    <row r="76" spans="1:8" ht="26.25" customHeight="1" x14ac:dyDescent="0.45">
      <c r="A76" s="476" t="s">
        <v>106</v>
      </c>
      <c r="B76" s="477" t="s">
        <v>107</v>
      </c>
      <c r="C76" s="647" t="str">
        <f>B20</f>
        <v>Lamivudine     Nevirapine and Zidovudine</v>
      </c>
      <c r="D76" s="647"/>
      <c r="E76" s="465" t="s">
        <v>108</v>
      </c>
      <c r="F76" s="465"/>
      <c r="G76" s="574">
        <f>H72</f>
        <v>1.0304372993920121</v>
      </c>
      <c r="H76" s="482"/>
    </row>
    <row r="77" spans="1:8" ht="18" x14ac:dyDescent="0.35">
      <c r="A77" s="475" t="s">
        <v>109</v>
      </c>
      <c r="B77" s="475" t="s">
        <v>110</v>
      </c>
    </row>
    <row r="78" spans="1:8" ht="18" x14ac:dyDescent="0.35">
      <c r="A78" s="475"/>
      <c r="B78" s="475"/>
    </row>
    <row r="79" spans="1:8" ht="26.25" customHeight="1" x14ac:dyDescent="0.45">
      <c r="A79" s="476" t="s">
        <v>4</v>
      </c>
      <c r="B79" s="649"/>
      <c r="C79" s="649"/>
    </row>
    <row r="80" spans="1:8" ht="26.25" customHeight="1" x14ac:dyDescent="0.45">
      <c r="A80" s="477" t="s">
        <v>48</v>
      </c>
      <c r="B80" s="649"/>
      <c r="C80" s="649"/>
    </row>
    <row r="81" spans="1:12" ht="27" customHeight="1" thickBot="1" x14ac:dyDescent="0.5">
      <c r="A81" s="477" t="s">
        <v>6</v>
      </c>
      <c r="B81" s="478"/>
    </row>
    <row r="82" spans="1:12" s="480" customFormat="1" ht="27" customHeight="1" thickBot="1" x14ac:dyDescent="0.55000000000000004">
      <c r="A82" s="477" t="s">
        <v>49</v>
      </c>
      <c r="B82" s="479">
        <v>0</v>
      </c>
      <c r="C82" s="650" t="s">
        <v>50</v>
      </c>
      <c r="D82" s="651"/>
      <c r="E82" s="651"/>
      <c r="F82" s="651"/>
      <c r="G82" s="652"/>
      <c r="I82" s="481"/>
      <c r="J82" s="481"/>
      <c r="K82" s="481"/>
      <c r="L82" s="481"/>
    </row>
    <row r="83" spans="1:12" s="480" customFormat="1" ht="19.5" customHeight="1" thickBot="1" x14ac:dyDescent="0.4">
      <c r="A83" s="477" t="s">
        <v>51</v>
      </c>
      <c r="B83" s="482">
        <f>B81-B82</f>
        <v>0</v>
      </c>
      <c r="C83" s="483"/>
      <c r="D83" s="483"/>
      <c r="E83" s="483"/>
      <c r="F83" s="483"/>
      <c r="G83" s="484"/>
      <c r="I83" s="481"/>
      <c r="J83" s="481"/>
      <c r="K83" s="481"/>
      <c r="L83" s="481"/>
    </row>
    <row r="84" spans="1:12" s="480" customFormat="1" ht="27" customHeight="1" thickBot="1" x14ac:dyDescent="0.5">
      <c r="A84" s="477" t="s">
        <v>52</v>
      </c>
      <c r="B84" s="485"/>
      <c r="C84" s="653" t="s">
        <v>111</v>
      </c>
      <c r="D84" s="654"/>
      <c r="E84" s="654"/>
      <c r="F84" s="654"/>
      <c r="G84" s="654"/>
      <c r="H84" s="655"/>
      <c r="I84" s="481"/>
      <c r="J84" s="481"/>
      <c r="K84" s="481"/>
      <c r="L84" s="481"/>
    </row>
    <row r="85" spans="1:12" s="480" customFormat="1" ht="27" customHeight="1" thickBot="1" x14ac:dyDescent="0.5">
      <c r="A85" s="477" t="s">
        <v>54</v>
      </c>
      <c r="B85" s="485"/>
      <c r="C85" s="653" t="s">
        <v>112</v>
      </c>
      <c r="D85" s="654"/>
      <c r="E85" s="654"/>
      <c r="F85" s="654"/>
      <c r="G85" s="654"/>
      <c r="H85" s="655"/>
      <c r="I85" s="481"/>
      <c r="J85" s="481"/>
      <c r="K85" s="481"/>
      <c r="L85" s="481"/>
    </row>
    <row r="86" spans="1:12" s="480" customFormat="1" ht="18" x14ac:dyDescent="0.35">
      <c r="A86" s="477"/>
      <c r="B86" s="488"/>
      <c r="C86" s="489"/>
      <c r="D86" s="489"/>
      <c r="E86" s="489"/>
      <c r="F86" s="489"/>
      <c r="G86" s="489"/>
      <c r="H86" s="489"/>
      <c r="I86" s="481"/>
      <c r="J86" s="481"/>
      <c r="K86" s="481"/>
      <c r="L86" s="481"/>
    </row>
    <row r="87" spans="1:12" s="480" customFormat="1" ht="18" x14ac:dyDescent="0.35">
      <c r="A87" s="477" t="s">
        <v>56</v>
      </c>
      <c r="B87" s="490" t="e">
        <f>B84/B85</f>
        <v>#DIV/0!</v>
      </c>
      <c r="C87" s="465" t="s">
        <v>57</v>
      </c>
      <c r="D87" s="465"/>
      <c r="E87" s="465"/>
      <c r="F87" s="465"/>
      <c r="G87" s="465"/>
      <c r="I87" s="481"/>
      <c r="J87" s="481"/>
      <c r="K87" s="481"/>
      <c r="L87" s="481"/>
    </row>
    <row r="88" spans="1:12" ht="19.5" customHeight="1" thickBot="1" x14ac:dyDescent="0.4">
      <c r="A88" s="475"/>
      <c r="B88" s="475"/>
    </row>
    <row r="89" spans="1:12" ht="27" customHeight="1" thickBot="1" x14ac:dyDescent="0.5">
      <c r="A89" s="491" t="s">
        <v>58</v>
      </c>
      <c r="B89" s="492">
        <v>1</v>
      </c>
      <c r="D89" s="575" t="s">
        <v>59</v>
      </c>
      <c r="E89" s="576"/>
      <c r="F89" s="656" t="s">
        <v>60</v>
      </c>
      <c r="G89" s="657"/>
    </row>
    <row r="90" spans="1:12" ht="27" customHeight="1" thickBot="1" x14ac:dyDescent="0.5">
      <c r="A90" s="493" t="s">
        <v>61</v>
      </c>
      <c r="B90" s="494">
        <v>1</v>
      </c>
      <c r="C90" s="577" t="s">
        <v>62</v>
      </c>
      <c r="D90" s="496" t="s">
        <v>63</v>
      </c>
      <c r="E90" s="497" t="s">
        <v>64</v>
      </c>
      <c r="F90" s="496" t="s">
        <v>63</v>
      </c>
      <c r="G90" s="578" t="s">
        <v>64</v>
      </c>
      <c r="I90" s="499" t="s">
        <v>65</v>
      </c>
    </row>
    <row r="91" spans="1:12" ht="26.25" customHeight="1" x14ac:dyDescent="0.45">
      <c r="A91" s="493" t="s">
        <v>66</v>
      </c>
      <c r="B91" s="494">
        <v>1</v>
      </c>
      <c r="C91" s="579">
        <v>1</v>
      </c>
      <c r="D91" s="501"/>
      <c r="E91" s="502" t="str">
        <f>IF(ISBLANK(D91),"-",$D$101/$D$98*D91)</f>
        <v>-</v>
      </c>
      <c r="F91" s="501"/>
      <c r="G91" s="503" t="str">
        <f>IF(ISBLANK(F91),"-",$D$101/$F$98*F91)</f>
        <v>-</v>
      </c>
      <c r="I91" s="504"/>
    </row>
    <row r="92" spans="1:12" ht="26.25" customHeight="1" x14ac:dyDescent="0.45">
      <c r="A92" s="493" t="s">
        <v>67</v>
      </c>
      <c r="B92" s="494">
        <v>1</v>
      </c>
      <c r="C92" s="523">
        <v>2</v>
      </c>
      <c r="D92" s="506"/>
      <c r="E92" s="507" t="str">
        <f>IF(ISBLANK(D92),"-",$D$101/$D$98*D92)</f>
        <v>-</v>
      </c>
      <c r="F92" s="506"/>
      <c r="G92" s="508" t="str">
        <f>IF(ISBLANK(F92),"-",$D$101/$F$98*F92)</f>
        <v>-</v>
      </c>
      <c r="I92" s="640" t="e">
        <f>ABS((F96/D96*D95)-F95)/D95</f>
        <v>#DIV/0!</v>
      </c>
    </row>
    <row r="93" spans="1:12" ht="26.25" customHeight="1" x14ac:dyDescent="0.45">
      <c r="A93" s="493" t="s">
        <v>68</v>
      </c>
      <c r="B93" s="494">
        <v>1</v>
      </c>
      <c r="C93" s="523">
        <v>3</v>
      </c>
      <c r="D93" s="506"/>
      <c r="E93" s="507" t="str">
        <f>IF(ISBLANK(D93),"-",$D$101/$D$98*D93)</f>
        <v>-</v>
      </c>
      <c r="F93" s="506"/>
      <c r="G93" s="508" t="str">
        <f>IF(ISBLANK(F93),"-",$D$101/$F$98*F93)</f>
        <v>-</v>
      </c>
      <c r="I93" s="640"/>
    </row>
    <row r="94" spans="1:12" ht="27" customHeight="1" thickBot="1" x14ac:dyDescent="0.5">
      <c r="A94" s="493" t="s">
        <v>69</v>
      </c>
      <c r="B94" s="494">
        <v>1</v>
      </c>
      <c r="C94" s="580">
        <v>4</v>
      </c>
      <c r="D94" s="510"/>
      <c r="E94" s="511" t="str">
        <f>IF(ISBLANK(D94),"-",$D$101/$D$98*D94)</f>
        <v>-</v>
      </c>
      <c r="F94" s="581"/>
      <c r="G94" s="512" t="str">
        <f>IF(ISBLANK(F94),"-",$D$101/$F$98*F94)</f>
        <v>-</v>
      </c>
      <c r="I94" s="513"/>
    </row>
    <row r="95" spans="1:12" ht="27" customHeight="1" thickBot="1" x14ac:dyDescent="0.5">
      <c r="A95" s="493" t="s">
        <v>70</v>
      </c>
      <c r="B95" s="494">
        <v>1</v>
      </c>
      <c r="C95" s="477" t="s">
        <v>71</v>
      </c>
      <c r="D95" s="582" t="e">
        <f>AVERAGE(D91:D94)</f>
        <v>#DIV/0!</v>
      </c>
      <c r="E95" s="516" t="e">
        <f>AVERAGE(E91:E94)</f>
        <v>#DIV/0!</v>
      </c>
      <c r="F95" s="583" t="e">
        <f>AVERAGE(F91:F94)</f>
        <v>#DIV/0!</v>
      </c>
      <c r="G95" s="584" t="e">
        <f>AVERAGE(G91:G94)</f>
        <v>#DIV/0!</v>
      </c>
    </row>
    <row r="96" spans="1:12" ht="26.25" customHeight="1" x14ac:dyDescent="0.45">
      <c r="A96" s="493" t="s">
        <v>72</v>
      </c>
      <c r="B96" s="478">
        <v>1</v>
      </c>
      <c r="C96" s="585" t="s">
        <v>113</v>
      </c>
      <c r="D96" s="586">
        <v>25.12</v>
      </c>
      <c r="E96" s="465"/>
      <c r="F96" s="520">
        <v>25.78</v>
      </c>
    </row>
    <row r="97" spans="1:10" ht="26.25" customHeight="1" x14ac:dyDescent="0.45">
      <c r="A97" s="493" t="s">
        <v>74</v>
      </c>
      <c r="B97" s="478">
        <v>1</v>
      </c>
      <c r="C97" s="587" t="s">
        <v>114</v>
      </c>
      <c r="D97" s="588" t="e">
        <f>D96*$B$87</f>
        <v>#DIV/0!</v>
      </c>
      <c r="E97" s="523"/>
      <c r="F97" s="522" t="e">
        <f>F96*$B$87</f>
        <v>#DIV/0!</v>
      </c>
    </row>
    <row r="98" spans="1:10" ht="19.5" customHeight="1" thickBot="1" x14ac:dyDescent="0.4">
      <c r="A98" s="493" t="s">
        <v>76</v>
      </c>
      <c r="B98" s="523">
        <f>(B97/B96)*(B95/B94)*(B93/B92)*(B91/B90)*B89</f>
        <v>1</v>
      </c>
      <c r="C98" s="587" t="s">
        <v>115</v>
      </c>
      <c r="D98" s="589" t="e">
        <f>D97*$B$83/100</f>
        <v>#DIV/0!</v>
      </c>
      <c r="E98" s="525"/>
      <c r="F98" s="524" t="e">
        <f>F97*$B$83/100</f>
        <v>#DIV/0!</v>
      </c>
    </row>
    <row r="99" spans="1:10" ht="19.5" customHeight="1" thickBot="1" x14ac:dyDescent="0.4">
      <c r="A99" s="641" t="s">
        <v>78</v>
      </c>
      <c r="B99" s="642"/>
      <c r="C99" s="587" t="s">
        <v>116</v>
      </c>
      <c r="D99" s="590" t="e">
        <f>D98/$B$98</f>
        <v>#DIV/0!</v>
      </c>
      <c r="E99" s="525"/>
      <c r="F99" s="528" t="e">
        <f>F98/$B$98</f>
        <v>#DIV/0!</v>
      </c>
      <c r="H99" s="518"/>
    </row>
    <row r="100" spans="1:10" ht="19.5" customHeight="1" thickBot="1" x14ac:dyDescent="0.4">
      <c r="A100" s="643"/>
      <c r="B100" s="644"/>
      <c r="C100" s="587" t="s">
        <v>80</v>
      </c>
      <c r="D100" s="591">
        <f>$B$56/$B$116</f>
        <v>30</v>
      </c>
      <c r="F100" s="533"/>
      <c r="G100" s="592"/>
      <c r="H100" s="518"/>
    </row>
    <row r="101" spans="1:10" ht="18" x14ac:dyDescent="0.35">
      <c r="C101" s="587" t="s">
        <v>81</v>
      </c>
      <c r="D101" s="588">
        <f>D100*$B$98</f>
        <v>30</v>
      </c>
      <c r="F101" s="533"/>
      <c r="H101" s="518"/>
    </row>
    <row r="102" spans="1:10" ht="19.5" customHeight="1" thickBot="1" x14ac:dyDescent="0.4">
      <c r="C102" s="593" t="s">
        <v>82</v>
      </c>
      <c r="D102" s="594">
        <f>D101/B34</f>
        <v>30</v>
      </c>
      <c r="F102" s="537"/>
      <c r="H102" s="518"/>
      <c r="J102" s="595"/>
    </row>
    <row r="103" spans="1:10" ht="18" x14ac:dyDescent="0.35">
      <c r="C103" s="596" t="s">
        <v>117</v>
      </c>
      <c r="D103" s="597" t="e">
        <f>AVERAGE(E91:E94,G91:G94)</f>
        <v>#DIV/0!</v>
      </c>
      <c r="F103" s="537"/>
      <c r="G103" s="592"/>
      <c r="H103" s="518"/>
      <c r="J103" s="598"/>
    </row>
    <row r="104" spans="1:10" ht="18" x14ac:dyDescent="0.35">
      <c r="C104" s="570" t="s">
        <v>84</v>
      </c>
      <c r="D104" s="599" t="e">
        <f>STDEV(E91:E94,G91:G94)/D103</f>
        <v>#DIV/0!</v>
      </c>
      <c r="F104" s="537"/>
      <c r="H104" s="518"/>
      <c r="J104" s="598"/>
    </row>
    <row r="105" spans="1:10" ht="19.5" customHeight="1" thickBot="1" x14ac:dyDescent="0.4">
      <c r="C105" s="572" t="s">
        <v>20</v>
      </c>
      <c r="D105" s="600">
        <f>COUNT(E91:E94,G91:G94)</f>
        <v>0</v>
      </c>
      <c r="F105" s="537"/>
      <c r="H105" s="518"/>
      <c r="J105" s="598"/>
    </row>
    <row r="106" spans="1:10" ht="19.5" customHeight="1" thickBot="1" x14ac:dyDescent="0.4">
      <c r="A106" s="541"/>
      <c r="B106" s="541"/>
      <c r="C106" s="541"/>
      <c r="D106" s="541"/>
      <c r="E106" s="541"/>
    </row>
    <row r="107" spans="1:10" ht="26.25" customHeight="1" x14ac:dyDescent="0.45">
      <c r="A107" s="491" t="s">
        <v>118</v>
      </c>
      <c r="B107" s="492">
        <v>1</v>
      </c>
      <c r="C107" s="575" t="s">
        <v>119</v>
      </c>
      <c r="D107" s="601" t="s">
        <v>63</v>
      </c>
      <c r="E107" s="602" t="s">
        <v>120</v>
      </c>
      <c r="F107" s="603" t="s">
        <v>121</v>
      </c>
    </row>
    <row r="108" spans="1:10" ht="26.25" customHeight="1" x14ac:dyDescent="0.45">
      <c r="A108" s="493" t="s">
        <v>122</v>
      </c>
      <c r="B108" s="494">
        <v>1</v>
      </c>
      <c r="C108" s="604">
        <v>1</v>
      </c>
      <c r="D108" s="605"/>
      <c r="E108" s="606" t="str">
        <f t="shared" ref="E108:E113" si="1">IF(ISBLANK(D108),"-",D108/$D$103*$D$100*$B$116)</f>
        <v>-</v>
      </c>
      <c r="F108" s="607" t="str">
        <f t="shared" ref="F108:F113" si="2">IF(ISBLANK(D108), "-", E108/$B$56)</f>
        <v>-</v>
      </c>
    </row>
    <row r="109" spans="1:10" ht="26.25" customHeight="1" x14ac:dyDescent="0.45">
      <c r="A109" s="493" t="s">
        <v>95</v>
      </c>
      <c r="B109" s="494">
        <v>1</v>
      </c>
      <c r="C109" s="604">
        <v>2</v>
      </c>
      <c r="D109" s="605"/>
      <c r="E109" s="608" t="str">
        <f t="shared" si="1"/>
        <v>-</v>
      </c>
      <c r="F109" s="609" t="str">
        <f t="shared" si="2"/>
        <v>-</v>
      </c>
    </row>
    <row r="110" spans="1:10" ht="26.25" customHeight="1" x14ac:dyDescent="0.45">
      <c r="A110" s="493" t="s">
        <v>96</v>
      </c>
      <c r="B110" s="494">
        <v>1</v>
      </c>
      <c r="C110" s="604">
        <v>3</v>
      </c>
      <c r="D110" s="605"/>
      <c r="E110" s="608" t="str">
        <f t="shared" si="1"/>
        <v>-</v>
      </c>
      <c r="F110" s="609" t="str">
        <f t="shared" si="2"/>
        <v>-</v>
      </c>
    </row>
    <row r="111" spans="1:10" ht="26.25" customHeight="1" x14ac:dyDescent="0.45">
      <c r="A111" s="493" t="s">
        <v>97</v>
      </c>
      <c r="B111" s="494">
        <v>1</v>
      </c>
      <c r="C111" s="604">
        <v>4</v>
      </c>
      <c r="D111" s="605"/>
      <c r="E111" s="608" t="str">
        <f t="shared" si="1"/>
        <v>-</v>
      </c>
      <c r="F111" s="609" t="str">
        <f t="shared" si="2"/>
        <v>-</v>
      </c>
    </row>
    <row r="112" spans="1:10" ht="26.25" customHeight="1" x14ac:dyDescent="0.45">
      <c r="A112" s="493" t="s">
        <v>98</v>
      </c>
      <c r="B112" s="494">
        <v>1</v>
      </c>
      <c r="C112" s="604">
        <v>5</v>
      </c>
      <c r="D112" s="605"/>
      <c r="E112" s="608" t="str">
        <f t="shared" si="1"/>
        <v>-</v>
      </c>
      <c r="F112" s="609" t="str">
        <f t="shared" si="2"/>
        <v>-</v>
      </c>
    </row>
    <row r="113" spans="1:10" ht="26.25" customHeight="1" x14ac:dyDescent="0.45">
      <c r="A113" s="493" t="s">
        <v>100</v>
      </c>
      <c r="B113" s="494">
        <v>1</v>
      </c>
      <c r="C113" s="610">
        <v>6</v>
      </c>
      <c r="D113" s="611"/>
      <c r="E113" s="612" t="str">
        <f t="shared" si="1"/>
        <v>-</v>
      </c>
      <c r="F113" s="613" t="str">
        <f t="shared" si="2"/>
        <v>-</v>
      </c>
    </row>
    <row r="114" spans="1:10" ht="26.25" customHeight="1" x14ac:dyDescent="0.45">
      <c r="A114" s="493" t="s">
        <v>101</v>
      </c>
      <c r="B114" s="494">
        <v>1</v>
      </c>
      <c r="C114" s="604"/>
      <c r="D114" s="523"/>
      <c r="E114" s="465"/>
      <c r="F114" s="614"/>
    </row>
    <row r="115" spans="1:10" ht="26.25" customHeight="1" x14ac:dyDescent="0.45">
      <c r="A115" s="493" t="s">
        <v>102</v>
      </c>
      <c r="B115" s="494">
        <v>1</v>
      </c>
      <c r="C115" s="604"/>
      <c r="D115" s="615" t="s">
        <v>71</v>
      </c>
      <c r="E115" s="616" t="e">
        <f>AVERAGE(E108:E113)</f>
        <v>#DIV/0!</v>
      </c>
      <c r="F115" s="617" t="e">
        <f>AVERAGE(F108:F113)</f>
        <v>#DIV/0!</v>
      </c>
    </row>
    <row r="116" spans="1:10" ht="27" customHeight="1" thickBot="1" x14ac:dyDescent="0.5">
      <c r="A116" s="493" t="s">
        <v>103</v>
      </c>
      <c r="B116" s="505">
        <f>(B115/B114)*(B113/B112)*(B111/B110)*(B109/B108)*B107</f>
        <v>1</v>
      </c>
      <c r="C116" s="618"/>
      <c r="D116" s="477" t="s">
        <v>84</v>
      </c>
      <c r="E116" s="619" t="e">
        <f>STDEV(E108:E113)/E115</f>
        <v>#DIV/0!</v>
      </c>
      <c r="F116" s="619" t="e">
        <f>STDEV(F108:F113)/F115</f>
        <v>#DIV/0!</v>
      </c>
      <c r="I116" s="465"/>
    </row>
    <row r="117" spans="1:10" ht="27" customHeight="1" thickBot="1" x14ac:dyDescent="0.5">
      <c r="A117" s="641" t="s">
        <v>78</v>
      </c>
      <c r="B117" s="645"/>
      <c r="C117" s="620"/>
      <c r="D117" s="621" t="s">
        <v>20</v>
      </c>
      <c r="E117" s="622">
        <f>COUNT(E108:E113)</f>
        <v>0</v>
      </c>
      <c r="F117" s="622">
        <f>COUNT(F108:F113)</f>
        <v>0</v>
      </c>
      <c r="I117" s="465"/>
      <c r="J117" s="598"/>
    </row>
    <row r="118" spans="1:10" ht="19.5" customHeight="1" thickBot="1" x14ac:dyDescent="0.4">
      <c r="A118" s="643"/>
      <c r="B118" s="646"/>
      <c r="C118" s="465"/>
      <c r="D118" s="465"/>
      <c r="E118" s="465"/>
      <c r="F118" s="523"/>
      <c r="G118" s="465"/>
      <c r="H118" s="465"/>
      <c r="I118" s="465"/>
    </row>
    <row r="119" spans="1:10" ht="18" x14ac:dyDescent="0.35">
      <c r="A119" s="623"/>
      <c r="B119" s="489"/>
      <c r="C119" s="465"/>
      <c r="D119" s="465"/>
      <c r="E119" s="465"/>
      <c r="F119" s="523"/>
      <c r="G119" s="465"/>
      <c r="H119" s="465"/>
      <c r="I119" s="465"/>
    </row>
    <row r="120" spans="1:10" ht="26.25" customHeight="1" x14ac:dyDescent="0.45">
      <c r="A120" s="476" t="s">
        <v>106</v>
      </c>
      <c r="B120" s="477" t="s">
        <v>123</v>
      </c>
      <c r="C120" s="647" t="str">
        <f>B20</f>
        <v>Lamivudine     Nevirapine and Zidovudine</v>
      </c>
      <c r="D120" s="647"/>
      <c r="E120" s="465" t="s">
        <v>124</v>
      </c>
      <c r="F120" s="465"/>
      <c r="G120" s="574" t="e">
        <f>F115</f>
        <v>#DIV/0!</v>
      </c>
      <c r="H120" s="465"/>
      <c r="I120" s="465"/>
    </row>
    <row r="121" spans="1:10" ht="19.5" customHeight="1" thickBot="1" x14ac:dyDescent="0.4">
      <c r="A121" s="624"/>
      <c r="B121" s="624"/>
      <c r="C121" s="625"/>
      <c r="D121" s="625"/>
      <c r="E121" s="625"/>
      <c r="F121" s="625"/>
      <c r="G121" s="625"/>
      <c r="H121" s="625"/>
    </row>
    <row r="122" spans="1:10" ht="18" x14ac:dyDescent="0.35">
      <c r="B122" s="648" t="s">
        <v>26</v>
      </c>
      <c r="C122" s="648"/>
      <c r="E122" s="577" t="s">
        <v>27</v>
      </c>
      <c r="F122" s="626"/>
      <c r="G122" s="648" t="s">
        <v>28</v>
      </c>
      <c r="H122" s="648"/>
    </row>
    <row r="123" spans="1:10" ht="69.900000000000006" customHeight="1" x14ac:dyDescent="0.35">
      <c r="A123" s="476" t="s">
        <v>29</v>
      </c>
      <c r="B123" s="627"/>
      <c r="C123" s="627"/>
      <c r="E123" s="627"/>
      <c r="F123" s="465"/>
      <c r="G123" s="627"/>
      <c r="H123" s="627"/>
    </row>
    <row r="124" spans="1:10" ht="69.900000000000006" customHeight="1" x14ac:dyDescent="0.35">
      <c r="A124" s="476" t="s">
        <v>30</v>
      </c>
      <c r="B124" s="628"/>
      <c r="C124" s="628"/>
      <c r="E124" s="628"/>
      <c r="F124" s="465"/>
      <c r="G124" s="629"/>
      <c r="H124" s="629"/>
    </row>
    <row r="125" spans="1:10" ht="18" x14ac:dyDescent="0.35">
      <c r="A125" s="523"/>
      <c r="B125" s="523"/>
      <c r="C125" s="523"/>
      <c r="D125" s="523"/>
      <c r="E125" s="523"/>
      <c r="F125" s="525"/>
      <c r="G125" s="523"/>
      <c r="H125" s="523"/>
      <c r="I125" s="465"/>
    </row>
    <row r="126" spans="1:10" ht="18" x14ac:dyDescent="0.35">
      <c r="A126" s="523"/>
      <c r="B126" s="523"/>
      <c r="C126" s="523"/>
      <c r="D126" s="523"/>
      <c r="E126" s="523"/>
      <c r="F126" s="525"/>
      <c r="G126" s="523"/>
      <c r="H126" s="523"/>
      <c r="I126" s="465"/>
    </row>
    <row r="127" spans="1:10" ht="18" x14ac:dyDescent="0.35">
      <c r="A127" s="523"/>
      <c r="B127" s="523"/>
      <c r="C127" s="523"/>
      <c r="D127" s="523"/>
      <c r="E127" s="523"/>
      <c r="F127" s="525"/>
      <c r="G127" s="523"/>
      <c r="H127" s="523"/>
      <c r="I127" s="465"/>
    </row>
    <row r="128" spans="1:10" ht="18" x14ac:dyDescent="0.35">
      <c r="A128" s="523"/>
      <c r="B128" s="523"/>
      <c r="C128" s="523"/>
      <c r="D128" s="523"/>
      <c r="E128" s="523"/>
      <c r="F128" s="525"/>
      <c r="G128" s="523"/>
      <c r="H128" s="523"/>
      <c r="I128" s="465"/>
    </row>
    <row r="129" spans="1:9" ht="18" x14ac:dyDescent="0.35">
      <c r="A129" s="523"/>
      <c r="B129" s="523"/>
      <c r="C129" s="523"/>
      <c r="D129" s="523"/>
      <c r="E129" s="523"/>
      <c r="F129" s="525"/>
      <c r="G129" s="523"/>
      <c r="H129" s="523"/>
      <c r="I129" s="465"/>
    </row>
    <row r="130" spans="1:9" ht="18" x14ac:dyDescent="0.35">
      <c r="A130" s="523"/>
      <c r="B130" s="523"/>
      <c r="C130" s="523"/>
      <c r="D130" s="523"/>
      <c r="E130" s="523"/>
      <c r="F130" s="525"/>
      <c r="G130" s="523"/>
      <c r="H130" s="523"/>
      <c r="I130" s="465"/>
    </row>
    <row r="131" spans="1:9" ht="18" x14ac:dyDescent="0.35">
      <c r="A131" s="523"/>
      <c r="B131" s="523"/>
      <c r="C131" s="523"/>
      <c r="D131" s="523"/>
      <c r="E131" s="523"/>
      <c r="F131" s="525"/>
      <c r="G131" s="523"/>
      <c r="H131" s="523"/>
      <c r="I131" s="465"/>
    </row>
    <row r="132" spans="1:9" ht="18" x14ac:dyDescent="0.35">
      <c r="A132" s="523"/>
      <c r="B132" s="523"/>
      <c r="C132" s="523"/>
      <c r="D132" s="523"/>
      <c r="E132" s="523"/>
      <c r="F132" s="525"/>
      <c r="G132" s="523"/>
      <c r="H132" s="523"/>
      <c r="I132" s="465"/>
    </row>
    <row r="133" spans="1:9" ht="18" x14ac:dyDescent="0.35">
      <c r="A133" s="523"/>
      <c r="B133" s="523"/>
      <c r="C133" s="523"/>
      <c r="D133" s="523"/>
      <c r="E133" s="523"/>
      <c r="F133" s="525"/>
      <c r="G133" s="523"/>
      <c r="H133" s="523"/>
      <c r="I133" s="465"/>
    </row>
    <row r="250" spans="1:1" x14ac:dyDescent="0.3">
      <c r="A250" s="464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A70:B71"/>
    <mergeCell ref="C76:D76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47" priority="1" operator="greaterThan">
      <formula>0.02</formula>
    </cfRule>
  </conditionalFormatting>
  <conditionalFormatting sqref="D51">
    <cfRule type="cellIs" dxfId="46" priority="2" operator="greaterThan">
      <formula>0.02</formula>
    </cfRule>
  </conditionalFormatting>
  <conditionalFormatting sqref="G73">
    <cfRule type="cellIs" dxfId="45" priority="3" operator="greaterThan">
      <formula>0.02</formula>
    </cfRule>
  </conditionalFormatting>
  <conditionalFormatting sqref="H73">
    <cfRule type="cellIs" dxfId="44" priority="4" operator="greaterThan">
      <formula>0.02</formula>
    </cfRule>
  </conditionalFormatting>
  <conditionalFormatting sqref="D104">
    <cfRule type="cellIs" dxfId="43" priority="5" operator="greaterThan">
      <formula>0.02</formula>
    </cfRule>
  </conditionalFormatting>
  <conditionalFormatting sqref="I39">
    <cfRule type="cellIs" dxfId="42" priority="6" operator="lessThanOrEqual">
      <formula>0.02</formula>
    </cfRule>
  </conditionalFormatting>
  <conditionalFormatting sqref="I39">
    <cfRule type="cellIs" dxfId="41" priority="7" operator="greaterThan">
      <formula>0.02</formula>
    </cfRule>
  </conditionalFormatting>
  <conditionalFormatting sqref="I92">
    <cfRule type="cellIs" dxfId="40" priority="8" operator="lessThanOrEqual">
      <formula>0.02</formula>
    </cfRule>
  </conditionalFormatting>
  <conditionalFormatting sqref="I92">
    <cfRule type="cellIs" dxfId="39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4" zoomScale="60" zoomScaleNormal="40" zoomScalePageLayoutView="50" workbookViewId="0">
      <selection activeCell="D60" sqref="D60:D71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679" t="s">
        <v>45</v>
      </c>
      <c r="B1" s="679"/>
      <c r="C1" s="679"/>
      <c r="D1" s="679"/>
      <c r="E1" s="679"/>
      <c r="F1" s="679"/>
      <c r="G1" s="679"/>
      <c r="H1" s="679"/>
      <c r="I1" s="679"/>
    </row>
    <row r="2" spans="1:9" ht="18.75" customHeight="1" x14ac:dyDescent="0.3">
      <c r="A2" s="679"/>
      <c r="B2" s="679"/>
      <c r="C2" s="679"/>
      <c r="D2" s="679"/>
      <c r="E2" s="679"/>
      <c r="F2" s="679"/>
      <c r="G2" s="679"/>
      <c r="H2" s="679"/>
      <c r="I2" s="679"/>
    </row>
    <row r="3" spans="1:9" ht="18.75" customHeight="1" x14ac:dyDescent="0.3">
      <c r="A3" s="679"/>
      <c r="B3" s="679"/>
      <c r="C3" s="679"/>
      <c r="D3" s="679"/>
      <c r="E3" s="679"/>
      <c r="F3" s="679"/>
      <c r="G3" s="679"/>
      <c r="H3" s="679"/>
      <c r="I3" s="679"/>
    </row>
    <row r="4" spans="1:9" ht="18.75" customHeight="1" x14ac:dyDescent="0.3">
      <c r="A4" s="679"/>
      <c r="B4" s="679"/>
      <c r="C4" s="679"/>
      <c r="D4" s="679"/>
      <c r="E4" s="679"/>
      <c r="F4" s="679"/>
      <c r="G4" s="679"/>
      <c r="H4" s="679"/>
      <c r="I4" s="679"/>
    </row>
    <row r="5" spans="1:9" ht="18.75" customHeight="1" x14ac:dyDescent="0.3">
      <c r="A5" s="679"/>
      <c r="B5" s="679"/>
      <c r="C5" s="679"/>
      <c r="D5" s="679"/>
      <c r="E5" s="679"/>
      <c r="F5" s="679"/>
      <c r="G5" s="679"/>
      <c r="H5" s="679"/>
      <c r="I5" s="679"/>
    </row>
    <row r="6" spans="1:9" ht="18.75" customHeight="1" x14ac:dyDescent="0.3">
      <c r="A6" s="679"/>
      <c r="B6" s="679"/>
      <c r="C6" s="679"/>
      <c r="D6" s="679"/>
      <c r="E6" s="679"/>
      <c r="F6" s="679"/>
      <c r="G6" s="679"/>
      <c r="H6" s="679"/>
      <c r="I6" s="679"/>
    </row>
    <row r="7" spans="1:9" ht="18.75" customHeight="1" x14ac:dyDescent="0.3">
      <c r="A7" s="679"/>
      <c r="B7" s="679"/>
      <c r="C7" s="679"/>
      <c r="D7" s="679"/>
      <c r="E7" s="679"/>
      <c r="F7" s="679"/>
      <c r="G7" s="679"/>
      <c r="H7" s="679"/>
      <c r="I7" s="679"/>
    </row>
    <row r="8" spans="1:9" x14ac:dyDescent="0.3">
      <c r="A8" s="680" t="s">
        <v>46</v>
      </c>
      <c r="B8" s="680"/>
      <c r="C8" s="680"/>
      <c r="D8" s="680"/>
      <c r="E8" s="680"/>
      <c r="F8" s="680"/>
      <c r="G8" s="680"/>
      <c r="H8" s="680"/>
      <c r="I8" s="680"/>
    </row>
    <row r="9" spans="1:9" x14ac:dyDescent="0.3">
      <c r="A9" s="680"/>
      <c r="B9" s="680"/>
      <c r="C9" s="680"/>
      <c r="D9" s="680"/>
      <c r="E9" s="680"/>
      <c r="F9" s="680"/>
      <c r="G9" s="680"/>
      <c r="H9" s="680"/>
      <c r="I9" s="680"/>
    </row>
    <row r="10" spans="1:9" x14ac:dyDescent="0.3">
      <c r="A10" s="680"/>
      <c r="B10" s="680"/>
      <c r="C10" s="680"/>
      <c r="D10" s="680"/>
      <c r="E10" s="680"/>
      <c r="F10" s="680"/>
      <c r="G10" s="680"/>
      <c r="H10" s="680"/>
      <c r="I10" s="680"/>
    </row>
    <row r="11" spans="1:9" x14ac:dyDescent="0.3">
      <c r="A11" s="680"/>
      <c r="B11" s="680"/>
      <c r="C11" s="680"/>
      <c r="D11" s="680"/>
      <c r="E11" s="680"/>
      <c r="F11" s="680"/>
      <c r="G11" s="680"/>
      <c r="H11" s="680"/>
      <c r="I11" s="680"/>
    </row>
    <row r="12" spans="1:9" x14ac:dyDescent="0.3">
      <c r="A12" s="680"/>
      <c r="B12" s="680"/>
      <c r="C12" s="680"/>
      <c r="D12" s="680"/>
      <c r="E12" s="680"/>
      <c r="F12" s="680"/>
      <c r="G12" s="680"/>
      <c r="H12" s="680"/>
      <c r="I12" s="680"/>
    </row>
    <row r="13" spans="1:9" x14ac:dyDescent="0.3">
      <c r="A13" s="680"/>
      <c r="B13" s="680"/>
      <c r="C13" s="680"/>
      <c r="D13" s="680"/>
      <c r="E13" s="680"/>
      <c r="F13" s="680"/>
      <c r="G13" s="680"/>
      <c r="H13" s="680"/>
      <c r="I13" s="680"/>
    </row>
    <row r="14" spans="1:9" x14ac:dyDescent="0.3">
      <c r="A14" s="680"/>
      <c r="B14" s="680"/>
      <c r="C14" s="680"/>
      <c r="D14" s="680"/>
      <c r="E14" s="680"/>
      <c r="F14" s="680"/>
      <c r="G14" s="680"/>
      <c r="H14" s="680"/>
      <c r="I14" s="680"/>
    </row>
    <row r="15" spans="1:9" ht="19.5" customHeight="1" x14ac:dyDescent="0.35">
      <c r="A15" s="98"/>
    </row>
    <row r="16" spans="1:9" ht="19.5" customHeight="1" x14ac:dyDescent="0.35">
      <c r="A16" s="713" t="s">
        <v>31</v>
      </c>
      <c r="B16" s="714"/>
      <c r="C16" s="714"/>
      <c r="D16" s="714"/>
      <c r="E16" s="714"/>
      <c r="F16" s="714"/>
      <c r="G16" s="714"/>
      <c r="H16" s="715"/>
    </row>
    <row r="17" spans="1:14" ht="20.25" customHeight="1" x14ac:dyDescent="0.3">
      <c r="A17" s="716" t="s">
        <v>47</v>
      </c>
      <c r="B17" s="716"/>
      <c r="C17" s="716"/>
      <c r="D17" s="716"/>
      <c r="E17" s="716"/>
      <c r="F17" s="716"/>
      <c r="G17" s="716"/>
      <c r="H17" s="716"/>
    </row>
    <row r="18" spans="1:14" ht="26.25" customHeight="1" x14ac:dyDescent="0.5">
      <c r="A18" s="100" t="s">
        <v>33</v>
      </c>
      <c r="B18" s="712" t="s">
        <v>5</v>
      </c>
      <c r="C18" s="712"/>
      <c r="D18" s="267"/>
      <c r="E18" s="101"/>
      <c r="F18" s="102"/>
      <c r="G18" s="102"/>
      <c r="H18" s="102"/>
    </row>
    <row r="19" spans="1:14" ht="26.25" customHeight="1" x14ac:dyDescent="0.5">
      <c r="A19" s="100" t="s">
        <v>34</v>
      </c>
      <c r="B19" s="103" t="s">
        <v>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5">
      <c r="A20" s="100" t="s">
        <v>35</v>
      </c>
      <c r="B20" s="717" t="s">
        <v>9</v>
      </c>
      <c r="C20" s="717"/>
      <c r="D20" s="102"/>
      <c r="E20" s="102"/>
      <c r="F20" s="102"/>
      <c r="G20" s="102"/>
      <c r="H20" s="102"/>
    </row>
    <row r="21" spans="1:14" ht="26.25" customHeight="1" x14ac:dyDescent="0.5">
      <c r="A21" s="100" t="s">
        <v>36</v>
      </c>
      <c r="B21" s="717" t="s">
        <v>11</v>
      </c>
      <c r="C21" s="717"/>
      <c r="D21" s="717"/>
      <c r="E21" s="717"/>
      <c r="F21" s="717"/>
      <c r="G21" s="717"/>
      <c r="H21" s="717"/>
      <c r="I21" s="104"/>
    </row>
    <row r="22" spans="1:14" ht="26.25" customHeight="1" x14ac:dyDescent="0.5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5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" x14ac:dyDescent="0.35">
      <c r="A24" s="100"/>
      <c r="B24" s="106"/>
    </row>
    <row r="25" spans="1:14" ht="18" x14ac:dyDescent="0.35">
      <c r="A25" s="107" t="s">
        <v>1</v>
      </c>
      <c r="B25" s="106"/>
    </row>
    <row r="26" spans="1:14" ht="26.25" customHeight="1" x14ac:dyDescent="0.45">
      <c r="A26" s="108" t="s">
        <v>4</v>
      </c>
      <c r="B26" s="712" t="s">
        <v>125</v>
      </c>
      <c r="C26" s="712"/>
    </row>
    <row r="27" spans="1:14" ht="26.25" customHeight="1" x14ac:dyDescent="0.5">
      <c r="A27" s="109" t="s">
        <v>48</v>
      </c>
      <c r="B27" s="710"/>
      <c r="C27" s="710"/>
    </row>
    <row r="28" spans="1:14" ht="27" customHeight="1" x14ac:dyDescent="0.45">
      <c r="A28" s="109" t="s">
        <v>6</v>
      </c>
      <c r="B28" s="110">
        <v>98.8</v>
      </c>
    </row>
    <row r="29" spans="1:14" s="14" customFormat="1" ht="27" customHeight="1" x14ac:dyDescent="0.5">
      <c r="A29" s="109" t="s">
        <v>49</v>
      </c>
      <c r="B29" s="111"/>
      <c r="C29" s="687" t="s">
        <v>50</v>
      </c>
      <c r="D29" s="688"/>
      <c r="E29" s="688"/>
      <c r="F29" s="688"/>
      <c r="G29" s="689"/>
      <c r="I29" s="112"/>
      <c r="J29" s="112"/>
      <c r="K29" s="112"/>
      <c r="L29" s="112"/>
    </row>
    <row r="30" spans="1:14" s="14" customFormat="1" ht="19.5" customHeight="1" x14ac:dyDescent="0.35">
      <c r="A30" s="109" t="s">
        <v>51</v>
      </c>
      <c r="B30" s="113">
        <f>B28-B29</f>
        <v>98.8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5">
      <c r="A31" s="109" t="s">
        <v>52</v>
      </c>
      <c r="B31" s="116">
        <v>1</v>
      </c>
      <c r="C31" s="690" t="s">
        <v>53</v>
      </c>
      <c r="D31" s="691"/>
      <c r="E31" s="691"/>
      <c r="F31" s="691"/>
      <c r="G31" s="691"/>
      <c r="H31" s="692"/>
      <c r="I31" s="112"/>
      <c r="J31" s="112"/>
      <c r="K31" s="112"/>
      <c r="L31" s="112"/>
    </row>
    <row r="32" spans="1:14" s="14" customFormat="1" ht="27" customHeight="1" x14ac:dyDescent="0.45">
      <c r="A32" s="109" t="s">
        <v>54</v>
      </c>
      <c r="B32" s="116">
        <v>1</v>
      </c>
      <c r="C32" s="690" t="s">
        <v>55</v>
      </c>
      <c r="D32" s="691"/>
      <c r="E32" s="691"/>
      <c r="F32" s="691"/>
      <c r="G32" s="691"/>
      <c r="H32" s="692"/>
      <c r="I32" s="112"/>
      <c r="J32" s="112"/>
      <c r="K32" s="112"/>
      <c r="L32" s="117"/>
      <c r="M32" s="117"/>
      <c r="N32" s="118"/>
    </row>
    <row r="33" spans="1:14" s="14" customFormat="1" ht="17.25" customHeight="1" x14ac:dyDescent="0.35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" x14ac:dyDescent="0.35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5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5">
      <c r="A36" s="122" t="s">
        <v>58</v>
      </c>
      <c r="B36" s="123">
        <v>20</v>
      </c>
      <c r="C36" s="99"/>
      <c r="D36" s="693" t="s">
        <v>59</v>
      </c>
      <c r="E36" s="711"/>
      <c r="F36" s="693" t="s">
        <v>60</v>
      </c>
      <c r="G36" s="694"/>
      <c r="J36" s="112"/>
      <c r="K36" s="112"/>
      <c r="L36" s="117"/>
      <c r="M36" s="117"/>
      <c r="N36" s="118"/>
    </row>
    <row r="37" spans="1:14" s="14" customFormat="1" ht="27" customHeight="1" x14ac:dyDescent="0.45">
      <c r="A37" s="124" t="s">
        <v>61</v>
      </c>
      <c r="B37" s="125">
        <v>4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5">
      <c r="A38" s="124" t="s">
        <v>66</v>
      </c>
      <c r="B38" s="125">
        <v>20</v>
      </c>
      <c r="C38" s="131">
        <v>1</v>
      </c>
      <c r="D38" s="132">
        <v>106472425</v>
      </c>
      <c r="E38" s="133">
        <f>IF(ISBLANK(D38),"-",$D$48/$D$45*D38)</f>
        <v>106330155.25227247</v>
      </c>
      <c r="F38" s="132">
        <v>97772574</v>
      </c>
      <c r="G38" s="134">
        <f>IF(ISBLANK(F38),"-",$D$48/$F$45*F38)</f>
        <v>107331990.39229977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5">
      <c r="A39" s="124" t="s">
        <v>67</v>
      </c>
      <c r="B39" s="125">
        <v>1</v>
      </c>
      <c r="C39" s="136">
        <v>2</v>
      </c>
      <c r="D39" s="137">
        <v>106583690</v>
      </c>
      <c r="E39" s="138">
        <f>IF(ISBLANK(D39),"-",$D$48/$D$45*D39)</f>
        <v>106441271.57862779</v>
      </c>
      <c r="F39" s="137">
        <v>97827091</v>
      </c>
      <c r="G39" s="139">
        <f>IF(ISBLANK(F39),"-",$D$48/$F$45*F39)</f>
        <v>107391837.62635353</v>
      </c>
      <c r="I39" s="695">
        <f>ABS((F43/D43*D42)-F42)/D42</f>
        <v>9.2478147178255143E-3</v>
      </c>
      <c r="J39" s="112"/>
      <c r="K39" s="112"/>
      <c r="L39" s="117"/>
      <c r="M39" s="117"/>
      <c r="N39" s="118"/>
    </row>
    <row r="40" spans="1:14" ht="26.25" customHeight="1" x14ac:dyDescent="0.45">
      <c r="A40" s="124" t="s">
        <v>68</v>
      </c>
      <c r="B40" s="125">
        <v>1</v>
      </c>
      <c r="C40" s="136">
        <v>3</v>
      </c>
      <c r="D40" s="137">
        <v>106442999</v>
      </c>
      <c r="E40" s="138">
        <f>IF(ISBLANK(D40),"-",$D$48/$D$45*D40)</f>
        <v>106300768.57165113</v>
      </c>
      <c r="F40" s="137">
        <v>98009353</v>
      </c>
      <c r="G40" s="139">
        <f>IF(ISBLANK(F40),"-",$D$48/$F$45*F40)</f>
        <v>107591919.73969629</v>
      </c>
      <c r="I40" s="695"/>
      <c r="L40" s="117"/>
      <c r="M40" s="117"/>
      <c r="N40" s="140"/>
    </row>
    <row r="41" spans="1:14" ht="27" customHeight="1" x14ac:dyDescent="0.45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5">
      <c r="A42" s="124" t="s">
        <v>70</v>
      </c>
      <c r="B42" s="125">
        <v>1</v>
      </c>
      <c r="C42" s="146" t="s">
        <v>71</v>
      </c>
      <c r="D42" s="147">
        <f>AVERAGE(D38:D41)</f>
        <v>106499704.66666667</v>
      </c>
      <c r="E42" s="148">
        <f>AVERAGE(E38:E41)</f>
        <v>106357398.46751714</v>
      </c>
      <c r="F42" s="147">
        <f>AVERAGE(F38:F41)</f>
        <v>97869672.666666672</v>
      </c>
      <c r="G42" s="149">
        <f>AVERAGE(G38:G41)</f>
        <v>107438582.58611654</v>
      </c>
      <c r="H42" s="150"/>
    </row>
    <row r="43" spans="1:14" ht="26.25" customHeight="1" x14ac:dyDescent="0.45">
      <c r="A43" s="124" t="s">
        <v>72</v>
      </c>
      <c r="B43" s="125">
        <v>1</v>
      </c>
      <c r="C43" s="151" t="s">
        <v>73</v>
      </c>
      <c r="D43" s="152">
        <v>20.27</v>
      </c>
      <c r="E43" s="140"/>
      <c r="F43" s="152">
        <v>18.440000000000001</v>
      </c>
      <c r="H43" s="150"/>
    </row>
    <row r="44" spans="1:14" ht="26.25" customHeight="1" x14ac:dyDescent="0.45">
      <c r="A44" s="124" t="s">
        <v>74</v>
      </c>
      <c r="B44" s="125">
        <v>1</v>
      </c>
      <c r="C44" s="153" t="s">
        <v>75</v>
      </c>
      <c r="D44" s="154">
        <f>D43*$B$34</f>
        <v>20.27</v>
      </c>
      <c r="E44" s="155"/>
      <c r="F44" s="154">
        <f>F43*$B$34</f>
        <v>18.440000000000001</v>
      </c>
      <c r="H44" s="150"/>
    </row>
    <row r="45" spans="1:14" ht="19.5" customHeight="1" x14ac:dyDescent="0.35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20.026759999999999</v>
      </c>
      <c r="E45" s="158"/>
      <c r="F45" s="157">
        <f>F44*$B$30/100</f>
        <v>18.218720000000001</v>
      </c>
      <c r="H45" s="150"/>
    </row>
    <row r="46" spans="1:14" ht="19.5" customHeight="1" x14ac:dyDescent="0.35">
      <c r="A46" s="681" t="s">
        <v>78</v>
      </c>
      <c r="B46" s="682"/>
      <c r="C46" s="153" t="s">
        <v>79</v>
      </c>
      <c r="D46" s="159">
        <f>D45/$B$45</f>
        <v>0.20026759999999999</v>
      </c>
      <c r="E46" s="160"/>
      <c r="F46" s="161">
        <f>F45/$B$45</f>
        <v>0.18218720000000002</v>
      </c>
      <c r="H46" s="150"/>
    </row>
    <row r="47" spans="1:14" ht="27" customHeight="1" x14ac:dyDescent="0.45">
      <c r="A47" s="683"/>
      <c r="B47" s="684"/>
      <c r="C47" s="162" t="s">
        <v>80</v>
      </c>
      <c r="D47" s="163">
        <v>0.2</v>
      </c>
      <c r="E47" s="164"/>
      <c r="F47" s="160"/>
      <c r="H47" s="150"/>
    </row>
    <row r="48" spans="1:14" ht="18" x14ac:dyDescent="0.35">
      <c r="C48" s="165" t="s">
        <v>81</v>
      </c>
      <c r="D48" s="157">
        <f>D47*$B$45</f>
        <v>20</v>
      </c>
      <c r="F48" s="166"/>
      <c r="H48" s="150"/>
    </row>
    <row r="49" spans="1:12" ht="19.5" customHeight="1" x14ac:dyDescent="0.35">
      <c r="C49" s="167" t="s">
        <v>82</v>
      </c>
      <c r="D49" s="168">
        <f>D48/B34</f>
        <v>20</v>
      </c>
      <c r="F49" s="166"/>
      <c r="H49" s="150"/>
    </row>
    <row r="50" spans="1:12" ht="18" x14ac:dyDescent="0.35">
      <c r="C50" s="122" t="s">
        <v>83</v>
      </c>
      <c r="D50" s="169">
        <f>AVERAGE(E38:E41,G38:G41)</f>
        <v>106897990.52681683</v>
      </c>
      <c r="F50" s="170"/>
      <c r="H50" s="150"/>
    </row>
    <row r="51" spans="1:12" ht="18" x14ac:dyDescent="0.35">
      <c r="C51" s="124" t="s">
        <v>84</v>
      </c>
      <c r="D51" s="171">
        <f>STDEV(E38:E41,G38:G41)/D50</f>
        <v>5.6151374334605193E-3</v>
      </c>
      <c r="F51" s="170"/>
      <c r="H51" s="150"/>
    </row>
    <row r="52" spans="1:12" ht="19.5" customHeight="1" x14ac:dyDescent="0.35">
      <c r="C52" s="172" t="s">
        <v>20</v>
      </c>
      <c r="D52" s="173">
        <f>COUNT(E38:E41,G38:G41)</f>
        <v>6</v>
      </c>
      <c r="F52" s="170"/>
    </row>
    <row r="54" spans="1:12" ht="18" x14ac:dyDescent="0.35">
      <c r="A54" s="174" t="s">
        <v>1</v>
      </c>
      <c r="B54" s="175" t="s">
        <v>85</v>
      </c>
    </row>
    <row r="55" spans="1:12" ht="18" x14ac:dyDescent="0.35">
      <c r="A55" s="99" t="s">
        <v>86</v>
      </c>
      <c r="B55" s="176" t="str">
        <f>B21</f>
        <v xml:space="preserve">Lamivudine 50mg + Zidovudine 60mg + Nevirapine 30mg </v>
      </c>
    </row>
    <row r="56" spans="1:12" ht="26.25" customHeight="1" x14ac:dyDescent="0.45">
      <c r="A56" s="177" t="s">
        <v>87</v>
      </c>
      <c r="B56" s="178">
        <v>50</v>
      </c>
      <c r="C56" s="99" t="str">
        <f>B20</f>
        <v>Lamivudine     Nevirapine and Zidovudine</v>
      </c>
      <c r="H56" s="179"/>
    </row>
    <row r="57" spans="1:12" ht="18" x14ac:dyDescent="0.35">
      <c r="A57" s="176" t="s">
        <v>88</v>
      </c>
      <c r="B57" s="268">
        <f>Uniformity!C46</f>
        <v>353.13100000000009</v>
      </c>
      <c r="H57" s="179"/>
    </row>
    <row r="58" spans="1:12" ht="19.5" customHeight="1" x14ac:dyDescent="0.35">
      <c r="H58" s="179"/>
    </row>
    <row r="59" spans="1:12" s="14" customFormat="1" ht="27" customHeight="1" x14ac:dyDescent="0.45">
      <c r="A59" s="122" t="s">
        <v>89</v>
      </c>
      <c r="B59" s="123">
        <v>50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5">
      <c r="A60" s="124" t="s">
        <v>93</v>
      </c>
      <c r="B60" s="125">
        <v>5</v>
      </c>
      <c r="C60" s="698" t="s">
        <v>94</v>
      </c>
      <c r="D60" s="701">
        <v>361.94</v>
      </c>
      <c r="E60" s="182">
        <v>1</v>
      </c>
      <c r="F60" s="183">
        <v>137699824</v>
      </c>
      <c r="G60" s="269">
        <f>IF(ISBLANK(F60),"-",(F60/$D$50*$D$47*$B$68)*($B$57/$D$60))</f>
        <v>50.271645088232269</v>
      </c>
      <c r="H60" s="184">
        <f t="shared" ref="H60:H71" si="0">IF(ISBLANK(F60),"-",G60/$B$56)</f>
        <v>1.0054329017646453</v>
      </c>
      <c r="L60" s="112"/>
    </row>
    <row r="61" spans="1:12" s="14" customFormat="1" ht="26.25" customHeight="1" x14ac:dyDescent="0.45">
      <c r="A61" s="124" t="s">
        <v>95</v>
      </c>
      <c r="B61" s="125">
        <v>20</v>
      </c>
      <c r="C61" s="699"/>
      <c r="D61" s="702"/>
      <c r="E61" s="185">
        <v>2</v>
      </c>
      <c r="F61" s="137">
        <v>137626443</v>
      </c>
      <c r="G61" s="270">
        <f>IF(ISBLANK(F61),"-",(F61/$D$50*$D$47*$B$68)*($B$57/$D$60))</f>
        <v>50.244855049719078</v>
      </c>
      <c r="H61" s="186">
        <f t="shared" si="0"/>
        <v>1.0048971009943815</v>
      </c>
      <c r="L61" s="112"/>
    </row>
    <row r="62" spans="1:12" s="14" customFormat="1" ht="26.25" customHeight="1" x14ac:dyDescent="0.45">
      <c r="A62" s="124" t="s">
        <v>96</v>
      </c>
      <c r="B62" s="125">
        <v>1</v>
      </c>
      <c r="C62" s="699"/>
      <c r="D62" s="702"/>
      <c r="E62" s="185">
        <v>3</v>
      </c>
      <c r="F62" s="187">
        <v>137834165</v>
      </c>
      <c r="G62" s="270">
        <f>IF(ISBLANK(F62),"-",(F62/$D$50*$D$47*$B$68)*($B$57/$D$60))</f>
        <v>50.320690489138507</v>
      </c>
      <c r="H62" s="186">
        <f t="shared" si="0"/>
        <v>1.0064138097827702</v>
      </c>
      <c r="L62" s="112"/>
    </row>
    <row r="63" spans="1:12" ht="27" customHeight="1" x14ac:dyDescent="0.45">
      <c r="A63" s="124" t="s">
        <v>97</v>
      </c>
      <c r="B63" s="125">
        <v>1</v>
      </c>
      <c r="C63" s="709"/>
      <c r="D63" s="703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5">
      <c r="A64" s="124" t="s">
        <v>98</v>
      </c>
      <c r="B64" s="125">
        <v>1</v>
      </c>
      <c r="C64" s="698" t="s">
        <v>99</v>
      </c>
      <c r="D64" s="701">
        <v>355.3</v>
      </c>
      <c r="E64" s="182">
        <v>1</v>
      </c>
      <c r="F64" s="183">
        <v>131685212</v>
      </c>
      <c r="G64" s="271">
        <f>IF(ISBLANK(F64),"-",(F64/$D$50*$D$47*$B$68)*($B$57/$D$64))</f>
        <v>48.974283841234019</v>
      </c>
      <c r="H64" s="190">
        <f t="shared" si="0"/>
        <v>0.97948567682468035</v>
      </c>
    </row>
    <row r="65" spans="1:8" ht="26.25" customHeight="1" x14ac:dyDescent="0.45">
      <c r="A65" s="124" t="s">
        <v>100</v>
      </c>
      <c r="B65" s="125">
        <v>1</v>
      </c>
      <c r="C65" s="699"/>
      <c r="D65" s="702"/>
      <c r="E65" s="185">
        <v>2</v>
      </c>
      <c r="F65" s="137">
        <v>133300575</v>
      </c>
      <c r="G65" s="272">
        <f>IF(ISBLANK(F65),"-",(F65/$D$50*$D$47*$B$68)*($B$57/$D$64))</f>
        <v>49.575044130617371</v>
      </c>
      <c r="H65" s="191">
        <f t="shared" si="0"/>
        <v>0.99150088261234748</v>
      </c>
    </row>
    <row r="66" spans="1:8" ht="26.25" customHeight="1" x14ac:dyDescent="0.45">
      <c r="A66" s="124" t="s">
        <v>101</v>
      </c>
      <c r="B66" s="125">
        <v>1</v>
      </c>
      <c r="C66" s="699"/>
      <c r="D66" s="702"/>
      <c r="E66" s="185">
        <v>3</v>
      </c>
      <c r="F66" s="137">
        <v>133668475</v>
      </c>
      <c r="G66" s="272">
        <f>IF(ISBLANK(F66),"-",(F66/$D$50*$D$47*$B$68)*($B$57/$D$64))</f>
        <v>49.711867686972283</v>
      </c>
      <c r="H66" s="191">
        <f t="shared" si="0"/>
        <v>0.99423735373944566</v>
      </c>
    </row>
    <row r="67" spans="1:8" ht="27" customHeight="1" x14ac:dyDescent="0.45">
      <c r="A67" s="124" t="s">
        <v>102</v>
      </c>
      <c r="B67" s="125">
        <v>1</v>
      </c>
      <c r="C67" s="709"/>
      <c r="D67" s="703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5">
      <c r="A68" s="124" t="s">
        <v>103</v>
      </c>
      <c r="B68" s="193">
        <f>(B67/B66)*(B65/B64)*(B63/B62)*(B61/B60)*B59</f>
        <v>200</v>
      </c>
      <c r="C68" s="698" t="s">
        <v>104</v>
      </c>
      <c r="D68" s="701">
        <v>349.76</v>
      </c>
      <c r="E68" s="182">
        <v>1</v>
      </c>
      <c r="F68" s="183">
        <v>132915730</v>
      </c>
      <c r="G68" s="271">
        <f>IF(ISBLANK(F68),"-",(F68/$D$50*$D$47*$B$68)*($B$57/$D$68))</f>
        <v>50.214892209011126</v>
      </c>
      <c r="H68" s="186">
        <f t="shared" si="0"/>
        <v>1.0042978441802226</v>
      </c>
    </row>
    <row r="69" spans="1:8" ht="27" customHeight="1" x14ac:dyDescent="0.5">
      <c r="A69" s="172" t="s">
        <v>105</v>
      </c>
      <c r="B69" s="194">
        <f>(D47*B68)/B56*B57</f>
        <v>282.5048000000001</v>
      </c>
      <c r="C69" s="699"/>
      <c r="D69" s="702"/>
      <c r="E69" s="185">
        <v>2</v>
      </c>
      <c r="F69" s="137">
        <v>131590862</v>
      </c>
      <c r="G69" s="272">
        <f>IF(ISBLANK(F69),"-",(F69/$D$50*$D$47*$B$68)*($B$57/$D$68))</f>
        <v>49.714363762820682</v>
      </c>
      <c r="H69" s="186">
        <f t="shared" si="0"/>
        <v>0.99428727525641358</v>
      </c>
    </row>
    <row r="70" spans="1:8" ht="26.25" customHeight="1" x14ac:dyDescent="0.45">
      <c r="A70" s="704" t="s">
        <v>78</v>
      </c>
      <c r="B70" s="705"/>
      <c r="C70" s="699"/>
      <c r="D70" s="702"/>
      <c r="E70" s="185">
        <v>3</v>
      </c>
      <c r="F70" s="137">
        <v>132095647</v>
      </c>
      <c r="G70" s="272">
        <f>IF(ISBLANK(F70),"-",(F70/$D$50*$D$47*$B$68)*($B$57/$D$68))</f>
        <v>49.905068989084924</v>
      </c>
      <c r="H70" s="186">
        <f t="shared" si="0"/>
        <v>0.99810137978169844</v>
      </c>
    </row>
    <row r="71" spans="1:8" ht="27" customHeight="1" x14ac:dyDescent="0.45">
      <c r="A71" s="706"/>
      <c r="B71" s="707"/>
      <c r="C71" s="700"/>
      <c r="D71" s="703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5">
      <c r="A72" s="196"/>
      <c r="B72" s="196"/>
      <c r="C72" s="196"/>
      <c r="D72" s="196"/>
      <c r="E72" s="196"/>
      <c r="F72" s="198" t="s">
        <v>71</v>
      </c>
      <c r="G72" s="278">
        <f>AVERAGE(G60:G71)</f>
        <v>49.881412360758922</v>
      </c>
      <c r="H72" s="199">
        <f>AVERAGE(H60:H71)</f>
        <v>0.99762824721517818</v>
      </c>
    </row>
    <row r="73" spans="1:8" ht="26.25" customHeight="1" x14ac:dyDescent="0.45">
      <c r="C73" s="196"/>
      <c r="D73" s="196"/>
      <c r="E73" s="196"/>
      <c r="F73" s="200" t="s">
        <v>84</v>
      </c>
      <c r="G73" s="274">
        <f>STDEV(G60:G71)/G72</f>
        <v>8.85984859626196E-3</v>
      </c>
      <c r="H73" s="274">
        <f>STDEV(H60:H71)/H72</f>
        <v>8.8598485962619617E-3</v>
      </c>
    </row>
    <row r="74" spans="1:8" ht="27" customHeight="1" x14ac:dyDescent="0.45">
      <c r="A74" s="196"/>
      <c r="B74" s="196"/>
      <c r="C74" s="197"/>
      <c r="D74" s="197"/>
      <c r="E74" s="201"/>
      <c r="F74" s="202" t="s">
        <v>20</v>
      </c>
      <c r="G74" s="203">
        <f>COUNT(G60:G71)</f>
        <v>9</v>
      </c>
      <c r="H74" s="203">
        <f>COUNT(H60:H71)</f>
        <v>9</v>
      </c>
    </row>
    <row r="76" spans="1:8" ht="26.25" customHeight="1" x14ac:dyDescent="0.45">
      <c r="A76" s="108" t="s">
        <v>106</v>
      </c>
      <c r="B76" s="204" t="s">
        <v>107</v>
      </c>
      <c r="C76" s="685" t="str">
        <f>B20</f>
        <v>Lamivudine     Nevirapine and Zidovudine</v>
      </c>
      <c r="D76" s="685"/>
      <c r="E76" s="205" t="s">
        <v>108</v>
      </c>
      <c r="F76" s="205"/>
      <c r="G76" s="206">
        <f>H72</f>
        <v>0.99762824721517818</v>
      </c>
      <c r="H76" s="207"/>
    </row>
    <row r="77" spans="1:8" ht="18" x14ac:dyDescent="0.35">
      <c r="A77" s="107" t="s">
        <v>109</v>
      </c>
      <c r="B77" s="107" t="s">
        <v>110</v>
      </c>
    </row>
    <row r="78" spans="1:8" ht="18" x14ac:dyDescent="0.35">
      <c r="A78" s="107"/>
      <c r="B78" s="107"/>
    </row>
    <row r="79" spans="1:8" ht="26.25" customHeight="1" x14ac:dyDescent="0.45">
      <c r="A79" s="108" t="s">
        <v>4</v>
      </c>
      <c r="B79" s="708" t="str">
        <f>B26</f>
        <v>nevirapine</v>
      </c>
      <c r="C79" s="708"/>
    </row>
    <row r="80" spans="1:8" ht="26.25" customHeight="1" x14ac:dyDescent="0.45">
      <c r="A80" s="109" t="s">
        <v>48</v>
      </c>
      <c r="B80" s="708">
        <f>B27</f>
        <v>0</v>
      </c>
      <c r="C80" s="708"/>
    </row>
    <row r="81" spans="1:12" ht="27" customHeight="1" x14ac:dyDescent="0.45">
      <c r="A81" s="109" t="s">
        <v>6</v>
      </c>
      <c r="B81" s="208">
        <f>B28</f>
        <v>98.8</v>
      </c>
    </row>
    <row r="82" spans="1:12" s="14" customFormat="1" ht="27" customHeight="1" x14ac:dyDescent="0.5">
      <c r="A82" s="109" t="s">
        <v>49</v>
      </c>
      <c r="B82" s="111">
        <v>0</v>
      </c>
      <c r="C82" s="687" t="s">
        <v>50</v>
      </c>
      <c r="D82" s="688"/>
      <c r="E82" s="688"/>
      <c r="F82" s="688"/>
      <c r="G82" s="689"/>
      <c r="I82" s="112"/>
      <c r="J82" s="112"/>
      <c r="K82" s="112"/>
      <c r="L82" s="112"/>
    </row>
    <row r="83" spans="1:12" s="14" customFormat="1" ht="19.5" customHeight="1" x14ac:dyDescent="0.35">
      <c r="A83" s="109" t="s">
        <v>51</v>
      </c>
      <c r="B83" s="113">
        <f>B81-B82</f>
        <v>98.8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5">
      <c r="A84" s="109" t="s">
        <v>52</v>
      </c>
      <c r="B84" s="116"/>
      <c r="C84" s="690" t="s">
        <v>111</v>
      </c>
      <c r="D84" s="691"/>
      <c r="E84" s="691"/>
      <c r="F84" s="691"/>
      <c r="G84" s="691"/>
      <c r="H84" s="692"/>
      <c r="I84" s="112"/>
      <c r="J84" s="112"/>
      <c r="K84" s="112"/>
      <c r="L84" s="112"/>
    </row>
    <row r="85" spans="1:12" s="14" customFormat="1" ht="27" customHeight="1" x14ac:dyDescent="0.45">
      <c r="A85" s="109" t="s">
        <v>54</v>
      </c>
      <c r="B85" s="116"/>
      <c r="C85" s="690" t="s">
        <v>112</v>
      </c>
      <c r="D85" s="691"/>
      <c r="E85" s="691"/>
      <c r="F85" s="691"/>
      <c r="G85" s="691"/>
      <c r="H85" s="692"/>
      <c r="I85" s="112"/>
      <c r="J85" s="112"/>
      <c r="K85" s="112"/>
      <c r="L85" s="112"/>
    </row>
    <row r="86" spans="1:12" s="14" customFormat="1" ht="18" x14ac:dyDescent="0.35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" x14ac:dyDescent="0.35">
      <c r="A87" s="109" t="s">
        <v>56</v>
      </c>
      <c r="B87" s="121" t="e">
        <f>B84/B85</f>
        <v>#DIV/0!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5">
      <c r="A88" s="107"/>
      <c r="B88" s="107"/>
    </row>
    <row r="89" spans="1:12" ht="27" customHeight="1" x14ac:dyDescent="0.45">
      <c r="A89" s="122" t="s">
        <v>58</v>
      </c>
      <c r="B89" s="123">
        <v>25</v>
      </c>
      <c r="D89" s="209" t="s">
        <v>59</v>
      </c>
      <c r="E89" s="210"/>
      <c r="F89" s="693" t="s">
        <v>60</v>
      </c>
      <c r="G89" s="694"/>
    </row>
    <row r="90" spans="1:12" ht="27" customHeight="1" x14ac:dyDescent="0.45">
      <c r="A90" s="124" t="s">
        <v>61</v>
      </c>
      <c r="B90" s="125">
        <v>4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5">
      <c r="A91" s="124" t="s">
        <v>66</v>
      </c>
      <c r="B91" s="125">
        <v>200</v>
      </c>
      <c r="C91" s="213">
        <v>1</v>
      </c>
      <c r="D91" s="132"/>
      <c r="E91" s="133" t="str">
        <f>IF(ISBLANK(D91),"-",$D$101/$D$98*D91)</f>
        <v>-</v>
      </c>
      <c r="F91" s="132"/>
      <c r="G91" s="134" t="str">
        <f>IF(ISBLANK(F91),"-",$D$101/$F$98*F91)</f>
        <v>-</v>
      </c>
      <c r="I91" s="135"/>
    </row>
    <row r="92" spans="1:12" ht="26.25" customHeight="1" x14ac:dyDescent="0.45">
      <c r="A92" s="124" t="s">
        <v>67</v>
      </c>
      <c r="B92" s="125">
        <v>1</v>
      </c>
      <c r="C92" s="197">
        <v>2</v>
      </c>
      <c r="D92" s="137"/>
      <c r="E92" s="138" t="str">
        <f>IF(ISBLANK(D92),"-",$D$101/$D$98*D92)</f>
        <v>-</v>
      </c>
      <c r="F92" s="137"/>
      <c r="G92" s="139" t="str">
        <f>IF(ISBLANK(F92),"-",$D$101/$F$98*F92)</f>
        <v>-</v>
      </c>
      <c r="I92" s="695" t="e">
        <f>ABS((F96/D96*D95)-F95)/D95</f>
        <v>#DIV/0!</v>
      </c>
    </row>
    <row r="93" spans="1:12" ht="26.25" customHeight="1" x14ac:dyDescent="0.45">
      <c r="A93" s="124" t="s">
        <v>68</v>
      </c>
      <c r="B93" s="125">
        <v>1</v>
      </c>
      <c r="C93" s="197">
        <v>3</v>
      </c>
      <c r="D93" s="137"/>
      <c r="E93" s="138" t="str">
        <f>IF(ISBLANK(D93),"-",$D$101/$D$98*D93)</f>
        <v>-</v>
      </c>
      <c r="F93" s="137"/>
      <c r="G93" s="139" t="str">
        <f>IF(ISBLANK(F93),"-",$D$101/$F$98*F93)</f>
        <v>-</v>
      </c>
      <c r="I93" s="695"/>
    </row>
    <row r="94" spans="1:12" ht="27" customHeight="1" x14ac:dyDescent="0.45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5">
      <c r="A95" s="124" t="s">
        <v>70</v>
      </c>
      <c r="B95" s="125">
        <v>1</v>
      </c>
      <c r="C95" s="216" t="s">
        <v>71</v>
      </c>
      <c r="D95" s="217" t="e">
        <f>AVERAGE(D91:D94)</f>
        <v>#DIV/0!</v>
      </c>
      <c r="E95" s="148" t="e">
        <f>AVERAGE(E91:E94)</f>
        <v>#DIV/0!</v>
      </c>
      <c r="F95" s="218" t="e">
        <f>AVERAGE(F91:F94)</f>
        <v>#DIV/0!</v>
      </c>
      <c r="G95" s="219" t="e">
        <f>AVERAGE(G91:G94)</f>
        <v>#DIV/0!</v>
      </c>
    </row>
    <row r="96" spans="1:12" ht="26.25" customHeight="1" x14ac:dyDescent="0.45">
      <c r="A96" s="124" t="s">
        <v>72</v>
      </c>
      <c r="B96" s="110">
        <v>1</v>
      </c>
      <c r="C96" s="220" t="s">
        <v>113</v>
      </c>
      <c r="D96" s="221">
        <v>25.12</v>
      </c>
      <c r="E96" s="140"/>
      <c r="F96" s="152">
        <v>25.78</v>
      </c>
    </row>
    <row r="97" spans="1:10" ht="26.25" customHeight="1" x14ac:dyDescent="0.45">
      <c r="A97" s="124" t="s">
        <v>74</v>
      </c>
      <c r="B97" s="110">
        <v>1</v>
      </c>
      <c r="C97" s="222" t="s">
        <v>114</v>
      </c>
      <c r="D97" s="223" t="e">
        <f>D96*$B$87</f>
        <v>#DIV/0!</v>
      </c>
      <c r="E97" s="155"/>
      <c r="F97" s="154" t="e">
        <f>F96*$B$87</f>
        <v>#DIV/0!</v>
      </c>
    </row>
    <row r="98" spans="1:10" ht="19.5" customHeight="1" x14ac:dyDescent="0.35">
      <c r="A98" s="124" t="s">
        <v>76</v>
      </c>
      <c r="B98" s="224">
        <f>(B97/B96)*(B95/B94)*(B93/B92)*(B91/B90)*B89</f>
        <v>1250</v>
      </c>
      <c r="C98" s="222" t="s">
        <v>115</v>
      </c>
      <c r="D98" s="225" t="e">
        <f>D97*$B$83/100</f>
        <v>#DIV/0!</v>
      </c>
      <c r="E98" s="158"/>
      <c r="F98" s="157" t="e">
        <f>F97*$B$83/100</f>
        <v>#DIV/0!</v>
      </c>
    </row>
    <row r="99" spans="1:10" ht="19.5" customHeight="1" x14ac:dyDescent="0.35">
      <c r="A99" s="681" t="s">
        <v>78</v>
      </c>
      <c r="B99" s="696"/>
      <c r="C99" s="222" t="s">
        <v>116</v>
      </c>
      <c r="D99" s="226" t="e">
        <f>D98/$B$98</f>
        <v>#DIV/0!</v>
      </c>
      <c r="E99" s="158"/>
      <c r="F99" s="161" t="e">
        <f>F98/$B$98</f>
        <v>#DIV/0!</v>
      </c>
      <c r="G99" s="227"/>
      <c r="H99" s="150"/>
    </row>
    <row r="100" spans="1:10" ht="19.5" customHeight="1" x14ac:dyDescent="0.35">
      <c r="A100" s="683"/>
      <c r="B100" s="697"/>
      <c r="C100" s="222" t="s">
        <v>80</v>
      </c>
      <c r="D100" s="228">
        <f>$B$56/$B$116</f>
        <v>5.5555555555555558E-3</v>
      </c>
      <c r="F100" s="166"/>
      <c r="G100" s="229"/>
      <c r="H100" s="150"/>
    </row>
    <row r="101" spans="1:10" ht="18" x14ac:dyDescent="0.35">
      <c r="C101" s="222" t="s">
        <v>81</v>
      </c>
      <c r="D101" s="223">
        <f>D100*$B$98</f>
        <v>6.9444444444444446</v>
      </c>
      <c r="F101" s="166"/>
      <c r="G101" s="227"/>
      <c r="H101" s="150"/>
    </row>
    <row r="102" spans="1:10" ht="19.5" customHeight="1" x14ac:dyDescent="0.35">
      <c r="C102" s="230" t="s">
        <v>82</v>
      </c>
      <c r="D102" s="231">
        <f>D101/B34</f>
        <v>6.9444444444444446</v>
      </c>
      <c r="F102" s="170"/>
      <c r="G102" s="227"/>
      <c r="H102" s="150"/>
      <c r="J102" s="232"/>
    </row>
    <row r="103" spans="1:10" ht="18" x14ac:dyDescent="0.35">
      <c r="C103" s="233" t="s">
        <v>117</v>
      </c>
      <c r="D103" s="234" t="e">
        <f>AVERAGE(E91:E94,G91:G94)</f>
        <v>#DIV/0!</v>
      </c>
      <c r="F103" s="170"/>
      <c r="G103" s="235"/>
      <c r="H103" s="150"/>
      <c r="J103" s="236"/>
    </row>
    <row r="104" spans="1:10" ht="18" x14ac:dyDescent="0.35">
      <c r="C104" s="200" t="s">
        <v>84</v>
      </c>
      <c r="D104" s="237" t="e">
        <f>STDEV(E91:E94,G91:G94)/D103</f>
        <v>#DIV/0!</v>
      </c>
      <c r="F104" s="170"/>
      <c r="G104" s="227"/>
      <c r="H104" s="150"/>
      <c r="J104" s="236"/>
    </row>
    <row r="105" spans="1:10" ht="19.5" customHeight="1" x14ac:dyDescent="0.35">
      <c r="C105" s="202" t="s">
        <v>20</v>
      </c>
      <c r="D105" s="238">
        <f>COUNT(E91:E94,G91:G94)</f>
        <v>0</v>
      </c>
      <c r="F105" s="170"/>
      <c r="G105" s="227"/>
      <c r="H105" s="150"/>
      <c r="J105" s="236"/>
    </row>
    <row r="106" spans="1:10" ht="19.5" customHeight="1" x14ac:dyDescent="0.35">
      <c r="A106" s="174"/>
      <c r="B106" s="174"/>
      <c r="C106" s="174"/>
      <c r="D106" s="174"/>
      <c r="E106" s="174"/>
    </row>
    <row r="107" spans="1:10" ht="26.25" customHeight="1" x14ac:dyDescent="0.45">
      <c r="A107" s="122" t="s">
        <v>118</v>
      </c>
      <c r="B107" s="123">
        <v>900</v>
      </c>
      <c r="C107" s="239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 x14ac:dyDescent="0.45">
      <c r="A108" s="124" t="s">
        <v>122</v>
      </c>
      <c r="B108" s="125">
        <v>5</v>
      </c>
      <c r="C108" s="243">
        <v>1</v>
      </c>
      <c r="D108" s="244"/>
      <c r="E108" s="275" t="str">
        <f t="shared" ref="E108:E113" si="1">IF(ISBLANK(D108),"-",D108/$D$103*$D$100*$B$116)</f>
        <v>-</v>
      </c>
      <c r="F108" s="245" t="str">
        <f t="shared" ref="F108:F113" si="2">IF(ISBLANK(D108), "-", E108/$B$56)</f>
        <v>-</v>
      </c>
    </row>
    <row r="109" spans="1:10" ht="26.25" customHeight="1" x14ac:dyDescent="0.45">
      <c r="A109" s="124" t="s">
        <v>95</v>
      </c>
      <c r="B109" s="125">
        <v>50</v>
      </c>
      <c r="C109" s="243">
        <v>2</v>
      </c>
      <c r="D109" s="244"/>
      <c r="E109" s="276" t="str">
        <f t="shared" si="1"/>
        <v>-</v>
      </c>
      <c r="F109" s="246" t="str">
        <f t="shared" si="2"/>
        <v>-</v>
      </c>
    </row>
    <row r="110" spans="1:10" ht="26.25" customHeight="1" x14ac:dyDescent="0.45">
      <c r="A110" s="124" t="s">
        <v>96</v>
      </c>
      <c r="B110" s="125">
        <v>1</v>
      </c>
      <c r="C110" s="243">
        <v>3</v>
      </c>
      <c r="D110" s="244"/>
      <c r="E110" s="276" t="str">
        <f t="shared" si="1"/>
        <v>-</v>
      </c>
      <c r="F110" s="246" t="str">
        <f t="shared" si="2"/>
        <v>-</v>
      </c>
    </row>
    <row r="111" spans="1:10" ht="26.25" customHeight="1" x14ac:dyDescent="0.45">
      <c r="A111" s="124" t="s">
        <v>97</v>
      </c>
      <c r="B111" s="125">
        <v>1</v>
      </c>
      <c r="C111" s="243">
        <v>4</v>
      </c>
      <c r="D111" s="244"/>
      <c r="E111" s="276" t="str">
        <f t="shared" si="1"/>
        <v>-</v>
      </c>
      <c r="F111" s="246" t="str">
        <f t="shared" si="2"/>
        <v>-</v>
      </c>
    </row>
    <row r="112" spans="1:10" ht="26.25" customHeight="1" x14ac:dyDescent="0.45">
      <c r="A112" s="124" t="s">
        <v>98</v>
      </c>
      <c r="B112" s="125">
        <v>1</v>
      </c>
      <c r="C112" s="243">
        <v>5</v>
      </c>
      <c r="D112" s="244"/>
      <c r="E112" s="276" t="str">
        <f t="shared" si="1"/>
        <v>-</v>
      </c>
      <c r="F112" s="246" t="str">
        <f t="shared" si="2"/>
        <v>-</v>
      </c>
    </row>
    <row r="113" spans="1:10" ht="26.25" customHeight="1" x14ac:dyDescent="0.45">
      <c r="A113" s="124" t="s">
        <v>100</v>
      </c>
      <c r="B113" s="125">
        <v>1</v>
      </c>
      <c r="C113" s="247">
        <v>6</v>
      </c>
      <c r="D113" s="248"/>
      <c r="E113" s="277" t="str">
        <f t="shared" si="1"/>
        <v>-</v>
      </c>
      <c r="F113" s="249" t="str">
        <f t="shared" si="2"/>
        <v>-</v>
      </c>
    </row>
    <row r="114" spans="1:10" ht="26.25" customHeight="1" x14ac:dyDescent="0.45">
      <c r="A114" s="124" t="s">
        <v>101</v>
      </c>
      <c r="B114" s="125">
        <v>1</v>
      </c>
      <c r="C114" s="243"/>
      <c r="D114" s="197"/>
      <c r="E114" s="98"/>
      <c r="F114" s="250"/>
    </row>
    <row r="115" spans="1:10" ht="26.25" customHeight="1" x14ac:dyDescent="0.45">
      <c r="A115" s="124" t="s">
        <v>102</v>
      </c>
      <c r="B115" s="125">
        <v>1</v>
      </c>
      <c r="C115" s="243"/>
      <c r="D115" s="251" t="s">
        <v>71</v>
      </c>
      <c r="E115" s="279" t="e">
        <f>AVERAGE(E108:E113)</f>
        <v>#DIV/0!</v>
      </c>
      <c r="F115" s="252" t="e">
        <f>AVERAGE(F108:F113)</f>
        <v>#DIV/0!</v>
      </c>
    </row>
    <row r="116" spans="1:10" ht="27" customHeight="1" x14ac:dyDescent="0.45">
      <c r="A116" s="124" t="s">
        <v>103</v>
      </c>
      <c r="B116" s="156">
        <f>(B115/B114)*(B113/B112)*(B111/B110)*(B109/B108)*B107</f>
        <v>9000</v>
      </c>
      <c r="C116" s="253"/>
      <c r="D116" s="216" t="s">
        <v>84</v>
      </c>
      <c r="E116" s="254" t="e">
        <f>STDEV(E108:E113)/E115</f>
        <v>#DIV/0!</v>
      </c>
      <c r="F116" s="254" t="e">
        <f>STDEV(F108:F113)/F115</f>
        <v>#DIV/0!</v>
      </c>
      <c r="I116" s="98"/>
    </row>
    <row r="117" spans="1:10" ht="27" customHeight="1" x14ac:dyDescent="0.45">
      <c r="A117" s="681" t="s">
        <v>78</v>
      </c>
      <c r="B117" s="682"/>
      <c r="C117" s="255"/>
      <c r="D117" s="256" t="s">
        <v>20</v>
      </c>
      <c r="E117" s="257">
        <f>COUNT(E108:E113)</f>
        <v>0</v>
      </c>
      <c r="F117" s="257">
        <f>COUNT(F108:F113)</f>
        <v>0</v>
      </c>
      <c r="I117" s="98"/>
      <c r="J117" s="236"/>
    </row>
    <row r="118" spans="1:10" ht="19.5" customHeight="1" x14ac:dyDescent="0.35">
      <c r="A118" s="683"/>
      <c r="B118" s="684"/>
      <c r="C118" s="98"/>
      <c r="D118" s="98"/>
      <c r="E118" s="98"/>
      <c r="F118" s="197"/>
      <c r="G118" s="98"/>
      <c r="H118" s="98"/>
      <c r="I118" s="98"/>
    </row>
    <row r="119" spans="1:10" ht="18" x14ac:dyDescent="0.35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5">
      <c r="A120" s="108" t="s">
        <v>106</v>
      </c>
      <c r="B120" s="204" t="s">
        <v>123</v>
      </c>
      <c r="C120" s="685" t="str">
        <f>B20</f>
        <v>Lamivudine     Nevirapine and Zidovudine</v>
      </c>
      <c r="D120" s="685"/>
      <c r="E120" s="205" t="s">
        <v>124</v>
      </c>
      <c r="F120" s="205"/>
      <c r="G120" s="206" t="e">
        <f>F115</f>
        <v>#DIV/0!</v>
      </c>
      <c r="H120" s="98"/>
      <c r="I120" s="98"/>
    </row>
    <row r="121" spans="1:10" ht="19.5" customHeight="1" x14ac:dyDescent="0.35">
      <c r="A121" s="258"/>
      <c r="B121" s="258"/>
      <c r="C121" s="259"/>
      <c r="D121" s="259"/>
      <c r="E121" s="259"/>
      <c r="F121" s="259"/>
      <c r="G121" s="259"/>
      <c r="H121" s="259"/>
    </row>
    <row r="122" spans="1:10" ht="18" x14ac:dyDescent="0.35">
      <c r="B122" s="686" t="s">
        <v>26</v>
      </c>
      <c r="C122" s="686"/>
      <c r="E122" s="211" t="s">
        <v>27</v>
      </c>
      <c r="F122" s="260"/>
      <c r="G122" s="686" t="s">
        <v>28</v>
      </c>
      <c r="H122" s="686"/>
    </row>
    <row r="123" spans="1:10" ht="69.900000000000006" customHeight="1" x14ac:dyDescent="0.35">
      <c r="A123" s="261" t="s">
        <v>29</v>
      </c>
      <c r="B123" s="262"/>
      <c r="C123" s="262"/>
      <c r="E123" s="262"/>
      <c r="F123" s="98"/>
      <c r="G123" s="263"/>
      <c r="H123" s="263"/>
    </row>
    <row r="124" spans="1:10" ht="69.900000000000006" customHeight="1" x14ac:dyDescent="0.35">
      <c r="A124" s="261" t="s">
        <v>30</v>
      </c>
      <c r="B124" s="264"/>
      <c r="C124" s="264"/>
      <c r="E124" s="264"/>
      <c r="F124" s="98"/>
      <c r="G124" s="265"/>
      <c r="H124" s="265"/>
    </row>
    <row r="125" spans="1:10" ht="18" x14ac:dyDescent="0.35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" x14ac:dyDescent="0.35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" x14ac:dyDescent="0.35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" x14ac:dyDescent="0.35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" x14ac:dyDescent="0.35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" x14ac:dyDescent="0.35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" x14ac:dyDescent="0.35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" x14ac:dyDescent="0.35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" x14ac:dyDescent="0.35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3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2" zoomScale="60" zoomScaleNormal="40" zoomScalePageLayoutView="50" workbookViewId="0">
      <selection activeCell="F75" sqref="F75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679" t="s">
        <v>45</v>
      </c>
      <c r="B1" s="679"/>
      <c r="C1" s="679"/>
      <c r="D1" s="679"/>
      <c r="E1" s="679"/>
      <c r="F1" s="679"/>
      <c r="G1" s="679"/>
      <c r="H1" s="679"/>
      <c r="I1" s="679"/>
    </row>
    <row r="2" spans="1:9" ht="18.75" customHeight="1" x14ac:dyDescent="0.3">
      <c r="A2" s="679"/>
      <c r="B2" s="679"/>
      <c r="C2" s="679"/>
      <c r="D2" s="679"/>
      <c r="E2" s="679"/>
      <c r="F2" s="679"/>
      <c r="G2" s="679"/>
      <c r="H2" s="679"/>
      <c r="I2" s="679"/>
    </row>
    <row r="3" spans="1:9" ht="18.75" customHeight="1" x14ac:dyDescent="0.3">
      <c r="A3" s="679"/>
      <c r="B3" s="679"/>
      <c r="C3" s="679"/>
      <c r="D3" s="679"/>
      <c r="E3" s="679"/>
      <c r="F3" s="679"/>
      <c r="G3" s="679"/>
      <c r="H3" s="679"/>
      <c r="I3" s="679"/>
    </row>
    <row r="4" spans="1:9" ht="18.75" customHeight="1" x14ac:dyDescent="0.3">
      <c r="A4" s="679"/>
      <c r="B4" s="679"/>
      <c r="C4" s="679"/>
      <c r="D4" s="679"/>
      <c r="E4" s="679"/>
      <c r="F4" s="679"/>
      <c r="G4" s="679"/>
      <c r="H4" s="679"/>
      <c r="I4" s="679"/>
    </row>
    <row r="5" spans="1:9" ht="18.75" customHeight="1" x14ac:dyDescent="0.3">
      <c r="A5" s="679"/>
      <c r="B5" s="679"/>
      <c r="C5" s="679"/>
      <c r="D5" s="679"/>
      <c r="E5" s="679"/>
      <c r="F5" s="679"/>
      <c r="G5" s="679"/>
      <c r="H5" s="679"/>
      <c r="I5" s="679"/>
    </row>
    <row r="6" spans="1:9" ht="18.75" customHeight="1" x14ac:dyDescent="0.3">
      <c r="A6" s="679"/>
      <c r="B6" s="679"/>
      <c r="C6" s="679"/>
      <c r="D6" s="679"/>
      <c r="E6" s="679"/>
      <c r="F6" s="679"/>
      <c r="G6" s="679"/>
      <c r="H6" s="679"/>
      <c r="I6" s="679"/>
    </row>
    <row r="7" spans="1:9" ht="18.75" customHeight="1" x14ac:dyDescent="0.3">
      <c r="A7" s="679"/>
      <c r="B7" s="679"/>
      <c r="C7" s="679"/>
      <c r="D7" s="679"/>
      <c r="E7" s="679"/>
      <c r="F7" s="679"/>
      <c r="G7" s="679"/>
      <c r="H7" s="679"/>
      <c r="I7" s="679"/>
    </row>
    <row r="8" spans="1:9" x14ac:dyDescent="0.3">
      <c r="A8" s="680" t="s">
        <v>46</v>
      </c>
      <c r="B8" s="680"/>
      <c r="C8" s="680"/>
      <c r="D8" s="680"/>
      <c r="E8" s="680"/>
      <c r="F8" s="680"/>
      <c r="G8" s="680"/>
      <c r="H8" s="680"/>
      <c r="I8" s="680"/>
    </row>
    <row r="9" spans="1:9" x14ac:dyDescent="0.3">
      <c r="A9" s="680"/>
      <c r="B9" s="680"/>
      <c r="C9" s="680"/>
      <c r="D9" s="680"/>
      <c r="E9" s="680"/>
      <c r="F9" s="680"/>
      <c r="G9" s="680"/>
      <c r="H9" s="680"/>
      <c r="I9" s="680"/>
    </row>
    <row r="10" spans="1:9" x14ac:dyDescent="0.3">
      <c r="A10" s="680"/>
      <c r="B10" s="680"/>
      <c r="C10" s="680"/>
      <c r="D10" s="680"/>
      <c r="E10" s="680"/>
      <c r="F10" s="680"/>
      <c r="G10" s="680"/>
      <c r="H10" s="680"/>
      <c r="I10" s="680"/>
    </row>
    <row r="11" spans="1:9" x14ac:dyDescent="0.3">
      <c r="A11" s="680"/>
      <c r="B11" s="680"/>
      <c r="C11" s="680"/>
      <c r="D11" s="680"/>
      <c r="E11" s="680"/>
      <c r="F11" s="680"/>
      <c r="G11" s="680"/>
      <c r="H11" s="680"/>
      <c r="I11" s="680"/>
    </row>
    <row r="12" spans="1:9" x14ac:dyDescent="0.3">
      <c r="A12" s="680"/>
      <c r="B12" s="680"/>
      <c r="C12" s="680"/>
      <c r="D12" s="680"/>
      <c r="E12" s="680"/>
      <c r="F12" s="680"/>
      <c r="G12" s="680"/>
      <c r="H12" s="680"/>
      <c r="I12" s="680"/>
    </row>
    <row r="13" spans="1:9" x14ac:dyDescent="0.3">
      <c r="A13" s="680"/>
      <c r="B13" s="680"/>
      <c r="C13" s="680"/>
      <c r="D13" s="680"/>
      <c r="E13" s="680"/>
      <c r="F13" s="680"/>
      <c r="G13" s="680"/>
      <c r="H13" s="680"/>
      <c r="I13" s="680"/>
    </row>
    <row r="14" spans="1:9" x14ac:dyDescent="0.3">
      <c r="A14" s="680"/>
      <c r="B14" s="680"/>
      <c r="C14" s="680"/>
      <c r="D14" s="680"/>
      <c r="E14" s="680"/>
      <c r="F14" s="680"/>
      <c r="G14" s="680"/>
      <c r="H14" s="680"/>
      <c r="I14" s="680"/>
    </row>
    <row r="15" spans="1:9" ht="19.5" customHeight="1" x14ac:dyDescent="0.35">
      <c r="A15" s="281"/>
    </row>
    <row r="16" spans="1:9" ht="19.5" customHeight="1" x14ac:dyDescent="0.35">
      <c r="A16" s="713" t="s">
        <v>31</v>
      </c>
      <c r="B16" s="714"/>
      <c r="C16" s="714"/>
      <c r="D16" s="714"/>
      <c r="E16" s="714"/>
      <c r="F16" s="714"/>
      <c r="G16" s="714"/>
      <c r="H16" s="715"/>
    </row>
    <row r="17" spans="1:14" ht="20.25" customHeight="1" x14ac:dyDescent="0.3">
      <c r="A17" s="716" t="s">
        <v>47</v>
      </c>
      <c r="B17" s="716"/>
      <c r="C17" s="716"/>
      <c r="D17" s="716"/>
      <c r="E17" s="716"/>
      <c r="F17" s="716"/>
      <c r="G17" s="716"/>
      <c r="H17" s="716"/>
    </row>
    <row r="18" spans="1:14" ht="26.25" customHeight="1" x14ac:dyDescent="0.5">
      <c r="A18" s="283" t="s">
        <v>33</v>
      </c>
      <c r="B18" s="712" t="s">
        <v>5</v>
      </c>
      <c r="C18" s="712"/>
      <c r="D18" s="450"/>
      <c r="E18" s="284"/>
      <c r="F18" s="285"/>
      <c r="G18" s="285"/>
      <c r="H18" s="285"/>
    </row>
    <row r="19" spans="1:14" ht="26.25" customHeight="1" x14ac:dyDescent="0.5">
      <c r="A19" s="283" t="s">
        <v>34</v>
      </c>
      <c r="B19" s="286" t="s">
        <v>7</v>
      </c>
      <c r="C19" s="463">
        <v>29</v>
      </c>
      <c r="D19" s="285"/>
      <c r="E19" s="285"/>
      <c r="F19" s="285"/>
      <c r="G19" s="285"/>
      <c r="H19" s="285"/>
    </row>
    <row r="20" spans="1:14" ht="26.25" customHeight="1" x14ac:dyDescent="0.5">
      <c r="A20" s="283" t="s">
        <v>35</v>
      </c>
      <c r="B20" s="717" t="s">
        <v>9</v>
      </c>
      <c r="C20" s="717"/>
      <c r="D20" s="285"/>
      <c r="E20" s="285"/>
      <c r="F20" s="285"/>
      <c r="G20" s="285"/>
      <c r="H20" s="285"/>
    </row>
    <row r="21" spans="1:14" ht="26.25" customHeight="1" x14ac:dyDescent="0.5">
      <c r="A21" s="283" t="s">
        <v>36</v>
      </c>
      <c r="B21" s="717" t="s">
        <v>11</v>
      </c>
      <c r="C21" s="717"/>
      <c r="D21" s="717"/>
      <c r="E21" s="717"/>
      <c r="F21" s="717"/>
      <c r="G21" s="717"/>
      <c r="H21" s="717"/>
      <c r="I21" s="287"/>
    </row>
    <row r="22" spans="1:14" ht="26.25" customHeight="1" x14ac:dyDescent="0.5">
      <c r="A22" s="283" t="s">
        <v>37</v>
      </c>
      <c r="B22" s="288" t="s">
        <v>12</v>
      </c>
      <c r="C22" s="285"/>
      <c r="D22" s="285"/>
      <c r="E22" s="285"/>
      <c r="F22" s="285"/>
      <c r="G22" s="285"/>
      <c r="H22" s="285"/>
    </row>
    <row r="23" spans="1:14" ht="26.25" customHeight="1" x14ac:dyDescent="0.5">
      <c r="A23" s="283" t="s">
        <v>38</v>
      </c>
      <c r="B23" s="288"/>
      <c r="C23" s="285"/>
      <c r="D23" s="285"/>
      <c r="E23" s="285"/>
      <c r="F23" s="285"/>
      <c r="G23" s="285"/>
      <c r="H23" s="285"/>
    </row>
    <row r="24" spans="1:14" ht="18" x14ac:dyDescent="0.35">
      <c r="A24" s="283"/>
      <c r="B24" s="289"/>
    </row>
    <row r="25" spans="1:14" ht="18" x14ac:dyDescent="0.35">
      <c r="A25" s="290" t="s">
        <v>1</v>
      </c>
      <c r="B25" s="289"/>
    </row>
    <row r="26" spans="1:14" ht="26.25" customHeight="1" x14ac:dyDescent="0.45">
      <c r="A26" s="291" t="s">
        <v>4</v>
      </c>
      <c r="B26" s="712" t="s">
        <v>126</v>
      </c>
      <c r="C26" s="712"/>
    </row>
    <row r="27" spans="1:14" ht="26.25" customHeight="1" x14ac:dyDescent="0.5">
      <c r="A27" s="292" t="s">
        <v>48</v>
      </c>
      <c r="B27" s="710"/>
      <c r="C27" s="710"/>
    </row>
    <row r="28" spans="1:14" ht="27" customHeight="1" x14ac:dyDescent="0.45">
      <c r="A28" s="292" t="s">
        <v>6</v>
      </c>
      <c r="B28" s="293">
        <v>99.4</v>
      </c>
    </row>
    <row r="29" spans="1:14" s="14" customFormat="1" ht="27" customHeight="1" x14ac:dyDescent="0.5">
      <c r="A29" s="292" t="s">
        <v>49</v>
      </c>
      <c r="B29" s="294"/>
      <c r="C29" s="687" t="s">
        <v>50</v>
      </c>
      <c r="D29" s="688"/>
      <c r="E29" s="688"/>
      <c r="F29" s="688"/>
      <c r="G29" s="689"/>
      <c r="I29" s="295"/>
      <c r="J29" s="295"/>
      <c r="K29" s="295"/>
      <c r="L29" s="295"/>
    </row>
    <row r="30" spans="1:14" s="14" customFormat="1" ht="19.5" customHeight="1" x14ac:dyDescent="0.35">
      <c r="A30" s="292" t="s">
        <v>51</v>
      </c>
      <c r="B30" s="296">
        <f>B28-B29</f>
        <v>99.4</v>
      </c>
      <c r="C30" s="297"/>
      <c r="D30" s="297"/>
      <c r="E30" s="297"/>
      <c r="F30" s="297"/>
      <c r="G30" s="298"/>
      <c r="I30" s="295"/>
      <c r="J30" s="295"/>
      <c r="K30" s="295"/>
      <c r="L30" s="295"/>
    </row>
    <row r="31" spans="1:14" s="14" customFormat="1" ht="27" customHeight="1" x14ac:dyDescent="0.45">
      <c r="A31" s="292" t="s">
        <v>52</v>
      </c>
      <c r="B31" s="299">
        <v>1</v>
      </c>
      <c r="C31" s="690" t="s">
        <v>53</v>
      </c>
      <c r="D31" s="691"/>
      <c r="E31" s="691"/>
      <c r="F31" s="691"/>
      <c r="G31" s="691"/>
      <c r="H31" s="692"/>
      <c r="I31" s="295"/>
      <c r="J31" s="295"/>
      <c r="K31" s="295"/>
      <c r="L31" s="295"/>
    </row>
    <row r="32" spans="1:14" s="14" customFormat="1" ht="27" customHeight="1" x14ac:dyDescent="0.45">
      <c r="A32" s="292" t="s">
        <v>54</v>
      </c>
      <c r="B32" s="299">
        <v>1</v>
      </c>
      <c r="C32" s="690" t="s">
        <v>55</v>
      </c>
      <c r="D32" s="691"/>
      <c r="E32" s="691"/>
      <c r="F32" s="691"/>
      <c r="G32" s="691"/>
      <c r="H32" s="692"/>
      <c r="I32" s="295"/>
      <c r="J32" s="295"/>
      <c r="K32" s="295"/>
      <c r="L32" s="300"/>
      <c r="M32" s="300"/>
      <c r="N32" s="301"/>
    </row>
    <row r="33" spans="1:14" s="14" customFormat="1" ht="17.25" customHeight="1" x14ac:dyDescent="0.35">
      <c r="A33" s="292"/>
      <c r="B33" s="302"/>
      <c r="C33" s="303"/>
      <c r="D33" s="303"/>
      <c r="E33" s="303"/>
      <c r="F33" s="303"/>
      <c r="G33" s="303"/>
      <c r="H33" s="303"/>
      <c r="I33" s="295"/>
      <c r="J33" s="295"/>
      <c r="K33" s="295"/>
      <c r="L33" s="300"/>
      <c r="M33" s="300"/>
      <c r="N33" s="301"/>
    </row>
    <row r="34" spans="1:14" s="14" customFormat="1" ht="18" x14ac:dyDescent="0.35">
      <c r="A34" s="292" t="s">
        <v>56</v>
      </c>
      <c r="B34" s="304">
        <f>B31/B32</f>
        <v>1</v>
      </c>
      <c r="C34" s="282" t="s">
        <v>57</v>
      </c>
      <c r="D34" s="282"/>
      <c r="E34" s="282"/>
      <c r="F34" s="282"/>
      <c r="G34" s="282"/>
      <c r="I34" s="295"/>
      <c r="J34" s="295"/>
      <c r="K34" s="295"/>
      <c r="L34" s="300"/>
      <c r="M34" s="300"/>
      <c r="N34" s="301"/>
    </row>
    <row r="35" spans="1:14" s="14" customFormat="1" ht="19.5" customHeight="1" x14ac:dyDescent="0.35">
      <c r="A35" s="292"/>
      <c r="B35" s="296"/>
      <c r="G35" s="282"/>
      <c r="I35" s="295"/>
      <c r="J35" s="295"/>
      <c r="K35" s="295"/>
      <c r="L35" s="300"/>
      <c r="M35" s="300"/>
      <c r="N35" s="301"/>
    </row>
    <row r="36" spans="1:14" s="14" customFormat="1" ht="27" customHeight="1" x14ac:dyDescent="0.45">
      <c r="A36" s="305" t="s">
        <v>58</v>
      </c>
      <c r="B36" s="306">
        <v>20</v>
      </c>
      <c r="C36" s="282"/>
      <c r="D36" s="693" t="s">
        <v>59</v>
      </c>
      <c r="E36" s="711"/>
      <c r="F36" s="693" t="s">
        <v>60</v>
      </c>
      <c r="G36" s="694"/>
      <c r="J36" s="295"/>
      <c r="K36" s="295"/>
      <c r="L36" s="300"/>
      <c r="M36" s="300"/>
      <c r="N36" s="301"/>
    </row>
    <row r="37" spans="1:14" s="14" customFormat="1" ht="27" customHeight="1" x14ac:dyDescent="0.45">
      <c r="A37" s="307" t="s">
        <v>61</v>
      </c>
      <c r="B37" s="308">
        <v>4</v>
      </c>
      <c r="C37" s="309" t="s">
        <v>62</v>
      </c>
      <c r="D37" s="310" t="s">
        <v>63</v>
      </c>
      <c r="E37" s="311" t="s">
        <v>64</v>
      </c>
      <c r="F37" s="310" t="s">
        <v>63</v>
      </c>
      <c r="G37" s="312" t="s">
        <v>64</v>
      </c>
      <c r="I37" s="313" t="s">
        <v>65</v>
      </c>
      <c r="J37" s="295"/>
      <c r="K37" s="295"/>
      <c r="L37" s="300"/>
      <c r="M37" s="300"/>
      <c r="N37" s="301"/>
    </row>
    <row r="38" spans="1:14" s="14" customFormat="1" ht="26.25" customHeight="1" x14ac:dyDescent="0.45">
      <c r="A38" s="307" t="s">
        <v>66</v>
      </c>
      <c r="B38" s="308">
        <v>20</v>
      </c>
      <c r="C38" s="314">
        <v>1</v>
      </c>
      <c r="D38" s="315">
        <v>233704824</v>
      </c>
      <c r="E38" s="316">
        <f>IF(ISBLANK(D38),"-",$D$48/$D$45*D38)</f>
        <v>235429422.99994895</v>
      </c>
      <c r="F38" s="315">
        <v>237659608</v>
      </c>
      <c r="G38" s="317">
        <f>IF(ISBLANK(F38),"-",$D$48/$F$45*F38)</f>
        <v>232205412.46833539</v>
      </c>
      <c r="I38" s="318"/>
      <c r="J38" s="295"/>
      <c r="K38" s="295"/>
      <c r="L38" s="300"/>
      <c r="M38" s="300"/>
      <c r="N38" s="301"/>
    </row>
    <row r="39" spans="1:14" s="14" customFormat="1" ht="26.25" customHeight="1" x14ac:dyDescent="0.45">
      <c r="A39" s="307" t="s">
        <v>67</v>
      </c>
      <c r="B39" s="308">
        <v>1</v>
      </c>
      <c r="C39" s="319">
        <v>2</v>
      </c>
      <c r="D39" s="320">
        <v>234097030</v>
      </c>
      <c r="E39" s="321">
        <f>IF(ISBLANK(D39),"-",$D$48/$D$45*D39)</f>
        <v>235824523.24091411</v>
      </c>
      <c r="F39" s="320">
        <v>237288970</v>
      </c>
      <c r="G39" s="322">
        <f>IF(ISBLANK(F39),"-",$D$48/$F$45*F39)</f>
        <v>231843280.46622238</v>
      </c>
      <c r="I39" s="695">
        <f>ABS((F43/D43*D42)-F42)/D42</f>
        <v>1.4732851190964647E-2</v>
      </c>
      <c r="J39" s="295"/>
      <c r="K39" s="295"/>
      <c r="L39" s="300"/>
      <c r="M39" s="300"/>
      <c r="N39" s="301"/>
    </row>
    <row r="40" spans="1:14" ht="26.25" customHeight="1" x14ac:dyDescent="0.45">
      <c r="A40" s="307" t="s">
        <v>68</v>
      </c>
      <c r="B40" s="308">
        <v>1</v>
      </c>
      <c r="C40" s="319">
        <v>3</v>
      </c>
      <c r="D40" s="320">
        <v>233761675</v>
      </c>
      <c r="E40" s="321">
        <f>IF(ISBLANK(D40),"-",$D$48/$D$45*D40)</f>
        <v>235486693.5256398</v>
      </c>
      <c r="F40" s="320">
        <v>238056426</v>
      </c>
      <c r="G40" s="322">
        <f>IF(ISBLANK(F40),"-",$D$48/$F$45*F40)</f>
        <v>232593123.64963493</v>
      </c>
      <c r="I40" s="695"/>
      <c r="L40" s="300"/>
      <c r="M40" s="300"/>
      <c r="N40" s="323"/>
    </row>
    <row r="41" spans="1:14" ht="27" customHeight="1" x14ac:dyDescent="0.45">
      <c r="A41" s="307" t="s">
        <v>69</v>
      </c>
      <c r="B41" s="308">
        <v>1</v>
      </c>
      <c r="C41" s="324">
        <v>4</v>
      </c>
      <c r="D41" s="325"/>
      <c r="E41" s="326" t="str">
        <f>IF(ISBLANK(D41),"-",$D$48/$D$45*D41)</f>
        <v>-</v>
      </c>
      <c r="F41" s="325"/>
      <c r="G41" s="327" t="str">
        <f>IF(ISBLANK(F41),"-",$D$48/$F$45*F41)</f>
        <v>-</v>
      </c>
      <c r="I41" s="328"/>
      <c r="L41" s="300"/>
      <c r="M41" s="300"/>
      <c r="N41" s="323"/>
    </row>
    <row r="42" spans="1:14" ht="27" customHeight="1" x14ac:dyDescent="0.45">
      <c r="A42" s="307" t="s">
        <v>70</v>
      </c>
      <c r="B42" s="308">
        <v>1</v>
      </c>
      <c r="C42" s="329" t="s">
        <v>71</v>
      </c>
      <c r="D42" s="330">
        <f>AVERAGE(D38:D41)</f>
        <v>233854509.66666666</v>
      </c>
      <c r="E42" s="331">
        <f>AVERAGE(E38:E41)</f>
        <v>235580213.25550094</v>
      </c>
      <c r="F42" s="330">
        <f>AVERAGE(F38:F41)</f>
        <v>237668334.66666666</v>
      </c>
      <c r="G42" s="332">
        <f>AVERAGE(G38:G41)</f>
        <v>232213938.86139759</v>
      </c>
      <c r="H42" s="333"/>
    </row>
    <row r="43" spans="1:14" ht="26.25" customHeight="1" x14ac:dyDescent="0.45">
      <c r="A43" s="307" t="s">
        <v>72</v>
      </c>
      <c r="B43" s="308">
        <v>1</v>
      </c>
      <c r="C43" s="334" t="s">
        <v>73</v>
      </c>
      <c r="D43" s="335">
        <v>29.96</v>
      </c>
      <c r="E43" s="323"/>
      <c r="F43" s="335">
        <v>30.89</v>
      </c>
      <c r="H43" s="333"/>
    </row>
    <row r="44" spans="1:14" ht="26.25" customHeight="1" x14ac:dyDescent="0.45">
      <c r="A44" s="307" t="s">
        <v>74</v>
      </c>
      <c r="B44" s="308">
        <v>1</v>
      </c>
      <c r="C44" s="336" t="s">
        <v>75</v>
      </c>
      <c r="D44" s="337">
        <f>D43*$B$34</f>
        <v>29.96</v>
      </c>
      <c r="E44" s="338"/>
      <c r="F44" s="337">
        <f>F43*$B$34</f>
        <v>30.89</v>
      </c>
      <c r="H44" s="333"/>
    </row>
    <row r="45" spans="1:14" ht="19.5" customHeight="1" x14ac:dyDescent="0.35">
      <c r="A45" s="307" t="s">
        <v>76</v>
      </c>
      <c r="B45" s="339">
        <f>(B44/B43)*(B42/B41)*(B40/B39)*(B38/B37)*B36</f>
        <v>100</v>
      </c>
      <c r="C45" s="336" t="s">
        <v>77</v>
      </c>
      <c r="D45" s="340">
        <f>D44*$B$30/100</f>
        <v>29.780240000000003</v>
      </c>
      <c r="E45" s="341"/>
      <c r="F45" s="340">
        <f>F44*$B$30/100</f>
        <v>30.704660000000004</v>
      </c>
      <c r="H45" s="333"/>
    </row>
    <row r="46" spans="1:14" ht="19.5" customHeight="1" x14ac:dyDescent="0.35">
      <c r="A46" s="681" t="s">
        <v>78</v>
      </c>
      <c r="B46" s="682"/>
      <c r="C46" s="336" t="s">
        <v>79</v>
      </c>
      <c r="D46" s="342">
        <f>D45/$B$45</f>
        <v>0.29780240000000002</v>
      </c>
      <c r="E46" s="343"/>
      <c r="F46" s="344">
        <f>F45/$B$45</f>
        <v>0.30704660000000006</v>
      </c>
      <c r="H46" s="333"/>
    </row>
    <row r="47" spans="1:14" ht="27" customHeight="1" x14ac:dyDescent="0.45">
      <c r="A47" s="683"/>
      <c r="B47" s="684"/>
      <c r="C47" s="345" t="s">
        <v>80</v>
      </c>
      <c r="D47" s="346">
        <v>0.3</v>
      </c>
      <c r="E47" s="347"/>
      <c r="F47" s="343"/>
      <c r="H47" s="333"/>
    </row>
    <row r="48" spans="1:14" ht="18" x14ac:dyDescent="0.35">
      <c r="C48" s="348" t="s">
        <v>81</v>
      </c>
      <c r="D48" s="340">
        <f>D47*$B$45</f>
        <v>30</v>
      </c>
      <c r="F48" s="349"/>
      <c r="H48" s="333"/>
    </row>
    <row r="49" spans="1:12" ht="19.5" customHeight="1" x14ac:dyDescent="0.35">
      <c r="C49" s="350" t="s">
        <v>82</v>
      </c>
      <c r="D49" s="351">
        <f>D48/B34</f>
        <v>30</v>
      </c>
      <c r="F49" s="349"/>
      <c r="H49" s="333"/>
    </row>
    <row r="50" spans="1:12" ht="18" x14ac:dyDescent="0.35">
      <c r="C50" s="305" t="s">
        <v>83</v>
      </c>
      <c r="D50" s="352">
        <f>AVERAGE(E38:E41,G38:G41)</f>
        <v>233897076.05844924</v>
      </c>
      <c r="F50" s="353"/>
      <c r="H50" s="333"/>
    </row>
    <row r="51" spans="1:12" ht="18" x14ac:dyDescent="0.35">
      <c r="C51" s="307" t="s">
        <v>84</v>
      </c>
      <c r="D51" s="354">
        <f>STDEV(E38:E41,G38:G41)/D50</f>
        <v>7.9687753193078466E-3</v>
      </c>
      <c r="F51" s="353"/>
      <c r="H51" s="333"/>
    </row>
    <row r="52" spans="1:12" ht="19.5" customHeight="1" x14ac:dyDescent="0.35">
      <c r="C52" s="355" t="s">
        <v>20</v>
      </c>
      <c r="D52" s="356">
        <f>COUNT(E38:E41,G38:G41)</f>
        <v>6</v>
      </c>
      <c r="F52" s="353"/>
    </row>
    <row r="54" spans="1:12" ht="18" x14ac:dyDescent="0.35">
      <c r="A54" s="357" t="s">
        <v>1</v>
      </c>
      <c r="B54" s="358" t="s">
        <v>85</v>
      </c>
    </row>
    <row r="55" spans="1:12" ht="18" x14ac:dyDescent="0.35">
      <c r="A55" s="282" t="s">
        <v>86</v>
      </c>
      <c r="B55" s="359" t="str">
        <f>B21</f>
        <v xml:space="preserve">Lamivudine 50mg + Zidovudine 60mg + Nevirapine 30mg </v>
      </c>
    </row>
    <row r="56" spans="1:12" ht="26.25" customHeight="1" x14ac:dyDescent="0.45">
      <c r="A56" s="360" t="s">
        <v>87</v>
      </c>
      <c r="B56" s="361">
        <v>60</v>
      </c>
      <c r="C56" s="282" t="str">
        <f>B20</f>
        <v>Lamivudine     Nevirapine and Zidovudine</v>
      </c>
      <c r="H56" s="362"/>
    </row>
    <row r="57" spans="1:12" ht="18" x14ac:dyDescent="0.35">
      <c r="A57" s="359" t="s">
        <v>88</v>
      </c>
      <c r="B57" s="451">
        <f>Uniformity!C46</f>
        <v>353.13100000000009</v>
      </c>
      <c r="H57" s="362"/>
    </row>
    <row r="58" spans="1:12" ht="19.5" customHeight="1" x14ac:dyDescent="0.35">
      <c r="H58" s="362"/>
    </row>
    <row r="59" spans="1:12" s="14" customFormat="1" ht="27" customHeight="1" x14ac:dyDescent="0.45">
      <c r="A59" s="305" t="s">
        <v>89</v>
      </c>
      <c r="B59" s="306">
        <v>50</v>
      </c>
      <c r="C59" s="282"/>
      <c r="D59" s="363" t="s">
        <v>90</v>
      </c>
      <c r="E59" s="364" t="s">
        <v>62</v>
      </c>
      <c r="F59" s="364" t="s">
        <v>63</v>
      </c>
      <c r="G59" s="364" t="s">
        <v>91</v>
      </c>
      <c r="H59" s="309" t="s">
        <v>92</v>
      </c>
      <c r="L59" s="295"/>
    </row>
    <row r="60" spans="1:12" s="14" customFormat="1" ht="26.25" customHeight="1" x14ac:dyDescent="0.45">
      <c r="A60" s="307" t="s">
        <v>93</v>
      </c>
      <c r="B60" s="308">
        <v>5</v>
      </c>
      <c r="C60" s="698" t="s">
        <v>94</v>
      </c>
      <c r="D60" s="701">
        <v>361.94</v>
      </c>
      <c r="E60" s="365">
        <v>1</v>
      </c>
      <c r="F60" s="366">
        <v>231958137</v>
      </c>
      <c r="G60" s="452">
        <f>IF(ISBLANK(F60),"-",(F60/$D$50*$D$47*$B$68)*($B$57/$D$60))</f>
        <v>58.05442552212358</v>
      </c>
      <c r="H60" s="367">
        <f t="shared" ref="H60:H71" si="0">IF(ISBLANK(F60),"-",G60/$B$56)</f>
        <v>0.96757375870205964</v>
      </c>
      <c r="L60" s="295"/>
    </row>
    <row r="61" spans="1:12" s="14" customFormat="1" ht="26.25" customHeight="1" x14ac:dyDescent="0.45">
      <c r="A61" s="307" t="s">
        <v>95</v>
      </c>
      <c r="B61" s="308">
        <v>20</v>
      </c>
      <c r="C61" s="699"/>
      <c r="D61" s="702"/>
      <c r="E61" s="368">
        <v>2</v>
      </c>
      <c r="F61" s="320">
        <v>232374043</v>
      </c>
      <c r="G61" s="453">
        <f>IF(ISBLANK(F61),"-",(F61/$D$50*$D$47*$B$68)*($B$57/$D$60))</f>
        <v>58.158518373590155</v>
      </c>
      <c r="H61" s="369">
        <f t="shared" si="0"/>
        <v>0.96930863955983593</v>
      </c>
      <c r="L61" s="295"/>
    </row>
    <row r="62" spans="1:12" s="14" customFormat="1" ht="26.25" customHeight="1" x14ac:dyDescent="0.45">
      <c r="A62" s="307" t="s">
        <v>96</v>
      </c>
      <c r="B62" s="308">
        <v>1</v>
      </c>
      <c r="C62" s="699"/>
      <c r="D62" s="702"/>
      <c r="E62" s="368">
        <v>3</v>
      </c>
      <c r="F62" s="370">
        <v>232606441</v>
      </c>
      <c r="G62" s="453">
        <f>IF(ISBLANK(F62),"-",(F62/$D$50*$D$47*$B$68)*($B$57/$D$60))</f>
        <v>58.216682887915816</v>
      </c>
      <c r="H62" s="369">
        <f t="shared" si="0"/>
        <v>0.9702780481319303</v>
      </c>
      <c r="L62" s="295"/>
    </row>
    <row r="63" spans="1:12" ht="27" customHeight="1" x14ac:dyDescent="0.45">
      <c r="A63" s="307" t="s">
        <v>97</v>
      </c>
      <c r="B63" s="308">
        <v>1</v>
      </c>
      <c r="C63" s="709"/>
      <c r="D63" s="703"/>
      <c r="E63" s="371">
        <v>4</v>
      </c>
      <c r="F63" s="372"/>
      <c r="G63" s="453" t="str">
        <f>IF(ISBLANK(F63),"-",(F63/$D$50*$D$47*$B$68)*($B$57/$D$60))</f>
        <v>-</v>
      </c>
      <c r="H63" s="369" t="str">
        <f t="shared" si="0"/>
        <v>-</v>
      </c>
    </row>
    <row r="64" spans="1:12" ht="26.25" customHeight="1" x14ac:dyDescent="0.45">
      <c r="A64" s="307" t="s">
        <v>98</v>
      </c>
      <c r="B64" s="308">
        <v>1</v>
      </c>
      <c r="C64" s="698" t="s">
        <v>99</v>
      </c>
      <c r="D64" s="701">
        <v>355.3</v>
      </c>
      <c r="E64" s="365">
        <v>1</v>
      </c>
      <c r="F64" s="366"/>
      <c r="G64" s="454" t="str">
        <f>IF(ISBLANK(F64),"-",(F64/$D$50*$D$47*$B$68)*($B$57/$D$64))</f>
        <v>-</v>
      </c>
      <c r="H64" s="373" t="str">
        <f t="shared" si="0"/>
        <v>-</v>
      </c>
    </row>
    <row r="65" spans="1:8" ht="26.25" customHeight="1" x14ac:dyDescent="0.45">
      <c r="A65" s="307" t="s">
        <v>100</v>
      </c>
      <c r="B65" s="308">
        <v>1</v>
      </c>
      <c r="C65" s="699"/>
      <c r="D65" s="702"/>
      <c r="E65" s="368">
        <v>2</v>
      </c>
      <c r="F65" s="320"/>
      <c r="G65" s="455" t="str">
        <f>IF(ISBLANK(F65),"-",(F65/$D$50*$D$47*$B$68)*($B$57/$D$64))</f>
        <v>-</v>
      </c>
      <c r="H65" s="374" t="str">
        <f t="shared" si="0"/>
        <v>-</v>
      </c>
    </row>
    <row r="66" spans="1:8" ht="26.25" customHeight="1" x14ac:dyDescent="0.45">
      <c r="A66" s="307" t="s">
        <v>101</v>
      </c>
      <c r="B66" s="308">
        <v>1</v>
      </c>
      <c r="C66" s="699"/>
      <c r="D66" s="702"/>
      <c r="E66" s="368">
        <v>3</v>
      </c>
      <c r="F66" s="320"/>
      <c r="G66" s="455" t="str">
        <f>IF(ISBLANK(F66),"-",(F66/$D$50*$D$47*$B$68)*($B$57/$D$64))</f>
        <v>-</v>
      </c>
      <c r="H66" s="374" t="str">
        <f t="shared" si="0"/>
        <v>-</v>
      </c>
    </row>
    <row r="67" spans="1:8" ht="27" customHeight="1" x14ac:dyDescent="0.45">
      <c r="A67" s="307" t="s">
        <v>102</v>
      </c>
      <c r="B67" s="308">
        <v>1</v>
      </c>
      <c r="C67" s="709"/>
      <c r="D67" s="703"/>
      <c r="E67" s="371">
        <v>4</v>
      </c>
      <c r="F67" s="372"/>
      <c r="G67" s="456" t="str">
        <f>IF(ISBLANK(F67),"-",(F67/$D$50*$D$47*$B$68)*($B$57/$D$64))</f>
        <v>-</v>
      </c>
      <c r="H67" s="375" t="str">
        <f t="shared" si="0"/>
        <v>-</v>
      </c>
    </row>
    <row r="68" spans="1:8" ht="26.25" customHeight="1" x14ac:dyDescent="0.5">
      <c r="A68" s="307" t="s">
        <v>103</v>
      </c>
      <c r="B68" s="376">
        <f>(B67/B66)*(B65/B64)*(B63/B62)*(B61/B60)*B59</f>
        <v>200</v>
      </c>
      <c r="C68" s="698" t="s">
        <v>104</v>
      </c>
      <c r="D68" s="701">
        <v>349.76</v>
      </c>
      <c r="E68" s="365">
        <v>1</v>
      </c>
      <c r="F68" s="366">
        <v>226944208</v>
      </c>
      <c r="G68" s="454">
        <f>IF(ISBLANK(F68),"-",(F68/$D$50*$D$47*$B$68)*($B$57/$D$68))</f>
        <v>58.777520946636095</v>
      </c>
      <c r="H68" s="369">
        <f t="shared" si="0"/>
        <v>0.97962534911060162</v>
      </c>
    </row>
    <row r="69" spans="1:8" ht="27" customHeight="1" x14ac:dyDescent="0.5">
      <c r="A69" s="355" t="s">
        <v>105</v>
      </c>
      <c r="B69" s="377">
        <f>(D47*B68)/B56*B57</f>
        <v>353.13100000000009</v>
      </c>
      <c r="C69" s="699"/>
      <c r="D69" s="702"/>
      <c r="E69" s="368">
        <v>2</v>
      </c>
      <c r="F69" s="320">
        <v>224344680</v>
      </c>
      <c r="G69" s="455">
        <f>IF(ISBLANK(F69),"-",(F69/$D$50*$D$47*$B$68)*($B$57/$D$68))</f>
        <v>58.104254980441588</v>
      </c>
      <c r="H69" s="369">
        <f t="shared" si="0"/>
        <v>0.9684042496740265</v>
      </c>
    </row>
    <row r="70" spans="1:8" ht="26.25" customHeight="1" x14ac:dyDescent="0.45">
      <c r="A70" s="704" t="s">
        <v>78</v>
      </c>
      <c r="B70" s="705"/>
      <c r="C70" s="699"/>
      <c r="D70" s="702"/>
      <c r="E70" s="368">
        <v>3</v>
      </c>
      <c r="F70" s="320">
        <v>225403382</v>
      </c>
      <c r="G70" s="455">
        <f>IF(ISBLANK(F70),"-",(F70/$D$50*$D$47*$B$68)*($B$57/$D$68))</f>
        <v>58.378453998471805</v>
      </c>
      <c r="H70" s="369">
        <f t="shared" si="0"/>
        <v>0.97297423330786337</v>
      </c>
    </row>
    <row r="71" spans="1:8" ht="27" customHeight="1" x14ac:dyDescent="0.45">
      <c r="A71" s="706"/>
      <c r="B71" s="707"/>
      <c r="C71" s="700"/>
      <c r="D71" s="703"/>
      <c r="E71" s="371">
        <v>4</v>
      </c>
      <c r="F71" s="372"/>
      <c r="G71" s="456" t="str">
        <f>IF(ISBLANK(F71),"-",(F71/$D$50*$D$47*$B$68)*($B$57/$D$68))</f>
        <v>-</v>
      </c>
      <c r="H71" s="378" t="str">
        <f t="shared" si="0"/>
        <v>-</v>
      </c>
    </row>
    <row r="72" spans="1:8" ht="26.25" customHeight="1" x14ac:dyDescent="0.45">
      <c r="A72" s="379"/>
      <c r="B72" s="379"/>
      <c r="C72" s="379"/>
      <c r="D72" s="379"/>
      <c r="E72" s="379"/>
      <c r="F72" s="381" t="s">
        <v>71</v>
      </c>
      <c r="G72" s="461">
        <f>AVERAGE(G60:G71)</f>
        <v>58.281642784863173</v>
      </c>
      <c r="H72" s="382">
        <f>AVERAGE(H60:H71)</f>
        <v>0.97136071308105298</v>
      </c>
    </row>
    <row r="73" spans="1:8" ht="26.25" customHeight="1" x14ac:dyDescent="0.45">
      <c r="C73" s="379"/>
      <c r="D73" s="379"/>
      <c r="E73" s="379"/>
      <c r="F73" s="383" t="s">
        <v>84</v>
      </c>
      <c r="G73" s="457">
        <f>STDEV(G60:G71)/G72</f>
        <v>4.5895237901021589E-3</v>
      </c>
      <c r="H73" s="457">
        <f>STDEV(H60:H71)/H72</f>
        <v>4.5895237901021685E-3</v>
      </c>
    </row>
    <row r="74" spans="1:8" ht="27" customHeight="1" x14ac:dyDescent="0.45">
      <c r="A74" s="379"/>
      <c r="B74" s="379"/>
      <c r="C74" s="380"/>
      <c r="D74" s="380"/>
      <c r="E74" s="384"/>
      <c r="F74" s="385" t="s">
        <v>20</v>
      </c>
      <c r="G74" s="386">
        <f>COUNT(G60:G71)</f>
        <v>6</v>
      </c>
      <c r="H74" s="386">
        <f>COUNT(H60:H71)</f>
        <v>6</v>
      </c>
    </row>
    <row r="76" spans="1:8" ht="26.25" customHeight="1" x14ac:dyDescent="0.45">
      <c r="A76" s="291" t="s">
        <v>106</v>
      </c>
      <c r="B76" s="387" t="s">
        <v>107</v>
      </c>
      <c r="C76" s="685" t="str">
        <f>B20</f>
        <v>Lamivudine     Nevirapine and Zidovudine</v>
      </c>
      <c r="D76" s="685"/>
      <c r="E76" s="388" t="s">
        <v>108</v>
      </c>
      <c r="F76" s="388"/>
      <c r="G76" s="389">
        <f>H72</f>
        <v>0.97136071308105298</v>
      </c>
      <c r="H76" s="390"/>
    </row>
    <row r="77" spans="1:8" ht="18" x14ac:dyDescent="0.35">
      <c r="A77" s="290" t="s">
        <v>109</v>
      </c>
      <c r="B77" s="290" t="s">
        <v>110</v>
      </c>
    </row>
    <row r="78" spans="1:8" ht="18" x14ac:dyDescent="0.35">
      <c r="A78" s="290"/>
      <c r="B78" s="290"/>
    </row>
    <row r="79" spans="1:8" ht="26.25" customHeight="1" x14ac:dyDescent="0.45">
      <c r="A79" s="291" t="s">
        <v>4</v>
      </c>
      <c r="B79" s="708" t="str">
        <f>B26</f>
        <v>zidovudine</v>
      </c>
      <c r="C79" s="708"/>
    </row>
    <row r="80" spans="1:8" ht="26.25" customHeight="1" x14ac:dyDescent="0.45">
      <c r="A80" s="292" t="s">
        <v>48</v>
      </c>
      <c r="B80" s="708">
        <f>B27</f>
        <v>0</v>
      </c>
      <c r="C80" s="708"/>
    </row>
    <row r="81" spans="1:12" ht="27" customHeight="1" x14ac:dyDescent="0.45">
      <c r="A81" s="292" t="s">
        <v>6</v>
      </c>
      <c r="B81" s="391">
        <f>B28</f>
        <v>99.4</v>
      </c>
    </row>
    <row r="82" spans="1:12" s="14" customFormat="1" ht="27" customHeight="1" x14ac:dyDescent="0.5">
      <c r="A82" s="292" t="s">
        <v>49</v>
      </c>
      <c r="B82" s="294">
        <v>0</v>
      </c>
      <c r="C82" s="687" t="s">
        <v>50</v>
      </c>
      <c r="D82" s="688"/>
      <c r="E82" s="688"/>
      <c r="F82" s="688"/>
      <c r="G82" s="689"/>
      <c r="I82" s="295"/>
      <c r="J82" s="295"/>
      <c r="K82" s="295"/>
      <c r="L82" s="295"/>
    </row>
    <row r="83" spans="1:12" s="14" customFormat="1" ht="19.5" customHeight="1" x14ac:dyDescent="0.35">
      <c r="A83" s="292" t="s">
        <v>51</v>
      </c>
      <c r="B83" s="296">
        <f>B81-B82</f>
        <v>99.4</v>
      </c>
      <c r="C83" s="297"/>
      <c r="D83" s="297"/>
      <c r="E83" s="297"/>
      <c r="F83" s="297"/>
      <c r="G83" s="298"/>
      <c r="I83" s="295"/>
      <c r="J83" s="295"/>
      <c r="K83" s="295"/>
      <c r="L83" s="295"/>
    </row>
    <row r="84" spans="1:12" s="14" customFormat="1" ht="27" customHeight="1" x14ac:dyDescent="0.45">
      <c r="A84" s="292" t="s">
        <v>52</v>
      </c>
      <c r="B84" s="299">
        <v>154.46</v>
      </c>
      <c r="C84" s="690" t="s">
        <v>111</v>
      </c>
      <c r="D84" s="691"/>
      <c r="E84" s="691"/>
      <c r="F84" s="691"/>
      <c r="G84" s="691"/>
      <c r="H84" s="692"/>
      <c r="I84" s="295"/>
      <c r="J84" s="295"/>
      <c r="K84" s="295"/>
      <c r="L84" s="295"/>
    </row>
    <row r="85" spans="1:12" s="14" customFormat="1" ht="27" customHeight="1" x14ac:dyDescent="0.45">
      <c r="A85" s="292" t="s">
        <v>54</v>
      </c>
      <c r="B85" s="299">
        <v>165.23</v>
      </c>
      <c r="C85" s="690" t="s">
        <v>112</v>
      </c>
      <c r="D85" s="691"/>
      <c r="E85" s="691"/>
      <c r="F85" s="691"/>
      <c r="G85" s="691"/>
      <c r="H85" s="692"/>
      <c r="I85" s="295"/>
      <c r="J85" s="295"/>
      <c r="K85" s="295"/>
      <c r="L85" s="295"/>
    </row>
    <row r="86" spans="1:12" s="14" customFormat="1" ht="18" x14ac:dyDescent="0.35">
      <c r="A86" s="292"/>
      <c r="B86" s="302"/>
      <c r="C86" s="303"/>
      <c r="D86" s="303"/>
      <c r="E86" s="303"/>
      <c r="F86" s="303"/>
      <c r="G86" s="303"/>
      <c r="H86" s="303"/>
      <c r="I86" s="295"/>
      <c r="J86" s="295"/>
      <c r="K86" s="295"/>
      <c r="L86" s="295"/>
    </row>
    <row r="87" spans="1:12" s="14" customFormat="1" ht="18" x14ac:dyDescent="0.35">
      <c r="A87" s="292" t="s">
        <v>56</v>
      </c>
      <c r="B87" s="304">
        <f>B84/B85</f>
        <v>0.93481813230042976</v>
      </c>
      <c r="C87" s="282" t="s">
        <v>57</v>
      </c>
      <c r="D87" s="282"/>
      <c r="E87" s="282"/>
      <c r="F87" s="282"/>
      <c r="G87" s="282"/>
      <c r="I87" s="295"/>
      <c r="J87" s="295"/>
      <c r="K87" s="295"/>
      <c r="L87" s="295"/>
    </row>
    <row r="88" spans="1:12" ht="19.5" customHeight="1" x14ac:dyDescent="0.35">
      <c r="A88" s="290"/>
      <c r="B88" s="290"/>
    </row>
    <row r="89" spans="1:12" ht="27" customHeight="1" x14ac:dyDescent="0.45">
      <c r="A89" s="305" t="s">
        <v>58</v>
      </c>
      <c r="B89" s="306">
        <v>25</v>
      </c>
      <c r="D89" s="392" t="s">
        <v>59</v>
      </c>
      <c r="E89" s="393"/>
      <c r="F89" s="693" t="s">
        <v>60</v>
      </c>
      <c r="G89" s="694"/>
    </row>
    <row r="90" spans="1:12" ht="27" customHeight="1" x14ac:dyDescent="0.45">
      <c r="A90" s="307" t="s">
        <v>61</v>
      </c>
      <c r="B90" s="308">
        <v>4</v>
      </c>
      <c r="C90" s="394" t="s">
        <v>62</v>
      </c>
      <c r="D90" s="310" t="s">
        <v>63</v>
      </c>
      <c r="E90" s="311" t="s">
        <v>64</v>
      </c>
      <c r="F90" s="310" t="s">
        <v>63</v>
      </c>
      <c r="G90" s="395" t="s">
        <v>64</v>
      </c>
      <c r="I90" s="313" t="s">
        <v>65</v>
      </c>
    </row>
    <row r="91" spans="1:12" ht="26.25" customHeight="1" x14ac:dyDescent="0.45">
      <c r="A91" s="307" t="s">
        <v>66</v>
      </c>
      <c r="B91" s="308">
        <v>200</v>
      </c>
      <c r="C91" s="396">
        <v>1</v>
      </c>
      <c r="D91" s="315"/>
      <c r="E91" s="316" t="str">
        <f>IF(ISBLANK(D91),"-",$D$101/$D$98*D91)</f>
        <v>-</v>
      </c>
      <c r="F91" s="315"/>
      <c r="G91" s="317" t="str">
        <f>IF(ISBLANK(F91),"-",$D$101/$F$98*F91)</f>
        <v>-</v>
      </c>
      <c r="I91" s="318"/>
    </row>
    <row r="92" spans="1:12" ht="26.25" customHeight="1" x14ac:dyDescent="0.45">
      <c r="A92" s="307" t="s">
        <v>67</v>
      </c>
      <c r="B92" s="308">
        <v>1</v>
      </c>
      <c r="C92" s="380">
        <v>2</v>
      </c>
      <c r="D92" s="320"/>
      <c r="E92" s="321" t="str">
        <f>IF(ISBLANK(D92),"-",$D$101/$D$98*D92)</f>
        <v>-</v>
      </c>
      <c r="F92" s="320"/>
      <c r="G92" s="322" t="str">
        <f>IF(ISBLANK(F92),"-",$D$101/$F$98*F92)</f>
        <v>-</v>
      </c>
      <c r="I92" s="695" t="e">
        <f>ABS((F96/D96*D95)-F95)/D95</f>
        <v>#DIV/0!</v>
      </c>
    </row>
    <row r="93" spans="1:12" ht="26.25" customHeight="1" x14ac:dyDescent="0.45">
      <c r="A93" s="307" t="s">
        <v>68</v>
      </c>
      <c r="B93" s="308">
        <v>1</v>
      </c>
      <c r="C93" s="380">
        <v>3</v>
      </c>
      <c r="D93" s="320"/>
      <c r="E93" s="321" t="str">
        <f>IF(ISBLANK(D93),"-",$D$101/$D$98*D93)</f>
        <v>-</v>
      </c>
      <c r="F93" s="320"/>
      <c r="G93" s="322" t="str">
        <f>IF(ISBLANK(F93),"-",$D$101/$F$98*F93)</f>
        <v>-</v>
      </c>
      <c r="I93" s="695"/>
    </row>
    <row r="94" spans="1:12" ht="27" customHeight="1" x14ac:dyDescent="0.45">
      <c r="A94" s="307" t="s">
        <v>69</v>
      </c>
      <c r="B94" s="308">
        <v>1</v>
      </c>
      <c r="C94" s="397">
        <v>4</v>
      </c>
      <c r="D94" s="325"/>
      <c r="E94" s="326" t="str">
        <f>IF(ISBLANK(D94),"-",$D$101/$D$98*D94)</f>
        <v>-</v>
      </c>
      <c r="F94" s="398"/>
      <c r="G94" s="327" t="str">
        <f>IF(ISBLANK(F94),"-",$D$101/$F$98*F94)</f>
        <v>-</v>
      </c>
      <c r="I94" s="328"/>
    </row>
    <row r="95" spans="1:12" ht="27" customHeight="1" x14ac:dyDescent="0.45">
      <c r="A95" s="307" t="s">
        <v>70</v>
      </c>
      <c r="B95" s="308">
        <v>1</v>
      </c>
      <c r="C95" s="399" t="s">
        <v>71</v>
      </c>
      <c r="D95" s="400" t="e">
        <f>AVERAGE(D91:D94)</f>
        <v>#DIV/0!</v>
      </c>
      <c r="E95" s="331" t="e">
        <f>AVERAGE(E91:E94)</f>
        <v>#DIV/0!</v>
      </c>
      <c r="F95" s="401" t="e">
        <f>AVERAGE(F91:F94)</f>
        <v>#DIV/0!</v>
      </c>
      <c r="G95" s="402" t="e">
        <f>AVERAGE(G91:G94)</f>
        <v>#DIV/0!</v>
      </c>
    </row>
    <row r="96" spans="1:12" ht="26.25" customHeight="1" x14ac:dyDescent="0.45">
      <c r="A96" s="307" t="s">
        <v>72</v>
      </c>
      <c r="B96" s="293">
        <v>1</v>
      </c>
      <c r="C96" s="403" t="s">
        <v>113</v>
      </c>
      <c r="D96" s="404">
        <v>25.12</v>
      </c>
      <c r="E96" s="323"/>
      <c r="F96" s="335">
        <v>25.78</v>
      </c>
    </row>
    <row r="97" spans="1:10" ht="26.25" customHeight="1" x14ac:dyDescent="0.45">
      <c r="A97" s="307" t="s">
        <v>74</v>
      </c>
      <c r="B97" s="293">
        <v>1</v>
      </c>
      <c r="C97" s="405" t="s">
        <v>114</v>
      </c>
      <c r="D97" s="406">
        <f>D96*$B$87</f>
        <v>23.482631483386797</v>
      </c>
      <c r="E97" s="338"/>
      <c r="F97" s="337">
        <f>F96*$B$87</f>
        <v>24.09961145070508</v>
      </c>
    </row>
    <row r="98" spans="1:10" ht="19.5" customHeight="1" x14ac:dyDescent="0.35">
      <c r="A98" s="307" t="s">
        <v>76</v>
      </c>
      <c r="B98" s="407">
        <f>(B97/B96)*(B95/B94)*(B93/B92)*(B91/B90)*B89</f>
        <v>1250</v>
      </c>
      <c r="C98" s="405" t="s">
        <v>115</v>
      </c>
      <c r="D98" s="408">
        <f>D97*$B$83/100</f>
        <v>23.341735694486477</v>
      </c>
      <c r="E98" s="341"/>
      <c r="F98" s="340">
        <f>F97*$B$83/100</f>
        <v>23.955013782000851</v>
      </c>
    </row>
    <row r="99" spans="1:10" ht="19.5" customHeight="1" x14ac:dyDescent="0.35">
      <c r="A99" s="681" t="s">
        <v>78</v>
      </c>
      <c r="B99" s="696"/>
      <c r="C99" s="405" t="s">
        <v>116</v>
      </c>
      <c r="D99" s="409">
        <f>D98/$B$98</f>
        <v>1.8673388555589181E-2</v>
      </c>
      <c r="E99" s="341"/>
      <c r="F99" s="344">
        <f>F98/$B$98</f>
        <v>1.9164011025600679E-2</v>
      </c>
      <c r="G99" s="410"/>
      <c r="H99" s="333"/>
    </row>
    <row r="100" spans="1:10" ht="19.5" customHeight="1" x14ac:dyDescent="0.35">
      <c r="A100" s="683"/>
      <c r="B100" s="697"/>
      <c r="C100" s="405" t="s">
        <v>80</v>
      </c>
      <c r="D100" s="411">
        <f>$B$56/$B$116</f>
        <v>6.6666666666666671E-3</v>
      </c>
      <c r="F100" s="349"/>
      <c r="G100" s="412"/>
      <c r="H100" s="333"/>
    </row>
    <row r="101" spans="1:10" ht="18" x14ac:dyDescent="0.35">
      <c r="C101" s="405" t="s">
        <v>81</v>
      </c>
      <c r="D101" s="406">
        <f>D100*$B$98</f>
        <v>8.3333333333333339</v>
      </c>
      <c r="F101" s="349"/>
      <c r="G101" s="410"/>
      <c r="H101" s="333"/>
    </row>
    <row r="102" spans="1:10" ht="19.5" customHeight="1" x14ac:dyDescent="0.35">
      <c r="C102" s="413" t="s">
        <v>82</v>
      </c>
      <c r="D102" s="414">
        <f>D101/B34</f>
        <v>8.3333333333333339</v>
      </c>
      <c r="F102" s="353"/>
      <c r="G102" s="410"/>
      <c r="H102" s="333"/>
      <c r="J102" s="415"/>
    </row>
    <row r="103" spans="1:10" ht="18" x14ac:dyDescent="0.35">
      <c r="C103" s="416" t="s">
        <v>117</v>
      </c>
      <c r="D103" s="417" t="e">
        <f>AVERAGE(E91:E94,G91:G94)</f>
        <v>#DIV/0!</v>
      </c>
      <c r="F103" s="353"/>
      <c r="G103" s="418"/>
      <c r="H103" s="333"/>
      <c r="J103" s="419"/>
    </row>
    <row r="104" spans="1:10" ht="18" x14ac:dyDescent="0.35">
      <c r="C104" s="383" t="s">
        <v>84</v>
      </c>
      <c r="D104" s="420" t="e">
        <f>STDEV(E91:E94,G91:G94)/D103</f>
        <v>#DIV/0!</v>
      </c>
      <c r="F104" s="353"/>
      <c r="G104" s="410"/>
      <c r="H104" s="333"/>
      <c r="J104" s="419"/>
    </row>
    <row r="105" spans="1:10" ht="19.5" customHeight="1" x14ac:dyDescent="0.35">
      <c r="C105" s="385" t="s">
        <v>20</v>
      </c>
      <c r="D105" s="421">
        <f>COUNT(E91:E94,G91:G94)</f>
        <v>0</v>
      </c>
      <c r="F105" s="353"/>
      <c r="G105" s="410"/>
      <c r="H105" s="333"/>
      <c r="J105" s="419"/>
    </row>
    <row r="106" spans="1:10" ht="19.5" customHeight="1" x14ac:dyDescent="0.35">
      <c r="A106" s="357"/>
      <c r="B106" s="357"/>
      <c r="C106" s="357"/>
      <c r="D106" s="357"/>
      <c r="E106" s="357"/>
    </row>
    <row r="107" spans="1:10" ht="26.25" customHeight="1" x14ac:dyDescent="0.45">
      <c r="A107" s="305" t="s">
        <v>118</v>
      </c>
      <c r="B107" s="306">
        <v>900</v>
      </c>
      <c r="C107" s="422" t="s">
        <v>119</v>
      </c>
      <c r="D107" s="423" t="s">
        <v>63</v>
      </c>
      <c r="E107" s="424" t="s">
        <v>120</v>
      </c>
      <c r="F107" s="425" t="s">
        <v>121</v>
      </c>
    </row>
    <row r="108" spans="1:10" ht="26.25" customHeight="1" x14ac:dyDescent="0.45">
      <c r="A108" s="307" t="s">
        <v>122</v>
      </c>
      <c r="B108" s="308">
        <v>5</v>
      </c>
      <c r="C108" s="426">
        <v>1</v>
      </c>
      <c r="D108" s="427"/>
      <c r="E108" s="458" t="str">
        <f t="shared" ref="E108:E113" si="1">IF(ISBLANK(D108),"-",D108/$D$103*$D$100*$B$116)</f>
        <v>-</v>
      </c>
      <c r="F108" s="428" t="str">
        <f t="shared" ref="F108:F113" si="2">IF(ISBLANK(D108), "-", E108/$B$56)</f>
        <v>-</v>
      </c>
    </row>
    <row r="109" spans="1:10" ht="26.25" customHeight="1" x14ac:dyDescent="0.45">
      <c r="A109" s="307" t="s">
        <v>95</v>
      </c>
      <c r="B109" s="308">
        <v>50</v>
      </c>
      <c r="C109" s="426">
        <v>2</v>
      </c>
      <c r="D109" s="427"/>
      <c r="E109" s="459" t="str">
        <f t="shared" si="1"/>
        <v>-</v>
      </c>
      <c r="F109" s="429" t="str">
        <f t="shared" si="2"/>
        <v>-</v>
      </c>
    </row>
    <row r="110" spans="1:10" ht="26.25" customHeight="1" x14ac:dyDescent="0.45">
      <c r="A110" s="307" t="s">
        <v>96</v>
      </c>
      <c r="B110" s="308">
        <v>1</v>
      </c>
      <c r="C110" s="426">
        <v>3</v>
      </c>
      <c r="D110" s="427"/>
      <c r="E110" s="459" t="str">
        <f t="shared" si="1"/>
        <v>-</v>
      </c>
      <c r="F110" s="429" t="str">
        <f t="shared" si="2"/>
        <v>-</v>
      </c>
    </row>
    <row r="111" spans="1:10" ht="26.25" customHeight="1" x14ac:dyDescent="0.45">
      <c r="A111" s="307" t="s">
        <v>97</v>
      </c>
      <c r="B111" s="308">
        <v>1</v>
      </c>
      <c r="C111" s="426">
        <v>4</v>
      </c>
      <c r="D111" s="427"/>
      <c r="E111" s="459" t="str">
        <f t="shared" si="1"/>
        <v>-</v>
      </c>
      <c r="F111" s="429" t="str">
        <f t="shared" si="2"/>
        <v>-</v>
      </c>
    </row>
    <row r="112" spans="1:10" ht="26.25" customHeight="1" x14ac:dyDescent="0.45">
      <c r="A112" s="307" t="s">
        <v>98</v>
      </c>
      <c r="B112" s="308">
        <v>1</v>
      </c>
      <c r="C112" s="426">
        <v>5</v>
      </c>
      <c r="D112" s="427"/>
      <c r="E112" s="459" t="str">
        <f t="shared" si="1"/>
        <v>-</v>
      </c>
      <c r="F112" s="429" t="str">
        <f t="shared" si="2"/>
        <v>-</v>
      </c>
    </row>
    <row r="113" spans="1:10" ht="26.25" customHeight="1" x14ac:dyDescent="0.45">
      <c r="A113" s="307" t="s">
        <v>100</v>
      </c>
      <c r="B113" s="308">
        <v>1</v>
      </c>
      <c r="C113" s="430">
        <v>6</v>
      </c>
      <c r="D113" s="431"/>
      <c r="E113" s="460" t="str">
        <f t="shared" si="1"/>
        <v>-</v>
      </c>
      <c r="F113" s="432" t="str">
        <f t="shared" si="2"/>
        <v>-</v>
      </c>
    </row>
    <row r="114" spans="1:10" ht="26.25" customHeight="1" x14ac:dyDescent="0.45">
      <c r="A114" s="307" t="s">
        <v>101</v>
      </c>
      <c r="B114" s="308">
        <v>1</v>
      </c>
      <c r="C114" s="426"/>
      <c r="D114" s="380"/>
      <c r="E114" s="281"/>
      <c r="F114" s="433"/>
    </row>
    <row r="115" spans="1:10" ht="26.25" customHeight="1" x14ac:dyDescent="0.45">
      <c r="A115" s="307" t="s">
        <v>102</v>
      </c>
      <c r="B115" s="308">
        <v>1</v>
      </c>
      <c r="C115" s="426"/>
      <c r="D115" s="434" t="s">
        <v>71</v>
      </c>
      <c r="E115" s="462" t="e">
        <f>AVERAGE(E108:E113)</f>
        <v>#DIV/0!</v>
      </c>
      <c r="F115" s="435" t="e">
        <f>AVERAGE(F108:F113)</f>
        <v>#DIV/0!</v>
      </c>
    </row>
    <row r="116" spans="1:10" ht="27" customHeight="1" x14ac:dyDescent="0.45">
      <c r="A116" s="307" t="s">
        <v>103</v>
      </c>
      <c r="B116" s="339">
        <f>(B115/B114)*(B113/B112)*(B111/B110)*(B109/B108)*B107</f>
        <v>9000</v>
      </c>
      <c r="C116" s="436"/>
      <c r="D116" s="399" t="s">
        <v>84</v>
      </c>
      <c r="E116" s="437" t="e">
        <f>STDEV(E108:E113)/E115</f>
        <v>#DIV/0!</v>
      </c>
      <c r="F116" s="437" t="e">
        <f>STDEV(F108:F113)/F115</f>
        <v>#DIV/0!</v>
      </c>
      <c r="I116" s="281"/>
    </row>
    <row r="117" spans="1:10" ht="27" customHeight="1" x14ac:dyDescent="0.45">
      <c r="A117" s="681" t="s">
        <v>78</v>
      </c>
      <c r="B117" s="682"/>
      <c r="C117" s="438"/>
      <c r="D117" s="439" t="s">
        <v>20</v>
      </c>
      <c r="E117" s="440">
        <f>COUNT(E108:E113)</f>
        <v>0</v>
      </c>
      <c r="F117" s="440">
        <f>COUNT(F108:F113)</f>
        <v>0</v>
      </c>
      <c r="I117" s="281"/>
      <c r="J117" s="419"/>
    </row>
    <row r="118" spans="1:10" ht="19.5" customHeight="1" x14ac:dyDescent="0.35">
      <c r="A118" s="683"/>
      <c r="B118" s="684"/>
      <c r="C118" s="281"/>
      <c r="D118" s="281"/>
      <c r="E118" s="281"/>
      <c r="F118" s="380"/>
      <c r="G118" s="281"/>
      <c r="H118" s="281"/>
      <c r="I118" s="281"/>
    </row>
    <row r="119" spans="1:10" ht="18" x14ac:dyDescent="0.35">
      <c r="A119" s="449"/>
      <c r="B119" s="303"/>
      <c r="C119" s="281"/>
      <c r="D119" s="281"/>
      <c r="E119" s="281"/>
      <c r="F119" s="380"/>
      <c r="G119" s="281"/>
      <c r="H119" s="281"/>
      <c r="I119" s="281"/>
    </row>
    <row r="120" spans="1:10" ht="26.25" customHeight="1" x14ac:dyDescent="0.45">
      <c r="A120" s="291" t="s">
        <v>106</v>
      </c>
      <c r="B120" s="387" t="s">
        <v>123</v>
      </c>
      <c r="C120" s="685" t="str">
        <f>B20</f>
        <v>Lamivudine     Nevirapine and Zidovudine</v>
      </c>
      <c r="D120" s="685"/>
      <c r="E120" s="388" t="s">
        <v>124</v>
      </c>
      <c r="F120" s="388"/>
      <c r="G120" s="389" t="e">
        <f>F115</f>
        <v>#DIV/0!</v>
      </c>
      <c r="H120" s="281"/>
      <c r="I120" s="281"/>
    </row>
    <row r="121" spans="1:10" ht="19.5" customHeight="1" x14ac:dyDescent="0.35">
      <c r="A121" s="441"/>
      <c r="B121" s="441"/>
      <c r="C121" s="442"/>
      <c r="D121" s="442"/>
      <c r="E121" s="442"/>
      <c r="F121" s="442"/>
      <c r="G121" s="442"/>
      <c r="H121" s="442"/>
    </row>
    <row r="122" spans="1:10" ht="18" x14ac:dyDescent="0.35">
      <c r="B122" s="686" t="s">
        <v>26</v>
      </c>
      <c r="C122" s="686"/>
      <c r="E122" s="394" t="s">
        <v>27</v>
      </c>
      <c r="F122" s="443"/>
      <c r="G122" s="686" t="s">
        <v>28</v>
      </c>
      <c r="H122" s="686"/>
    </row>
    <row r="123" spans="1:10" ht="69.900000000000006" customHeight="1" x14ac:dyDescent="0.35">
      <c r="A123" s="444" t="s">
        <v>29</v>
      </c>
      <c r="B123" s="445"/>
      <c r="C123" s="445"/>
      <c r="E123" s="445"/>
      <c r="F123" s="281"/>
      <c r="G123" s="446"/>
      <c r="H123" s="446"/>
    </row>
    <row r="124" spans="1:10" ht="69.900000000000006" customHeight="1" x14ac:dyDescent="0.35">
      <c r="A124" s="444" t="s">
        <v>30</v>
      </c>
      <c r="B124" s="447"/>
      <c r="C124" s="447"/>
      <c r="E124" s="447"/>
      <c r="F124" s="281"/>
      <c r="G124" s="448"/>
      <c r="H124" s="448"/>
    </row>
    <row r="125" spans="1:10" ht="18" x14ac:dyDescent="0.35">
      <c r="A125" s="379"/>
      <c r="B125" s="379"/>
      <c r="C125" s="380"/>
      <c r="D125" s="380"/>
      <c r="E125" s="380"/>
      <c r="F125" s="384"/>
      <c r="G125" s="380"/>
      <c r="H125" s="380"/>
      <c r="I125" s="281"/>
    </row>
    <row r="126" spans="1:10" ht="18" x14ac:dyDescent="0.35">
      <c r="A126" s="379"/>
      <c r="B126" s="379"/>
      <c r="C126" s="380"/>
      <c r="D126" s="380"/>
      <c r="E126" s="380"/>
      <c r="F126" s="384"/>
      <c r="G126" s="380"/>
      <c r="H126" s="380"/>
      <c r="I126" s="281"/>
    </row>
    <row r="127" spans="1:10" ht="18" x14ac:dyDescent="0.35">
      <c r="A127" s="379"/>
      <c r="B127" s="379"/>
      <c r="C127" s="380"/>
      <c r="D127" s="380"/>
      <c r="E127" s="380"/>
      <c r="F127" s="384"/>
      <c r="G127" s="380"/>
      <c r="H127" s="380"/>
      <c r="I127" s="281"/>
    </row>
    <row r="128" spans="1:10" ht="18" x14ac:dyDescent="0.35">
      <c r="A128" s="379"/>
      <c r="B128" s="379"/>
      <c r="C128" s="380"/>
      <c r="D128" s="380"/>
      <c r="E128" s="380"/>
      <c r="F128" s="384"/>
      <c r="G128" s="380"/>
      <c r="H128" s="380"/>
      <c r="I128" s="281"/>
    </row>
    <row r="129" spans="1:9" ht="18" x14ac:dyDescent="0.35">
      <c r="A129" s="379"/>
      <c r="B129" s="379"/>
      <c r="C129" s="380"/>
      <c r="D129" s="380"/>
      <c r="E129" s="380"/>
      <c r="F129" s="384"/>
      <c r="G129" s="380"/>
      <c r="H129" s="380"/>
      <c r="I129" s="281"/>
    </row>
    <row r="130" spans="1:9" ht="18" x14ac:dyDescent="0.35">
      <c r="A130" s="379"/>
      <c r="B130" s="379"/>
      <c r="C130" s="380"/>
      <c r="D130" s="380"/>
      <c r="E130" s="380"/>
      <c r="F130" s="384"/>
      <c r="G130" s="380"/>
      <c r="H130" s="380"/>
      <c r="I130" s="281"/>
    </row>
    <row r="131" spans="1:9" ht="18" x14ac:dyDescent="0.35">
      <c r="A131" s="379"/>
      <c r="B131" s="379"/>
      <c r="C131" s="380"/>
      <c r="D131" s="380"/>
      <c r="E131" s="380"/>
      <c r="F131" s="384"/>
      <c r="G131" s="380"/>
      <c r="H131" s="380"/>
      <c r="I131" s="281"/>
    </row>
    <row r="132" spans="1:9" ht="18" x14ac:dyDescent="0.35">
      <c r="A132" s="379"/>
      <c r="B132" s="379"/>
      <c r="C132" s="380"/>
      <c r="D132" s="380"/>
      <c r="E132" s="380"/>
      <c r="F132" s="384"/>
      <c r="G132" s="380"/>
      <c r="H132" s="380"/>
      <c r="I132" s="281"/>
    </row>
    <row r="133" spans="1:9" ht="18" x14ac:dyDescent="0.35">
      <c r="A133" s="379"/>
      <c r="B133" s="379"/>
      <c r="C133" s="380"/>
      <c r="D133" s="380"/>
      <c r="E133" s="380"/>
      <c r="F133" s="384"/>
      <c r="G133" s="380"/>
      <c r="H133" s="380"/>
      <c r="I133" s="281"/>
    </row>
    <row r="250" spans="1:1" x14ac:dyDescent="0.3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SST(zid)</vt:lpstr>
      <vt:lpstr>SST(nev)</vt:lpstr>
      <vt:lpstr>SST(lam)</vt:lpstr>
      <vt:lpstr>Uniformity</vt:lpstr>
      <vt:lpstr>Uniformity (3TC)</vt:lpstr>
      <vt:lpstr>Lamivudine</vt:lpstr>
      <vt:lpstr>Nevirapine</vt:lpstr>
      <vt:lpstr>Zidovudine</vt:lpstr>
      <vt:lpstr>Lamivudine!Print_Area</vt:lpstr>
      <vt:lpstr>Uniformity!Print_Area</vt:lpstr>
      <vt:lpstr>'Uniformity (3TC)'!Print_Area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2016-07-06T09:55:48Z</cp:lastPrinted>
  <dcterms:created xsi:type="dcterms:W3CDTF">2005-07-05T10:19:27Z</dcterms:created>
  <dcterms:modified xsi:type="dcterms:W3CDTF">2017-05-20T14:37:52Z</dcterms:modified>
</cp:coreProperties>
</file>