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28" windowWidth="15012" windowHeight="9912" activeTab="1"/>
  </bookViews>
  <sheets>
    <sheet name="SST" sheetId="1" r:id="rId1"/>
    <sheet name="Isoniazid" sheetId="2" r:id="rId2"/>
    <sheet name="Uniformity" sheetId="3" r:id="rId3"/>
  </sheets>
  <definedNames>
    <definedName name="_xlnm.Print_Area" localSheetId="1">Isoniazid!$A$1:$I$125</definedName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H73" i="2" l="1"/>
  <c r="H72" i="2"/>
  <c r="E51" i="2"/>
  <c r="F46" i="2"/>
  <c r="F45" i="2"/>
  <c r="D100" i="2"/>
  <c r="F44" i="2"/>
  <c r="D46" i="2"/>
  <c r="E38" i="2"/>
  <c r="G42" i="2"/>
  <c r="E42" i="2"/>
  <c r="B32" i="1"/>
  <c r="B30" i="1"/>
  <c r="B57" i="2" l="1"/>
  <c r="B21" i="1"/>
  <c r="C46" i="3"/>
  <c r="D50" i="3" s="1"/>
  <c r="C45" i="3"/>
  <c r="D37" i="3"/>
  <c r="D33" i="3"/>
  <c r="D29" i="3"/>
  <c r="D25" i="3"/>
  <c r="C19" i="3"/>
  <c r="C120" i="2"/>
  <c r="B116" i="2"/>
  <c r="B98" i="2"/>
  <c r="F95" i="2"/>
  <c r="D95" i="2"/>
  <c r="B87" i="2"/>
  <c r="F97" i="2" s="1"/>
  <c r="B81" i="2"/>
  <c r="B83" i="2" s="1"/>
  <c r="B80" i="2"/>
  <c r="B79" i="2"/>
  <c r="C76" i="2"/>
  <c r="B68" i="2"/>
  <c r="B69" i="2" s="1"/>
  <c r="C56" i="2"/>
  <c r="B55" i="2"/>
  <c r="B45" i="2"/>
  <c r="D48" i="2" s="1"/>
  <c r="F42" i="2"/>
  <c r="D42" i="2"/>
  <c r="B34" i="2"/>
  <c r="B30" i="2"/>
  <c r="B53" i="1"/>
  <c r="E51" i="1"/>
  <c r="D51" i="1"/>
  <c r="C51" i="1"/>
  <c r="B51" i="1"/>
  <c r="B52" i="1" s="1"/>
  <c r="E30" i="1"/>
  <c r="D30" i="1"/>
  <c r="C30" i="1"/>
  <c r="B31" i="1"/>
  <c r="I92" i="2" l="1"/>
  <c r="D101" i="2"/>
  <c r="D102" i="2" s="1"/>
  <c r="D97" i="2"/>
  <c r="D98" i="2" s="1"/>
  <c r="I39" i="2"/>
  <c r="D49" i="2"/>
  <c r="F98" i="2"/>
  <c r="D44" i="2"/>
  <c r="D45" i="2" s="1"/>
  <c r="E94" i="2"/>
  <c r="D27" i="3"/>
  <c r="D31" i="3"/>
  <c r="D35" i="3"/>
  <c r="D39" i="3"/>
  <c r="D43" i="3"/>
  <c r="C49" i="3"/>
  <c r="D24" i="3"/>
  <c r="D28" i="3"/>
  <c r="D32" i="3"/>
  <c r="D36" i="3"/>
  <c r="D40" i="3"/>
  <c r="D49" i="3"/>
  <c r="D41" i="3"/>
  <c r="C50" i="3"/>
  <c r="D26" i="3"/>
  <c r="D30" i="3"/>
  <c r="D34" i="3"/>
  <c r="D38" i="3"/>
  <c r="D42" i="3"/>
  <c r="B49" i="3"/>
  <c r="E91" i="2" l="1"/>
  <c r="E92" i="2"/>
  <c r="G94" i="2"/>
  <c r="G40" i="2"/>
  <c r="G41" i="2"/>
  <c r="G38" i="2"/>
  <c r="G39" i="2"/>
  <c r="G91" i="2"/>
  <c r="F99" i="2"/>
  <c r="E41" i="2"/>
  <c r="E39" i="2"/>
  <c r="G93" i="2"/>
  <c r="G92" i="2"/>
  <c r="E40" i="2"/>
  <c r="D99" i="2"/>
  <c r="E93" i="2"/>
  <c r="D103" i="2" l="1"/>
  <c r="E112" i="2" s="1"/>
  <c r="F112" i="2" s="1"/>
  <c r="G95" i="2"/>
  <c r="D105" i="2"/>
  <c r="E95" i="2"/>
  <c r="D52" i="2"/>
  <c r="D50" i="2"/>
  <c r="E113" i="2" l="1"/>
  <c r="F113" i="2" s="1"/>
  <c r="D104" i="2"/>
  <c r="E108" i="2"/>
  <c r="E109" i="2"/>
  <c r="F109" i="2" s="1"/>
  <c r="E110" i="2"/>
  <c r="F110" i="2" s="1"/>
  <c r="E111" i="2"/>
  <c r="F111" i="2" s="1"/>
  <c r="G68" i="2"/>
  <c r="H68" i="2" s="1"/>
  <c r="G69" i="2"/>
  <c r="H69" i="2" s="1"/>
  <c r="G66" i="2"/>
  <c r="H66" i="2" s="1"/>
  <c r="G64" i="2"/>
  <c r="H64" i="2" s="1"/>
  <c r="G62" i="2"/>
  <c r="H62" i="2" s="1"/>
  <c r="D51" i="2"/>
  <c r="G71" i="2"/>
  <c r="H71" i="2" s="1"/>
  <c r="G60" i="2"/>
  <c r="G70" i="2"/>
  <c r="H70" i="2" s="1"/>
  <c r="G67" i="2"/>
  <c r="H67" i="2" s="1"/>
  <c r="G65" i="2"/>
  <c r="H65" i="2" s="1"/>
  <c r="G63" i="2"/>
  <c r="H63" i="2" s="1"/>
  <c r="G61" i="2"/>
  <c r="H61" i="2" s="1"/>
  <c r="E115" i="2" l="1"/>
  <c r="E116" i="2" s="1"/>
  <c r="E117" i="2"/>
  <c r="F108" i="2"/>
  <c r="F117" i="2" s="1"/>
  <c r="H60" i="2"/>
  <c r="G74" i="2"/>
  <c r="G72" i="2"/>
  <c r="G73" i="2" s="1"/>
  <c r="F115" i="2" l="1"/>
  <c r="G120" i="2" s="1"/>
  <c r="H74" i="2"/>
  <c r="F116" i="2" l="1"/>
  <c r="G76" i="2"/>
</calcChain>
</file>

<file path=xl/sharedStrings.xml><?xml version="1.0" encoding="utf-8"?>
<sst xmlns="http://schemas.openxmlformats.org/spreadsheetml/2006/main" count="232" uniqueCount="127">
  <si>
    <t>HPLC System Suitability Report</t>
  </si>
  <si>
    <t>Analysis Data</t>
  </si>
  <si>
    <t>Assay</t>
  </si>
  <si>
    <t>Sample(s)</t>
  </si>
  <si>
    <t>Reference Substance:</t>
  </si>
  <si>
    <t>ISONIAZID TABLETS BP 100 MG</t>
  </si>
  <si>
    <t>% age Purity:</t>
  </si>
  <si>
    <t>NDQD2016061069</t>
  </si>
  <si>
    <t>Weight (mg):</t>
  </si>
  <si>
    <t>Isoniazid BP</t>
  </si>
  <si>
    <t>Standard Conc (mg/mL):</t>
  </si>
  <si>
    <t>Each tablet contains: Isoniazid B.P 100 mg</t>
  </si>
  <si>
    <t>2016-06-10 07:33:51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</si>
  <si>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</si>
  <si>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</si>
  <si>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</si>
  <si>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</si>
  <si>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</si>
  <si>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</si>
  <si>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</si>
  <si>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</si>
  <si>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</si>
  <si>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</si>
  <si>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</si>
  <si>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</si>
  <si>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</si>
  <si>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</si>
  <si>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</si>
  <si>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</si>
  <si>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</si>
  <si>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</si>
  <si>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</si>
  <si>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</si>
  <si>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</si>
  <si>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</si>
  <si>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</si>
  <si>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</si>
  <si>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</si>
  <si>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</si>
  <si>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</si>
  <si>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</si>
  <si>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</si>
  <si>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</si>
  <si>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</si>
  <si>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</si>
  <si>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</si>
  <si>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</si>
  <si>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</si>
  <si>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</si>
  <si>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</si>
  <si>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</si>
  <si>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</si>
  <si>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</si>
  <si>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</si>
  <si>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</si>
  <si>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</si>
  <si>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</si>
  <si>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</si>
  <si>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</si>
  <si>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</si>
  <si>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</si>
  <si>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</si>
  <si>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</si>
  <si>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</si>
  <si>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</si>
  <si>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</si>
  <si>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</si>
  <si>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</si>
  <si>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</si>
  <si>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</si>
  <si>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</si>
  <si>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</si>
  <si>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</si>
  <si>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</si>
  <si>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</si>
  <si>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</si>
  <si>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</si>
  <si>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</si>
  <si>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</si>
  <si>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</si>
  <si>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</si>
  <si>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</si>
  <si>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</si>
  <si>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</si>
  <si>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</si>
  <si>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</si>
  <si>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</si>
  <si>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</si>
  <si>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</si>
  <si>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</si>
  <si>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</si>
  <si>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</si>
  <si>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</si>
  <si>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</si>
  <si>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</si>
  <si>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</si>
  <si>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</si>
  <si>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</si>
  <si>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</si>
  <si>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</si>
  <si>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</si>
  <si>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</si>
  <si>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</si>
  <si>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</si>
  <si>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</si>
  <si>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</si>
  <si>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</si>
  <si>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</si>
  <si>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</si>
  <si>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</si>
  <si>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</si>
  <si>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</si>
  <si>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</si>
  <si>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</si>
  <si>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</si>
  <si>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</si>
  <si>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Uniformity of Weight Test Report</t>
  </si>
  <si>
    <t>Uniformity of weight</t>
  </si>
  <si>
    <t>Tablet weight (mg)</t>
  </si>
  <si>
    <t>% Deviation</t>
  </si>
  <si>
    <t>Total</t>
  </si>
  <si>
    <t>Average</t>
  </si>
  <si>
    <t>% Deviation from mean</t>
  </si>
  <si>
    <t>ISONIAZID</t>
  </si>
  <si>
    <t>I8-2</t>
  </si>
  <si>
    <t xml:space="preserve">Average Normalised Response: </t>
  </si>
  <si>
    <t>Tablet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</si>
</sst>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[$-409]d/mmm/yy;@"/>
    <numFmt numFmtId="174" formatCode="0.0"/>
  </numFmts>
  <fonts count="27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10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10" fontId="8" fillId="2" borderId="23" xfId="0" applyNumberFormat="1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/>
    </xf>
    <xf numFmtId="10" fontId="8" fillId="2" borderId="40" xfId="0" applyNumberFormat="1" applyFont="1" applyFill="1" applyBorder="1" applyAlignment="1">
      <alignment horizontal="center" vertic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41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10" fontId="8" fillId="2" borderId="30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10" fontId="10" fillId="7" borderId="26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/>
    </xf>
    <xf numFmtId="0" fontId="9" fillId="2" borderId="51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10" fontId="8" fillId="2" borderId="22" xfId="0" applyNumberFormat="1" applyFont="1" applyFill="1" applyBorder="1" applyAlignment="1">
      <alignment horizontal="center"/>
    </xf>
    <xf numFmtId="10" fontId="8" fillId="2" borderId="25" xfId="0" applyNumberFormat="1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10" fontId="8" fillId="2" borderId="29" xfId="0" applyNumberFormat="1" applyFont="1" applyFill="1" applyBorder="1" applyAlignment="1">
      <alignment horizontal="center"/>
    </xf>
    <xf numFmtId="2" fontId="8" fillId="2" borderId="15" xfId="0" applyNumberFormat="1" applyFont="1" applyFill="1" applyBorder="1" applyAlignment="1">
      <alignment horizontal="center"/>
    </xf>
    <xf numFmtId="10" fontId="10" fillId="7" borderId="18" xfId="0" applyNumberFormat="1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10" fillId="7" borderId="3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3" xfId="0" applyNumberFormat="1" applyFont="1" applyFill="1" applyBorder="1" applyAlignment="1">
      <alignment horizontal="center"/>
    </xf>
    <xf numFmtId="170" fontId="8" fillId="2" borderId="17" xfId="0" applyNumberFormat="1" applyFont="1" applyFill="1" applyBorder="1" applyAlignment="1">
      <alignment horizontal="center"/>
    </xf>
    <xf numFmtId="170" fontId="8" fillId="2" borderId="24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2" fontId="10" fillId="7" borderId="18" xfId="0" applyNumberFormat="1" applyFont="1" applyFill="1" applyBorder="1" applyAlignment="1">
      <alignment horizontal="center"/>
    </xf>
    <xf numFmtId="0" fontId="1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20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21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72" fontId="6" fillId="2" borderId="0" xfId="0" applyNumberFormat="1" applyFont="1" applyFill="1"/>
    <xf numFmtId="170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9" xfId="0" applyNumberFormat="1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right" vertical="center"/>
    </xf>
    <xf numFmtId="170" fontId="6" fillId="2" borderId="19" xfId="0" applyNumberFormat="1" applyFont="1" applyFill="1" applyBorder="1" applyAlignment="1">
      <alignment horizontal="center" vertical="center"/>
    </xf>
    <xf numFmtId="164" fontId="5" fillId="2" borderId="19" xfId="0" applyNumberFormat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wrapText="1"/>
    </xf>
    <xf numFmtId="164" fontId="5" fillId="2" borderId="19" xfId="0" applyNumberFormat="1" applyFont="1" applyFill="1" applyBorder="1" applyAlignment="1">
      <alignment horizontal="center" wrapText="1"/>
    </xf>
    <xf numFmtId="10" fontId="6" fillId="2" borderId="23" xfId="0" applyNumberFormat="1" applyFont="1" applyFill="1" applyBorder="1" applyAlignment="1">
      <alignment horizontal="center"/>
    </xf>
    <xf numFmtId="10" fontId="6" fillId="2" borderId="40" xfId="0" applyNumberFormat="1" applyFont="1" applyFill="1" applyBorder="1" applyAlignment="1">
      <alignment horizontal="center"/>
    </xf>
    <xf numFmtId="10" fontId="6" fillId="2" borderId="30" xfId="0" applyNumberFormat="1" applyFont="1" applyFill="1" applyBorder="1" applyAlignment="1">
      <alignment horizontal="center"/>
    </xf>
    <xf numFmtId="0" fontId="4" fillId="2" borderId="0" xfId="0" applyFont="1" applyFill="1"/>
    <xf numFmtId="0" fontId="22" fillId="2" borderId="0" xfId="0" applyFont="1" applyFill="1" applyAlignment="1">
      <alignment wrapText="1"/>
    </xf>
    <xf numFmtId="0" fontId="5" fillId="2" borderId="19" xfId="0" applyFont="1" applyFill="1" applyBorder="1" applyAlignment="1">
      <alignment horizontal="center" vertical="center"/>
    </xf>
    <xf numFmtId="165" fontId="5" fillId="2" borderId="35" xfId="0" applyNumberFormat="1" applyFont="1" applyFill="1" applyBorder="1" applyAlignment="1">
      <alignment horizontal="center"/>
    </xf>
    <xf numFmtId="165" fontId="5" fillId="2" borderId="37" xfId="0" applyNumberFormat="1" applyFont="1" applyFill="1" applyBorder="1" applyAlignment="1">
      <alignment horizontal="center"/>
    </xf>
    <xf numFmtId="2" fontId="6" fillId="3" borderId="40" xfId="0" applyNumberFormat="1" applyFont="1" applyFill="1" applyBorder="1" applyProtection="1">
      <protection locked="0"/>
    </xf>
    <xf numFmtId="2" fontId="6" fillId="3" borderId="30" xfId="0" applyNumberFormat="1" applyFont="1" applyFill="1" applyBorder="1" applyProtection="1">
      <protection locked="0"/>
    </xf>
    <xf numFmtId="172" fontId="6" fillId="2" borderId="0" xfId="0" applyNumberFormat="1" applyFont="1" applyFill="1" applyAlignment="1">
      <alignment horizontal="center"/>
    </xf>
    <xf numFmtId="0" fontId="2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5" fillId="3" borderId="0" xfId="0" applyFont="1" applyFill="1" applyAlignment="1" applyProtection="1">
      <alignment horizontal="left" wrapText="1"/>
      <protection locked="0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54" xfId="0" applyFont="1" applyFill="1" applyBorder="1" applyAlignment="1">
      <alignment horizontal="center"/>
    </xf>
    <xf numFmtId="0" fontId="16" fillId="2" borderId="55" xfId="0" applyFont="1" applyFill="1" applyBorder="1" applyAlignment="1">
      <alignment horizontal="center"/>
    </xf>
    <xf numFmtId="0" fontId="16" fillId="2" borderId="56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26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6" fillId="2" borderId="54" xfId="0" applyFont="1" applyFill="1" applyBorder="1" applyAlignment="1">
      <alignment horizontal="justify" vertical="center" wrapText="1"/>
    </xf>
    <xf numFmtId="0" fontId="16" fillId="2" borderId="55" xfId="0" applyFont="1" applyFill="1" applyBorder="1" applyAlignment="1">
      <alignment horizontal="justify" vertical="center" wrapText="1"/>
    </xf>
    <xf numFmtId="0" fontId="16" fillId="2" borderId="56" xfId="0" applyFont="1" applyFill="1" applyBorder="1" applyAlignment="1">
      <alignment horizontal="justify" vertical="center" wrapText="1"/>
    </xf>
    <xf numFmtId="0" fontId="16" fillId="2" borderId="54" xfId="0" applyFont="1" applyFill="1" applyBorder="1" applyAlignment="1">
      <alignment horizontal="left" vertical="center" wrapText="1"/>
    </xf>
    <xf numFmtId="0" fontId="16" fillId="2" borderId="55" xfId="0" applyFont="1" applyFill="1" applyBorder="1" applyAlignment="1">
      <alignment horizontal="left" vertical="center" wrapText="1"/>
    </xf>
    <xf numFmtId="0" fontId="16" fillId="2" borderId="56" xfId="0" applyFont="1" applyFill="1" applyBorder="1" applyAlignment="1">
      <alignment horizontal="left" vertical="center" wrapText="1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57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10" fontId="12" fillId="2" borderId="40" xfId="0" applyNumberFormat="1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40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39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  <xf numFmtId="170" fontId="5" fillId="2" borderId="23" xfId="0" applyNumberFormat="1" applyFont="1" applyFill="1" applyBorder="1" applyAlignment="1">
      <alignment horizontal="center" vertical="center"/>
    </xf>
    <xf numFmtId="170" fontId="5" fillId="2" borderId="30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2" fillId="2" borderId="54" xfId="0" applyFont="1" applyFill="1" applyBorder="1" applyAlignment="1">
      <alignment horizontal="center" wrapText="1"/>
    </xf>
    <xf numFmtId="0" fontId="22" fillId="2" borderId="55" xfId="0" applyFont="1" applyFill="1" applyBorder="1" applyAlignment="1">
      <alignment horizontal="center" wrapText="1"/>
    </xf>
    <xf numFmtId="0" fontId="22" fillId="2" borderId="56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170" fontId="5" fillId="2" borderId="0" xfId="0" applyNumberFormat="1" applyFont="1" applyFill="1" applyAlignment="1">
      <alignment horizontal="center"/>
    </xf>
    <xf numFmtId="174" fontId="7" fillId="3" borderId="3" xfId="0" applyNumberFormat="1" applyFont="1" applyFill="1" applyBorder="1" applyAlignment="1" applyProtection="1">
      <alignment horizontal="center"/>
      <protection locked="0"/>
    </xf>
    <xf numFmtId="170" fontId="10" fillId="3" borderId="24" xfId="0" applyNumberFormat="1" applyFont="1" applyFill="1" applyBorder="1" applyAlignment="1" applyProtection="1">
      <alignment horizontal="center"/>
      <protection locked="0"/>
    </xf>
    <xf numFmtId="170" fontId="10" fillId="3" borderId="28" xfId="0" applyNumberFormat="1" applyFont="1" applyFill="1" applyBorder="1" applyAlignment="1" applyProtection="1">
      <alignment horizontal="center"/>
      <protection locked="0"/>
    </xf>
    <xf numFmtId="170" fontId="10" fillId="3" borderId="14" xfId="0" applyNumberFormat="1" applyFont="1" applyFill="1" applyBorder="1" applyAlignment="1" applyProtection="1">
      <alignment horizontal="center"/>
      <protection locked="0"/>
    </xf>
    <xf numFmtId="170" fontId="10" fillId="3" borderId="21" xfId="0" applyNumberFormat="1" applyFont="1" applyFill="1" applyBorder="1" applyAlignment="1" applyProtection="1">
      <alignment horizontal="center"/>
      <protection locked="0"/>
    </xf>
    <xf numFmtId="2" fontId="8" fillId="2" borderId="17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2" fontId="8" fillId="2" borderId="28" xfId="0" applyNumberFormat="1" applyFont="1" applyFill="1" applyBorder="1" applyAlignment="1">
      <alignment horizontal="center"/>
    </xf>
    <xf numFmtId="170" fontId="8" fillId="2" borderId="22" xfId="0" applyNumberFormat="1" applyFont="1" applyFill="1" applyBorder="1" applyAlignment="1">
      <alignment horizontal="center"/>
    </xf>
    <xf numFmtId="170" fontId="8" fillId="2" borderId="25" xfId="0" applyNumberFormat="1" applyFont="1" applyFill="1" applyBorder="1" applyAlignment="1">
      <alignment horizontal="center"/>
    </xf>
    <xf numFmtId="170" fontId="9" fillId="6" borderId="30" xfId="0" applyNumberFormat="1" applyFont="1" applyFill="1" applyBorder="1" applyAlignment="1">
      <alignment horizontal="center"/>
    </xf>
    <xf numFmtId="170" fontId="9" fillId="6" borderId="32" xfId="0" applyNumberFormat="1" applyFont="1" applyFill="1" applyBorder="1" applyAlignment="1">
      <alignment horizontal="center"/>
    </xf>
    <xf numFmtId="164" fontId="9" fillId="6" borderId="46" xfId="0" applyNumberFormat="1" applyFont="1" applyFill="1" applyBorder="1" applyAlignment="1">
      <alignment horizontal="center"/>
    </xf>
    <xf numFmtId="164" fontId="9" fillId="6" borderId="47" xfId="0" applyNumberFormat="1" applyFont="1" applyFill="1" applyBorder="1" applyAlignment="1">
      <alignment horizontal="center"/>
    </xf>
    <xf numFmtId="164" fontId="9" fillId="7" borderId="35" xfId="0" applyNumberFormat="1" applyFont="1" applyFill="1" applyBorder="1" applyAlignment="1">
      <alignment horizontal="center"/>
    </xf>
    <xf numFmtId="169" fontId="8" fillId="2" borderId="59" xfId="0" applyNumberFormat="1" applyFont="1" applyFill="1" applyBorder="1" applyAlignment="1">
      <alignment horizontal="right"/>
    </xf>
    <xf numFmtId="0" fontId="8" fillId="2" borderId="60" xfId="0" applyFont="1" applyFill="1" applyBorder="1" applyAlignment="1">
      <alignment horizontal="right"/>
    </xf>
    <xf numFmtId="0" fontId="8" fillId="2" borderId="58" xfId="0" applyFont="1" applyFill="1" applyBorder="1" applyAlignment="1">
      <alignment horizontal="right"/>
    </xf>
  </cellXfs>
  <cellStyles count="1">
    <cellStyle name="Normal" xfId="0" builtinId="0"/>
  </cellStyles>
  <dxfs count="32"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1" workbookViewId="0">
      <selection activeCell="B33" sqref="B33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274" t="s">
        <v>0</v>
      </c>
      <c r="B15" s="274"/>
      <c r="C15" s="274"/>
      <c r="D15" s="274"/>
      <c r="E15" s="274"/>
    </row>
    <row r="16" spans="1:6" ht="16.5" customHeight="1" x14ac:dyDescent="0.3">
      <c r="A16" s="5" t="s">
        <v>1</v>
      </c>
      <c r="B16" s="273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7</v>
      </c>
      <c r="C18" s="10"/>
      <c r="D18" s="10"/>
      <c r="E18" s="10"/>
    </row>
    <row r="19" spans="1:6" ht="16.5" customHeight="1" x14ac:dyDescent="0.3">
      <c r="A19" s="11" t="s">
        <v>6</v>
      </c>
      <c r="B19" s="272">
        <v>98.5</v>
      </c>
      <c r="C19" s="10"/>
      <c r="D19" s="10"/>
      <c r="E19" s="10"/>
    </row>
    <row r="20" spans="1:6" ht="16.5" customHeight="1" x14ac:dyDescent="0.3">
      <c r="A20" s="7" t="s">
        <v>8</v>
      </c>
      <c r="B20" s="12">
        <v>16.16</v>
      </c>
      <c r="C20" s="10"/>
      <c r="D20" s="10"/>
      <c r="E20" s="10"/>
    </row>
    <row r="21" spans="1:6" ht="16.5" customHeight="1" x14ac:dyDescent="0.3">
      <c r="A21" s="7" t="s">
        <v>10</v>
      </c>
      <c r="B21" s="325">
        <f>16.16/50</f>
        <v>0.32319999999999999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123294722</v>
      </c>
      <c r="C24" s="18">
        <v>11618.7</v>
      </c>
      <c r="D24" s="19">
        <v>1.2</v>
      </c>
      <c r="E24" s="20">
        <v>7.8</v>
      </c>
    </row>
    <row r="25" spans="1:6" ht="16.5" customHeight="1" x14ac:dyDescent="0.3">
      <c r="A25" s="17">
        <v>2</v>
      </c>
      <c r="B25" s="18">
        <v>122948919</v>
      </c>
      <c r="C25" s="18">
        <v>11709.5</v>
      </c>
      <c r="D25" s="19">
        <v>1.2</v>
      </c>
      <c r="E25" s="19">
        <v>7.8</v>
      </c>
    </row>
    <row r="26" spans="1:6" ht="16.5" customHeight="1" x14ac:dyDescent="0.3">
      <c r="A26" s="17">
        <v>3</v>
      </c>
      <c r="B26" s="18">
        <v>123579094</v>
      </c>
      <c r="C26" s="18">
        <v>11676.9</v>
      </c>
      <c r="D26" s="19">
        <v>1.2</v>
      </c>
      <c r="E26" s="19">
        <v>7.8</v>
      </c>
    </row>
    <row r="27" spans="1:6" ht="16.5" customHeight="1" x14ac:dyDescent="0.3">
      <c r="A27" s="17">
        <v>4</v>
      </c>
      <c r="B27" s="18">
        <v>122878066</v>
      </c>
      <c r="C27" s="326">
        <v>11634</v>
      </c>
      <c r="D27" s="19">
        <v>1.2</v>
      </c>
      <c r="E27" s="19">
        <v>7.8</v>
      </c>
    </row>
    <row r="28" spans="1:6" ht="16.5" customHeight="1" x14ac:dyDescent="0.3">
      <c r="A28" s="17">
        <v>5</v>
      </c>
      <c r="B28" s="18">
        <v>122883799</v>
      </c>
      <c r="C28" s="18">
        <v>11656.6</v>
      </c>
      <c r="D28" s="19">
        <v>1.1000000000000001</v>
      </c>
      <c r="E28" s="19">
        <v>7.8</v>
      </c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18</v>
      </c>
      <c r="B30" s="24">
        <f>AVERAGE(B24:B29)</f>
        <v>123116920</v>
      </c>
      <c r="C30" s="25">
        <f>AVERAGE(C24:C29)</f>
        <v>11659.14</v>
      </c>
      <c r="D30" s="26">
        <f>AVERAGE(D24:D29)</f>
        <v>1.1800000000000002</v>
      </c>
      <c r="E30" s="26">
        <f>AVERAGE(E24:E29)</f>
        <v>7.8</v>
      </c>
    </row>
    <row r="31" spans="1:6" ht="16.5" customHeight="1" x14ac:dyDescent="0.3">
      <c r="A31" s="27" t="s">
        <v>19</v>
      </c>
      <c r="B31" s="28">
        <f>(STDEV(B24:B29)/B30)</f>
        <v>2.5193701854636361E-3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5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275" t="s">
        <v>26</v>
      </c>
      <c r="C59" s="275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109" zoomScale="60" zoomScaleNormal="70" zoomScalePageLayoutView="42" workbookViewId="0">
      <selection activeCell="H79" sqref="H79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306" t="s">
        <v>31</v>
      </c>
      <c r="B1" s="306"/>
      <c r="C1" s="306"/>
      <c r="D1" s="306"/>
      <c r="E1" s="306"/>
      <c r="F1" s="306"/>
      <c r="G1" s="306"/>
      <c r="H1" s="306"/>
      <c r="I1" s="306"/>
    </row>
    <row r="2" spans="1:9" ht="18.75" customHeight="1" x14ac:dyDescent="0.3">
      <c r="A2" s="306"/>
      <c r="B2" s="306"/>
      <c r="C2" s="306"/>
      <c r="D2" s="306"/>
      <c r="E2" s="306"/>
      <c r="F2" s="306"/>
      <c r="G2" s="306"/>
      <c r="H2" s="306"/>
      <c r="I2" s="306"/>
    </row>
    <row r="3" spans="1:9" ht="18.75" customHeight="1" x14ac:dyDescent="0.3">
      <c r="A3" s="306"/>
      <c r="B3" s="306"/>
      <c r="C3" s="306"/>
      <c r="D3" s="306"/>
      <c r="E3" s="306"/>
      <c r="F3" s="306"/>
      <c r="G3" s="306"/>
      <c r="H3" s="306"/>
      <c r="I3" s="306"/>
    </row>
    <row r="4" spans="1:9" ht="18.75" customHeight="1" x14ac:dyDescent="0.3">
      <c r="A4" s="306"/>
      <c r="B4" s="306"/>
      <c r="C4" s="306"/>
      <c r="D4" s="306"/>
      <c r="E4" s="306"/>
      <c r="F4" s="306"/>
      <c r="G4" s="306"/>
      <c r="H4" s="306"/>
      <c r="I4" s="306"/>
    </row>
    <row r="5" spans="1:9" ht="18.75" customHeight="1" x14ac:dyDescent="0.3">
      <c r="A5" s="306"/>
      <c r="B5" s="306"/>
      <c r="C5" s="306"/>
      <c r="D5" s="306"/>
      <c r="E5" s="306"/>
      <c r="F5" s="306"/>
      <c r="G5" s="306"/>
      <c r="H5" s="306"/>
      <c r="I5" s="306"/>
    </row>
    <row r="6" spans="1:9" ht="18.75" customHeight="1" x14ac:dyDescent="0.3">
      <c r="A6" s="306"/>
      <c r="B6" s="306"/>
      <c r="C6" s="306"/>
      <c r="D6" s="306"/>
      <c r="E6" s="306"/>
      <c r="F6" s="306"/>
      <c r="G6" s="306"/>
      <c r="H6" s="306"/>
      <c r="I6" s="306"/>
    </row>
    <row r="7" spans="1:9" ht="18.75" customHeight="1" x14ac:dyDescent="0.3">
      <c r="A7" s="306"/>
      <c r="B7" s="306"/>
      <c r="C7" s="306"/>
      <c r="D7" s="306"/>
      <c r="E7" s="306"/>
      <c r="F7" s="306"/>
      <c r="G7" s="306"/>
      <c r="H7" s="306"/>
      <c r="I7" s="306"/>
    </row>
    <row r="8" spans="1:9" x14ac:dyDescent="0.3">
      <c r="A8" s="307" t="s">
        <v>32</v>
      </c>
      <c r="B8" s="307"/>
      <c r="C8" s="307"/>
      <c r="D8" s="307"/>
      <c r="E8" s="307"/>
      <c r="F8" s="307"/>
      <c r="G8" s="307"/>
      <c r="H8" s="307"/>
      <c r="I8" s="307"/>
    </row>
    <row r="9" spans="1:9" x14ac:dyDescent="0.3">
      <c r="A9" s="307"/>
      <c r="B9" s="307"/>
      <c r="C9" s="307"/>
      <c r="D9" s="307"/>
      <c r="E9" s="307"/>
      <c r="F9" s="307"/>
      <c r="G9" s="307"/>
      <c r="H9" s="307"/>
      <c r="I9" s="307"/>
    </row>
    <row r="10" spans="1:9" x14ac:dyDescent="0.3">
      <c r="A10" s="307"/>
      <c r="B10" s="307"/>
      <c r="C10" s="307"/>
      <c r="D10" s="307"/>
      <c r="E10" s="307"/>
      <c r="F10" s="307"/>
      <c r="G10" s="307"/>
      <c r="H10" s="307"/>
      <c r="I10" s="307"/>
    </row>
    <row r="11" spans="1:9" x14ac:dyDescent="0.3">
      <c r="A11" s="307"/>
      <c r="B11" s="307"/>
      <c r="C11" s="307"/>
      <c r="D11" s="307"/>
      <c r="E11" s="307"/>
      <c r="F11" s="307"/>
      <c r="G11" s="307"/>
      <c r="H11" s="307"/>
      <c r="I11" s="307"/>
    </row>
    <row r="12" spans="1:9" x14ac:dyDescent="0.3">
      <c r="A12" s="307"/>
      <c r="B12" s="307"/>
      <c r="C12" s="307"/>
      <c r="D12" s="307"/>
      <c r="E12" s="307"/>
      <c r="F12" s="307"/>
      <c r="G12" s="307"/>
      <c r="H12" s="307"/>
      <c r="I12" s="307"/>
    </row>
    <row r="13" spans="1:9" x14ac:dyDescent="0.3">
      <c r="A13" s="307"/>
      <c r="B13" s="307"/>
      <c r="C13" s="307"/>
      <c r="D13" s="307"/>
      <c r="E13" s="307"/>
      <c r="F13" s="307"/>
      <c r="G13" s="307"/>
      <c r="H13" s="307"/>
      <c r="I13" s="307"/>
    </row>
    <row r="14" spans="1:9" x14ac:dyDescent="0.3">
      <c r="A14" s="307"/>
      <c r="B14" s="307"/>
      <c r="C14" s="307"/>
      <c r="D14" s="307"/>
      <c r="E14" s="307"/>
      <c r="F14" s="307"/>
      <c r="G14" s="307"/>
      <c r="H14" s="307"/>
      <c r="I14" s="307"/>
    </row>
    <row r="15" spans="1:9" ht="19.5" customHeight="1" x14ac:dyDescent="0.35">
      <c r="A15" s="52"/>
    </row>
    <row r="16" spans="1:9" ht="19.5" customHeight="1" x14ac:dyDescent="0.35">
      <c r="A16" s="278" t="s">
        <v>33</v>
      </c>
      <c r="B16" s="279"/>
      <c r="C16" s="279"/>
      <c r="D16" s="279"/>
      <c r="E16" s="279"/>
      <c r="F16" s="279"/>
      <c r="G16" s="279"/>
      <c r="H16" s="280"/>
    </row>
    <row r="17" spans="1:14" ht="20.25" customHeight="1" x14ac:dyDescent="0.3">
      <c r="A17" s="281" t="s">
        <v>34</v>
      </c>
      <c r="B17" s="281"/>
      <c r="C17" s="281"/>
      <c r="D17" s="281"/>
      <c r="E17" s="281"/>
      <c r="F17" s="281"/>
      <c r="G17" s="281"/>
      <c r="H17" s="281"/>
    </row>
    <row r="18" spans="1:14" ht="26.25" customHeight="1" x14ac:dyDescent="0.5">
      <c r="A18" s="54" t="s">
        <v>35</v>
      </c>
      <c r="B18" s="277" t="s">
        <v>5</v>
      </c>
      <c r="C18" s="277"/>
      <c r="D18" s="213"/>
      <c r="E18" s="55"/>
      <c r="F18" s="56"/>
      <c r="G18" s="56"/>
      <c r="H18" s="56"/>
    </row>
    <row r="19" spans="1:14" ht="26.25" customHeight="1" x14ac:dyDescent="0.5">
      <c r="A19" s="54" t="s">
        <v>36</v>
      </c>
      <c r="B19" s="57" t="s">
        <v>7</v>
      </c>
      <c r="C19" s="225">
        <v>29</v>
      </c>
      <c r="D19" s="56"/>
      <c r="E19" s="56"/>
      <c r="F19" s="56"/>
      <c r="G19" s="56"/>
      <c r="H19" s="56"/>
    </row>
    <row r="20" spans="1:14" ht="26.25" customHeight="1" x14ac:dyDescent="0.5">
      <c r="A20" s="54" t="s">
        <v>37</v>
      </c>
      <c r="B20" s="282" t="s">
        <v>9</v>
      </c>
      <c r="C20" s="282"/>
      <c r="D20" s="56"/>
      <c r="E20" s="56"/>
      <c r="F20" s="56"/>
      <c r="G20" s="56"/>
      <c r="H20" s="56"/>
    </row>
    <row r="21" spans="1:14" ht="26.25" customHeight="1" x14ac:dyDescent="0.5">
      <c r="A21" s="54" t="s">
        <v>38</v>
      </c>
      <c r="B21" s="282" t="s">
        <v>11</v>
      </c>
      <c r="C21" s="282"/>
      <c r="D21" s="282"/>
      <c r="E21" s="282"/>
      <c r="F21" s="282"/>
      <c r="G21" s="282"/>
      <c r="H21" s="282"/>
      <c r="I21" s="58"/>
    </row>
    <row r="22" spans="1:14" ht="26.25" customHeight="1" x14ac:dyDescent="0.5">
      <c r="A22" s="54" t="s">
        <v>39</v>
      </c>
      <c r="B22" s="59" t="s">
        <v>12</v>
      </c>
      <c r="C22" s="56"/>
      <c r="D22" s="56"/>
      <c r="E22" s="56"/>
      <c r="F22" s="56"/>
      <c r="G22" s="56"/>
      <c r="H22" s="56"/>
    </row>
    <row r="23" spans="1:14" ht="26.25" customHeight="1" x14ac:dyDescent="0.5">
      <c r="A23" s="54" t="s">
        <v>40</v>
      </c>
      <c r="B23" s="59"/>
      <c r="C23" s="56"/>
      <c r="D23" s="56"/>
      <c r="E23" s="56"/>
      <c r="F23" s="56"/>
      <c r="G23" s="56"/>
      <c r="H23" s="56"/>
    </row>
    <row r="24" spans="1:14" ht="18" x14ac:dyDescent="0.35">
      <c r="A24" s="54"/>
      <c r="B24" s="60"/>
    </row>
    <row r="25" spans="1:14" ht="18" x14ac:dyDescent="0.35">
      <c r="A25" s="61" t="s">
        <v>1</v>
      </c>
      <c r="B25" s="60"/>
    </row>
    <row r="26" spans="1:14" ht="26.25" customHeight="1" x14ac:dyDescent="0.45">
      <c r="A26" s="62" t="s">
        <v>4</v>
      </c>
      <c r="B26" s="276" t="s">
        <v>123</v>
      </c>
      <c r="C26" s="277"/>
    </row>
    <row r="27" spans="1:14" ht="26.25" customHeight="1" x14ac:dyDescent="0.5">
      <c r="A27" s="63" t="s">
        <v>41</v>
      </c>
      <c r="B27" s="283" t="s">
        <v>124</v>
      </c>
      <c r="C27" s="284"/>
    </row>
    <row r="28" spans="1:14" ht="27" customHeight="1" x14ac:dyDescent="0.45">
      <c r="A28" s="63" t="s">
        <v>6</v>
      </c>
      <c r="B28" s="64">
        <v>98.5</v>
      </c>
    </row>
    <row r="29" spans="1:14" s="14" customFormat="1" ht="27" customHeight="1" x14ac:dyDescent="0.5">
      <c r="A29" s="63" t="s">
        <v>42</v>
      </c>
      <c r="B29" s="65">
        <v>0</v>
      </c>
      <c r="C29" s="285" t="s">
        <v>43</v>
      </c>
      <c r="D29" s="286"/>
      <c r="E29" s="286"/>
      <c r="F29" s="286"/>
      <c r="G29" s="287"/>
      <c r="H29" s="178"/>
      <c r="I29" s="66"/>
      <c r="J29" s="66"/>
      <c r="K29" s="66"/>
      <c r="L29" s="66"/>
    </row>
    <row r="30" spans="1:14" s="14" customFormat="1" ht="19.5" customHeight="1" x14ac:dyDescent="0.35">
      <c r="A30" s="63" t="s">
        <v>44</v>
      </c>
      <c r="B30" s="67">
        <f>B28-B29</f>
        <v>98.5</v>
      </c>
      <c r="C30" s="68"/>
      <c r="D30" s="68"/>
      <c r="E30" s="68"/>
      <c r="F30" s="68"/>
      <c r="G30" s="69"/>
      <c r="H30" s="178"/>
      <c r="I30" s="66"/>
      <c r="J30" s="66"/>
      <c r="K30" s="66"/>
      <c r="L30" s="66"/>
    </row>
    <row r="31" spans="1:14" s="14" customFormat="1" ht="27" customHeight="1" x14ac:dyDescent="0.45">
      <c r="A31" s="63" t="s">
        <v>45</v>
      </c>
      <c r="B31" s="70">
        <v>1</v>
      </c>
      <c r="C31" s="288" t="s">
        <v>46</v>
      </c>
      <c r="D31" s="289"/>
      <c r="E31" s="289"/>
      <c r="F31" s="289"/>
      <c r="G31" s="289"/>
      <c r="H31" s="290"/>
      <c r="I31" s="66"/>
      <c r="J31" s="66"/>
      <c r="K31" s="66"/>
      <c r="L31" s="66"/>
    </row>
    <row r="32" spans="1:14" s="14" customFormat="1" ht="27" customHeight="1" x14ac:dyDescent="0.45">
      <c r="A32" s="63" t="s">
        <v>47</v>
      </c>
      <c r="B32" s="70">
        <v>1</v>
      </c>
      <c r="C32" s="288" t="s">
        <v>48</v>
      </c>
      <c r="D32" s="289"/>
      <c r="E32" s="289"/>
      <c r="F32" s="289"/>
      <c r="G32" s="289"/>
      <c r="H32" s="290"/>
      <c r="I32" s="66"/>
      <c r="J32" s="66"/>
      <c r="K32" s="66"/>
      <c r="L32" s="71"/>
      <c r="M32" s="71"/>
      <c r="N32" s="72"/>
    </row>
    <row r="33" spans="1:14" s="14" customFormat="1" ht="17.25" customHeight="1" x14ac:dyDescent="0.35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14" customFormat="1" ht="18" x14ac:dyDescent="0.35">
      <c r="A34" s="63" t="s">
        <v>49</v>
      </c>
      <c r="B34" s="75">
        <f>B31/B32</f>
        <v>1</v>
      </c>
      <c r="C34" s="53" t="s">
        <v>50</v>
      </c>
      <c r="D34" s="53"/>
      <c r="E34" s="53"/>
      <c r="F34" s="53"/>
      <c r="G34" s="53"/>
      <c r="H34" s="178"/>
      <c r="I34" s="66"/>
      <c r="J34" s="66"/>
      <c r="K34" s="66"/>
      <c r="L34" s="71"/>
      <c r="M34" s="71"/>
      <c r="N34" s="72"/>
    </row>
    <row r="35" spans="1:14" s="14" customFormat="1" ht="19.5" customHeight="1" x14ac:dyDescent="0.35">
      <c r="A35" s="63"/>
      <c r="B35" s="67"/>
      <c r="G35" s="53"/>
      <c r="H35" s="178"/>
      <c r="I35" s="66"/>
      <c r="J35" s="66"/>
      <c r="K35" s="66"/>
      <c r="L35" s="71"/>
      <c r="M35" s="71"/>
      <c r="N35" s="72"/>
    </row>
    <row r="36" spans="1:14" s="14" customFormat="1" ht="27" customHeight="1" x14ac:dyDescent="0.45">
      <c r="A36" s="76" t="s">
        <v>51</v>
      </c>
      <c r="B36" s="77">
        <v>50</v>
      </c>
      <c r="C36" s="53"/>
      <c r="D36" s="291" t="s">
        <v>52</v>
      </c>
      <c r="E36" s="292"/>
      <c r="F36" s="291" t="s">
        <v>53</v>
      </c>
      <c r="G36" s="293"/>
      <c r="H36" s="178"/>
      <c r="J36" s="66"/>
      <c r="K36" s="66"/>
      <c r="L36" s="71"/>
      <c r="M36" s="71"/>
      <c r="N36" s="72"/>
    </row>
    <row r="37" spans="1:14" s="14" customFormat="1" ht="27" customHeight="1" x14ac:dyDescent="0.45">
      <c r="A37" s="78" t="s">
        <v>54</v>
      </c>
      <c r="B37" s="79">
        <v>1</v>
      </c>
      <c r="C37" s="80" t="s">
        <v>55</v>
      </c>
      <c r="D37" s="81" t="s">
        <v>56</v>
      </c>
      <c r="E37" s="82" t="s">
        <v>57</v>
      </c>
      <c r="F37" s="81" t="s">
        <v>56</v>
      </c>
      <c r="G37" s="83" t="s">
        <v>57</v>
      </c>
      <c r="H37" s="178"/>
      <c r="I37" s="84" t="s">
        <v>58</v>
      </c>
      <c r="J37" s="66"/>
      <c r="K37" s="66"/>
      <c r="L37" s="71"/>
      <c r="M37" s="71"/>
      <c r="N37" s="72"/>
    </row>
    <row r="38" spans="1:14" s="14" customFormat="1" ht="26.25" customHeight="1" x14ac:dyDescent="0.45">
      <c r="A38" s="78" t="s">
        <v>59</v>
      </c>
      <c r="B38" s="79">
        <v>1</v>
      </c>
      <c r="C38" s="85">
        <v>1</v>
      </c>
      <c r="D38" s="86">
        <v>123279211</v>
      </c>
      <c r="E38" s="87">
        <f>IF(ISBLANK(D38),"-",$D$48/$D$45*D38)</f>
        <v>123917385.53550786</v>
      </c>
      <c r="F38" s="86">
        <v>118743505</v>
      </c>
      <c r="G38" s="88">
        <f>IF(ISBLANK(F38),"-",$D$48/$F$45*F38)</f>
        <v>122933620.62550753</v>
      </c>
      <c r="H38" s="178"/>
      <c r="I38" s="89"/>
      <c r="J38" s="66"/>
      <c r="K38" s="66"/>
      <c r="L38" s="71"/>
      <c r="M38" s="71"/>
      <c r="N38" s="72"/>
    </row>
    <row r="39" spans="1:14" s="14" customFormat="1" ht="26.25" customHeight="1" x14ac:dyDescent="0.45">
      <c r="A39" s="78" t="s">
        <v>60</v>
      </c>
      <c r="B39" s="79">
        <v>1</v>
      </c>
      <c r="C39" s="90">
        <v>2</v>
      </c>
      <c r="D39" s="91">
        <v>122218765</v>
      </c>
      <c r="E39" s="92">
        <f>IF(ISBLANK(D39),"-",$D$48/$D$45*D39)</f>
        <v>122851449.96733175</v>
      </c>
      <c r="F39" s="91">
        <v>118847711</v>
      </c>
      <c r="G39" s="93">
        <f>IF(ISBLANK(F39),"-",$D$48/$F$45*F39)</f>
        <v>123041503.75453342</v>
      </c>
      <c r="H39" s="178"/>
      <c r="I39" s="295">
        <f>ABS((F43/D43*D42)-F42)/D42</f>
        <v>3.2533755854855526E-3</v>
      </c>
      <c r="J39" s="66"/>
      <c r="K39" s="66"/>
      <c r="L39" s="71"/>
      <c r="M39" s="71"/>
      <c r="N39" s="72"/>
    </row>
    <row r="40" spans="1:14" ht="26.25" customHeight="1" x14ac:dyDescent="0.45">
      <c r="A40" s="78" t="s">
        <v>61</v>
      </c>
      <c r="B40" s="79">
        <v>1</v>
      </c>
      <c r="C40" s="90">
        <v>3</v>
      </c>
      <c r="D40" s="91">
        <v>122688386</v>
      </c>
      <c r="E40" s="92">
        <f>IF(ISBLANK(D40),"-",$D$48/$D$45*D40)</f>
        <v>123323502.03548273</v>
      </c>
      <c r="F40" s="91">
        <v>118688907</v>
      </c>
      <c r="G40" s="93">
        <f>IF(ISBLANK(F40),"-",$D$48/$F$45*F40)</f>
        <v>122877096.01964457</v>
      </c>
      <c r="I40" s="295"/>
      <c r="L40" s="71"/>
      <c r="M40" s="71"/>
      <c r="N40" s="94"/>
    </row>
    <row r="41" spans="1:14" ht="27" customHeight="1" x14ac:dyDescent="0.45">
      <c r="A41" s="78" t="s">
        <v>62</v>
      </c>
      <c r="B41" s="79">
        <v>1</v>
      </c>
      <c r="C41" s="95">
        <v>4</v>
      </c>
      <c r="D41" s="96"/>
      <c r="E41" s="97" t="str">
        <f>IF(ISBLANK(D41),"-",$D$48/$D$45*D41)</f>
        <v>-</v>
      </c>
      <c r="F41" s="96"/>
      <c r="G41" s="98" t="str">
        <f>IF(ISBLANK(F41),"-",$D$48/$F$45*F41)</f>
        <v>-</v>
      </c>
      <c r="I41" s="99"/>
      <c r="L41" s="71"/>
      <c r="M41" s="71"/>
      <c r="N41" s="94"/>
    </row>
    <row r="42" spans="1:14" ht="27" customHeight="1" x14ac:dyDescent="0.45">
      <c r="A42" s="78" t="s">
        <v>63</v>
      </c>
      <c r="B42" s="79">
        <v>1</v>
      </c>
      <c r="C42" s="100" t="s">
        <v>64</v>
      </c>
      <c r="D42" s="101">
        <f>AVERAGE(D38:D41)</f>
        <v>122728787.33333333</v>
      </c>
      <c r="E42" s="102">
        <f>AVERAGE(E38:E41)</f>
        <v>123364112.51277411</v>
      </c>
      <c r="F42" s="101">
        <f>AVERAGE(F38:F41)</f>
        <v>118760041</v>
      </c>
      <c r="G42" s="103">
        <f>AVERAGE(G38:G41)</f>
        <v>122950740.1332285</v>
      </c>
      <c r="H42" s="104"/>
    </row>
    <row r="43" spans="1:14" ht="26.25" customHeight="1" x14ac:dyDescent="0.45">
      <c r="A43" s="78" t="s">
        <v>65</v>
      </c>
      <c r="B43" s="79">
        <v>1</v>
      </c>
      <c r="C43" s="105" t="s">
        <v>66</v>
      </c>
      <c r="D43" s="106">
        <v>16.16</v>
      </c>
      <c r="E43" s="94"/>
      <c r="F43" s="106">
        <v>15.69</v>
      </c>
      <c r="H43" s="104"/>
    </row>
    <row r="44" spans="1:14" ht="26.25" customHeight="1" x14ac:dyDescent="0.45">
      <c r="A44" s="78" t="s">
        <v>67</v>
      </c>
      <c r="B44" s="79">
        <v>1</v>
      </c>
      <c r="C44" s="107" t="s">
        <v>68</v>
      </c>
      <c r="D44" s="108">
        <f>D43*$B$34</f>
        <v>16.16</v>
      </c>
      <c r="E44" s="109"/>
      <c r="F44" s="108">
        <f>F43*$B$34</f>
        <v>15.69</v>
      </c>
      <c r="H44" s="104"/>
    </row>
    <row r="45" spans="1:14" ht="19.5" customHeight="1" x14ac:dyDescent="0.35">
      <c r="A45" s="78" t="s">
        <v>69</v>
      </c>
      <c r="B45" s="110">
        <f>(B44/B43)*(B42/B41)*(B40/B39)*(B38/B37)*B36</f>
        <v>50</v>
      </c>
      <c r="C45" s="107" t="s">
        <v>70</v>
      </c>
      <c r="D45" s="111">
        <f>D44*$B$30/100</f>
        <v>15.9176</v>
      </c>
      <c r="E45" s="112"/>
      <c r="F45" s="111">
        <f>F44*$B$30/100</f>
        <v>15.454649999999999</v>
      </c>
      <c r="H45" s="104"/>
    </row>
    <row r="46" spans="1:14" ht="19.5" customHeight="1" x14ac:dyDescent="0.35">
      <c r="A46" s="296" t="s">
        <v>71</v>
      </c>
      <c r="B46" s="297"/>
      <c r="C46" s="107" t="s">
        <v>72</v>
      </c>
      <c r="D46" s="113">
        <f>D45/$B$45</f>
        <v>0.31835200000000002</v>
      </c>
      <c r="E46" s="114"/>
      <c r="F46" s="115">
        <f>F45/$B$45</f>
        <v>0.30909300000000001</v>
      </c>
      <c r="H46" s="104"/>
    </row>
    <row r="47" spans="1:14" ht="27" customHeight="1" x14ac:dyDescent="0.45">
      <c r="A47" s="298"/>
      <c r="B47" s="299"/>
      <c r="C47" s="116" t="s">
        <v>73</v>
      </c>
      <c r="D47" s="117">
        <v>0.32</v>
      </c>
      <c r="E47" s="118"/>
      <c r="F47" s="114"/>
      <c r="H47" s="104"/>
    </row>
    <row r="48" spans="1:14" ht="18" x14ac:dyDescent="0.35">
      <c r="C48" s="119" t="s">
        <v>74</v>
      </c>
      <c r="D48" s="111">
        <f>D47*$B$45</f>
        <v>16</v>
      </c>
      <c r="F48" s="120"/>
      <c r="H48" s="104"/>
    </row>
    <row r="49" spans="1:12" ht="19.5" customHeight="1" x14ac:dyDescent="0.35">
      <c r="C49" s="121" t="s">
        <v>75</v>
      </c>
      <c r="D49" s="122">
        <f>D48/B34</f>
        <v>16</v>
      </c>
      <c r="F49" s="120"/>
      <c r="H49" s="104"/>
    </row>
    <row r="50" spans="1:12" ht="18" x14ac:dyDescent="0.35">
      <c r="C50" s="76" t="s">
        <v>76</v>
      </c>
      <c r="D50" s="123">
        <f>AVERAGE(E38:E41,G38:G41)</f>
        <v>123157426.32300133</v>
      </c>
      <c r="F50" s="124"/>
      <c r="H50" s="104"/>
    </row>
    <row r="51" spans="1:12" ht="18" x14ac:dyDescent="0.35">
      <c r="C51" s="78" t="s">
        <v>77</v>
      </c>
      <c r="D51" s="125">
        <f>STDEV(E38:E41,G38:G41)/D50</f>
        <v>3.3297710835287447E-3</v>
      </c>
      <c r="E51" s="140">
        <f>F62/D50*D47*B68*B57/D60/B56</f>
        <v>0.97465735503156214</v>
      </c>
      <c r="F51" s="124"/>
      <c r="H51" s="104"/>
    </row>
    <row r="52" spans="1:12" ht="19.5" customHeight="1" x14ac:dyDescent="0.35">
      <c r="C52" s="126" t="s">
        <v>20</v>
      </c>
      <c r="D52" s="127">
        <f>COUNT(E38:E41,G38:G41)</f>
        <v>6</v>
      </c>
      <c r="F52" s="124"/>
    </row>
    <row r="54" spans="1:12" ht="18" x14ac:dyDescent="0.35">
      <c r="A54" s="128" t="s">
        <v>1</v>
      </c>
      <c r="B54" s="129" t="s">
        <v>78</v>
      </c>
    </row>
    <row r="55" spans="1:12" ht="18" x14ac:dyDescent="0.35">
      <c r="A55" s="53" t="s">
        <v>79</v>
      </c>
      <c r="B55" s="130" t="str">
        <f>B21</f>
        <v>Each tablet contains: Isoniazid B.P 100 mg</v>
      </c>
    </row>
    <row r="56" spans="1:12" ht="26.25" customHeight="1" x14ac:dyDescent="0.45">
      <c r="A56" s="131" t="s">
        <v>80</v>
      </c>
      <c r="B56" s="132">
        <v>100</v>
      </c>
      <c r="C56" s="53" t="str">
        <f>B20</f>
        <v>Isoniazid BP</v>
      </c>
      <c r="H56" s="133"/>
    </row>
    <row r="57" spans="1:12" ht="18" x14ac:dyDescent="0.35">
      <c r="A57" s="130" t="s">
        <v>81</v>
      </c>
      <c r="B57" s="214">
        <f>Uniformity!C46</f>
        <v>291.64800000000002</v>
      </c>
      <c r="H57" s="133"/>
    </row>
    <row r="58" spans="1:12" ht="19.5" customHeight="1" x14ac:dyDescent="0.35">
      <c r="H58" s="133"/>
      <c r="J58" s="178"/>
    </row>
    <row r="59" spans="1:12" s="14" customFormat="1" ht="27" customHeight="1" x14ac:dyDescent="0.45">
      <c r="A59" s="76" t="s">
        <v>82</v>
      </c>
      <c r="B59" s="77">
        <v>50</v>
      </c>
      <c r="C59" s="53"/>
      <c r="D59" s="134" t="s">
        <v>83</v>
      </c>
      <c r="E59" s="135" t="s">
        <v>55</v>
      </c>
      <c r="F59" s="135" t="s">
        <v>56</v>
      </c>
      <c r="G59" s="135" t="s">
        <v>84</v>
      </c>
      <c r="H59" s="80" t="s">
        <v>85</v>
      </c>
      <c r="J59" s="178"/>
      <c r="L59" s="66"/>
    </row>
    <row r="60" spans="1:12" s="14" customFormat="1" ht="26.25" customHeight="1" x14ac:dyDescent="0.45">
      <c r="A60" s="78" t="s">
        <v>86</v>
      </c>
      <c r="B60" s="79">
        <v>1</v>
      </c>
      <c r="C60" s="300" t="s">
        <v>87</v>
      </c>
      <c r="D60" s="303">
        <v>42.13</v>
      </c>
      <c r="E60" s="136">
        <v>1</v>
      </c>
      <c r="F60" s="137">
        <v>108463004</v>
      </c>
      <c r="G60" s="215">
        <f>IF(ISBLANK(F60),"-",(F60/$D$50*$D$47*$B$68)*($B$57/$D$60))</f>
        <v>97.545794405749405</v>
      </c>
      <c r="H60" s="138">
        <f t="shared" ref="H60:H71" si="0">IF(ISBLANK(F60),"-",G60/$B$56)</f>
        <v>0.97545794405749409</v>
      </c>
      <c r="J60" s="178"/>
      <c r="L60" s="66"/>
    </row>
    <row r="61" spans="1:12" s="14" customFormat="1" ht="26.25" customHeight="1" x14ac:dyDescent="0.45">
      <c r="A61" s="78" t="s">
        <v>88</v>
      </c>
      <c r="B61" s="79">
        <v>1</v>
      </c>
      <c r="C61" s="301"/>
      <c r="D61" s="304"/>
      <c r="E61" s="139">
        <v>2</v>
      </c>
      <c r="F61" s="91">
        <v>108285643</v>
      </c>
      <c r="G61" s="216">
        <f>IF(ISBLANK(F61),"-",(F61/$D$50*$D$47*$B$68)*($B$57/$D$60))</f>
        <v>97.386285457964803</v>
      </c>
      <c r="H61" s="140">
        <f t="shared" si="0"/>
        <v>0.97386285457964805</v>
      </c>
      <c r="J61" s="178"/>
      <c r="L61" s="66"/>
    </row>
    <row r="62" spans="1:12" s="14" customFormat="1" ht="26.25" customHeight="1" x14ac:dyDescent="0.45">
      <c r="A62" s="78" t="s">
        <v>89</v>
      </c>
      <c r="B62" s="79">
        <v>1</v>
      </c>
      <c r="C62" s="301"/>
      <c r="D62" s="304"/>
      <c r="E62" s="139">
        <v>3</v>
      </c>
      <c r="F62" s="141">
        <v>108373985</v>
      </c>
      <c r="G62" s="216">
        <f>IF(ISBLANK(F62),"-",(F62/$D$50*$D$47*$B$68)*($B$57/$D$60))</f>
        <v>97.465735503156196</v>
      </c>
      <c r="H62" s="140">
        <f t="shared" si="0"/>
        <v>0.97465735503156192</v>
      </c>
      <c r="J62" s="178"/>
      <c r="L62" s="66"/>
    </row>
    <row r="63" spans="1:12" ht="27" customHeight="1" x14ac:dyDescent="0.45">
      <c r="A63" s="78" t="s">
        <v>90</v>
      </c>
      <c r="B63" s="79">
        <v>1</v>
      </c>
      <c r="C63" s="302"/>
      <c r="D63" s="305"/>
      <c r="E63" s="142">
        <v>4</v>
      </c>
      <c r="F63" s="143"/>
      <c r="G63" s="216" t="str">
        <f>IF(ISBLANK(F63),"-",(F63/$D$50*$D$47*$B$68)*($B$57/$D$60))</f>
        <v>-</v>
      </c>
      <c r="H63" s="140" t="str">
        <f t="shared" si="0"/>
        <v>-</v>
      </c>
      <c r="J63" s="178"/>
    </row>
    <row r="64" spans="1:12" ht="26.25" customHeight="1" x14ac:dyDescent="0.45">
      <c r="A64" s="78" t="s">
        <v>91</v>
      </c>
      <c r="B64" s="79">
        <v>1</v>
      </c>
      <c r="C64" s="300" t="s">
        <v>92</v>
      </c>
      <c r="D64" s="303">
        <v>42.08</v>
      </c>
      <c r="E64" s="136">
        <v>1</v>
      </c>
      <c r="F64" s="137">
        <v>108677157</v>
      </c>
      <c r="G64" s="217">
        <f>IF(ISBLANK(F64),"-",(F64/$D$50*$D$47*$B$68)*($B$57/$D$64))</f>
        <v>97.854526121285076</v>
      </c>
      <c r="H64" s="144">
        <f t="shared" si="0"/>
        <v>0.97854526121285079</v>
      </c>
    </row>
    <row r="65" spans="1:8" ht="26.25" customHeight="1" x14ac:dyDescent="0.45">
      <c r="A65" s="78" t="s">
        <v>93</v>
      </c>
      <c r="B65" s="79">
        <v>1</v>
      </c>
      <c r="C65" s="301"/>
      <c r="D65" s="304"/>
      <c r="E65" s="139">
        <v>2</v>
      </c>
      <c r="F65" s="91">
        <v>108294474</v>
      </c>
      <c r="G65" s="218">
        <f>IF(ISBLANK(F65),"-",(F65/$D$50*$D$47*$B$68)*($B$57/$D$64))</f>
        <v>97.509952664880871</v>
      </c>
      <c r="H65" s="145">
        <f t="shared" si="0"/>
        <v>0.97509952664880872</v>
      </c>
    </row>
    <row r="66" spans="1:8" ht="26.25" customHeight="1" x14ac:dyDescent="0.45">
      <c r="A66" s="78" t="s">
        <v>94</v>
      </c>
      <c r="B66" s="79">
        <v>1</v>
      </c>
      <c r="C66" s="301"/>
      <c r="D66" s="304"/>
      <c r="E66" s="139">
        <v>3</v>
      </c>
      <c r="F66" s="91">
        <v>108602215</v>
      </c>
      <c r="G66" s="218">
        <f>IF(ISBLANK(F66),"-",(F66/$D$50*$D$47*$B$68)*($B$57/$D$64))</f>
        <v>97.787047231525548</v>
      </c>
      <c r="H66" s="145">
        <f t="shared" si="0"/>
        <v>0.97787047231525548</v>
      </c>
    </row>
    <row r="67" spans="1:8" ht="27" customHeight="1" x14ac:dyDescent="0.45">
      <c r="A67" s="78" t="s">
        <v>95</v>
      </c>
      <c r="B67" s="79">
        <v>1</v>
      </c>
      <c r="C67" s="302"/>
      <c r="D67" s="305"/>
      <c r="E67" s="142">
        <v>4</v>
      </c>
      <c r="F67" s="143"/>
      <c r="G67" s="219" t="str">
        <f>IF(ISBLANK(F67),"-",(F67/$D$50*$D$47*$B$68)*($B$57/$D$64))</f>
        <v>-</v>
      </c>
      <c r="H67" s="146" t="str">
        <f t="shared" si="0"/>
        <v>-</v>
      </c>
    </row>
    <row r="68" spans="1:8" ht="26.25" customHeight="1" x14ac:dyDescent="0.5">
      <c r="A68" s="78" t="s">
        <v>96</v>
      </c>
      <c r="B68" s="147">
        <f>(B67/B66)*(B65/B64)*(B63/B62)*(B61/B60)*B59</f>
        <v>50</v>
      </c>
      <c r="C68" s="300" t="s">
        <v>97</v>
      </c>
      <c r="D68" s="303">
        <v>42.4</v>
      </c>
      <c r="E68" s="136">
        <v>1</v>
      </c>
      <c r="F68" s="137">
        <v>109232591</v>
      </c>
      <c r="G68" s="217">
        <f>IF(ISBLANK(F68),"-",(F68/$D$50*$D$47*$B$68)*($B$57/$D$68))</f>
        <v>97.612347919879568</v>
      </c>
      <c r="H68" s="140">
        <f t="shared" si="0"/>
        <v>0.97612347919879572</v>
      </c>
    </row>
    <row r="69" spans="1:8" ht="27" customHeight="1" x14ac:dyDescent="0.5">
      <c r="A69" s="126" t="s">
        <v>98</v>
      </c>
      <c r="B69" s="148">
        <f>(D47*B68)/B56*B57</f>
        <v>46.663680000000006</v>
      </c>
      <c r="C69" s="301"/>
      <c r="D69" s="304"/>
      <c r="E69" s="139">
        <v>2</v>
      </c>
      <c r="F69" s="91">
        <v>109074908</v>
      </c>
      <c r="G69" s="218">
        <f>IF(ISBLANK(F69),"-",(F69/$D$50*$D$47*$B$68)*($B$57/$D$68))</f>
        <v>97.471439352975281</v>
      </c>
      <c r="H69" s="140">
        <f t="shared" si="0"/>
        <v>0.97471439352975286</v>
      </c>
    </row>
    <row r="70" spans="1:8" ht="26.25" customHeight="1" x14ac:dyDescent="0.45">
      <c r="A70" s="313" t="s">
        <v>71</v>
      </c>
      <c r="B70" s="314"/>
      <c r="C70" s="301"/>
      <c r="D70" s="304"/>
      <c r="E70" s="139">
        <v>3</v>
      </c>
      <c r="F70" s="91">
        <v>109016062</v>
      </c>
      <c r="G70" s="218">
        <f>IF(ISBLANK(F70),"-",(F70/$D$50*$D$47*$B$68)*($B$57/$D$68))</f>
        <v>97.418853433579727</v>
      </c>
      <c r="H70" s="140">
        <f t="shared" si="0"/>
        <v>0.97418853433579722</v>
      </c>
    </row>
    <row r="71" spans="1:8" ht="27" customHeight="1" x14ac:dyDescent="0.45">
      <c r="A71" s="315"/>
      <c r="B71" s="316"/>
      <c r="C71" s="312"/>
      <c r="D71" s="305"/>
      <c r="E71" s="142">
        <v>4</v>
      </c>
      <c r="F71" s="143"/>
      <c r="G71" s="219" t="str">
        <f>IF(ISBLANK(F71),"-",(F71/$D$50*$D$47*$B$68)*($B$57/$D$68))</f>
        <v>-</v>
      </c>
      <c r="H71" s="149" t="str">
        <f t="shared" si="0"/>
        <v>-</v>
      </c>
    </row>
    <row r="72" spans="1:8" ht="26.25" customHeight="1" x14ac:dyDescent="0.45">
      <c r="A72" s="150"/>
      <c r="B72" s="150"/>
      <c r="C72" s="150"/>
      <c r="D72" s="150"/>
      <c r="E72" s="150"/>
      <c r="F72" s="152" t="s">
        <v>64</v>
      </c>
      <c r="G72" s="223">
        <f>AVERAGE(G60:G71)</f>
        <v>97.561331343444053</v>
      </c>
      <c r="H72" s="153">
        <f>AVERAGE(H60:H71)</f>
        <v>0.97561331343444047</v>
      </c>
    </row>
    <row r="73" spans="1:8" ht="26.25" customHeight="1" x14ac:dyDescent="0.45">
      <c r="C73" s="150"/>
      <c r="D73" s="150"/>
      <c r="E73" s="150"/>
      <c r="F73" s="154" t="s">
        <v>77</v>
      </c>
      <c r="G73" s="220">
        <f>STDEV(G60:G71)/G72</f>
        <v>1.6628761732377154E-3</v>
      </c>
      <c r="H73" s="220">
        <f>STDEV(H60:H71)/H72</f>
        <v>1.6628761732377247E-3</v>
      </c>
    </row>
    <row r="74" spans="1:8" ht="27" customHeight="1" x14ac:dyDescent="0.45">
      <c r="A74" s="150"/>
      <c r="B74" s="150"/>
      <c r="C74" s="151"/>
      <c r="D74" s="151"/>
      <c r="E74" s="155"/>
      <c r="F74" s="156" t="s">
        <v>20</v>
      </c>
      <c r="G74" s="157">
        <f>COUNT(G60:G71)</f>
        <v>9</v>
      </c>
      <c r="H74" s="157">
        <f>COUNT(H60:H71)</f>
        <v>9</v>
      </c>
    </row>
    <row r="76" spans="1:8" ht="26.25" customHeight="1" x14ac:dyDescent="0.45">
      <c r="A76" s="62" t="s">
        <v>99</v>
      </c>
      <c r="B76" s="158" t="s">
        <v>100</v>
      </c>
      <c r="C76" s="308" t="str">
        <f>B20</f>
        <v>Isoniazid BP</v>
      </c>
      <c r="D76" s="308"/>
      <c r="E76" s="159" t="s">
        <v>101</v>
      </c>
      <c r="F76" s="159"/>
      <c r="G76" s="160">
        <f>H72</f>
        <v>0.97561331343444047</v>
      </c>
      <c r="H76" s="161"/>
    </row>
    <row r="77" spans="1:8" ht="18" x14ac:dyDescent="0.35">
      <c r="A77" s="61" t="s">
        <v>102</v>
      </c>
      <c r="B77" s="61" t="s">
        <v>103</v>
      </c>
    </row>
    <row r="78" spans="1:8" ht="18" x14ac:dyDescent="0.35">
      <c r="A78" s="61"/>
      <c r="B78" s="61"/>
    </row>
    <row r="79" spans="1:8" ht="26.25" customHeight="1" x14ac:dyDescent="0.45">
      <c r="A79" s="62" t="s">
        <v>4</v>
      </c>
      <c r="B79" s="294" t="str">
        <f>B26</f>
        <v>ISONIAZID</v>
      </c>
      <c r="C79" s="294"/>
    </row>
    <row r="80" spans="1:8" ht="26.25" customHeight="1" x14ac:dyDescent="0.45">
      <c r="A80" s="63" t="s">
        <v>41</v>
      </c>
      <c r="B80" s="294" t="str">
        <f>B27</f>
        <v>I8-2</v>
      </c>
      <c r="C80" s="294"/>
    </row>
    <row r="81" spans="1:12" ht="27" customHeight="1" x14ac:dyDescent="0.45">
      <c r="A81" s="63" t="s">
        <v>6</v>
      </c>
      <c r="B81" s="162">
        <f>B28</f>
        <v>98.5</v>
      </c>
    </row>
    <row r="82" spans="1:12" s="14" customFormat="1" ht="27" customHeight="1" x14ac:dyDescent="0.5">
      <c r="A82" s="63" t="s">
        <v>42</v>
      </c>
      <c r="B82" s="65">
        <v>0</v>
      </c>
      <c r="C82" s="285" t="s">
        <v>43</v>
      </c>
      <c r="D82" s="286"/>
      <c r="E82" s="286"/>
      <c r="F82" s="286"/>
      <c r="G82" s="287"/>
      <c r="H82" s="178"/>
      <c r="I82" s="66"/>
      <c r="J82" s="66"/>
      <c r="K82" s="66"/>
      <c r="L82" s="66"/>
    </row>
    <row r="83" spans="1:12" s="14" customFormat="1" ht="19.5" customHeight="1" x14ac:dyDescent="0.35">
      <c r="A83" s="63" t="s">
        <v>44</v>
      </c>
      <c r="B83" s="67">
        <f>B81-B82</f>
        <v>98.5</v>
      </c>
      <c r="C83" s="68"/>
      <c r="D83" s="68"/>
      <c r="E83" s="68"/>
      <c r="F83" s="68"/>
      <c r="G83" s="69"/>
      <c r="H83" s="178"/>
      <c r="I83" s="66"/>
      <c r="J83" s="66"/>
      <c r="K83" s="66"/>
      <c r="L83" s="66"/>
    </row>
    <row r="84" spans="1:12" s="14" customFormat="1" ht="27" customHeight="1" x14ac:dyDescent="0.45">
      <c r="A84" s="63" t="s">
        <v>45</v>
      </c>
      <c r="B84" s="70">
        <v>1</v>
      </c>
      <c r="C84" s="288" t="s">
        <v>104</v>
      </c>
      <c r="D84" s="289"/>
      <c r="E84" s="289"/>
      <c r="F84" s="289"/>
      <c r="G84" s="289"/>
      <c r="H84" s="290"/>
      <c r="I84" s="66"/>
      <c r="J84" s="66"/>
      <c r="K84" s="66"/>
      <c r="L84" s="66"/>
    </row>
    <row r="85" spans="1:12" s="14" customFormat="1" ht="27" customHeight="1" x14ac:dyDescent="0.45">
      <c r="A85" s="63" t="s">
        <v>47</v>
      </c>
      <c r="B85" s="70">
        <v>1</v>
      </c>
      <c r="C85" s="288" t="s">
        <v>105</v>
      </c>
      <c r="D85" s="289"/>
      <c r="E85" s="289"/>
      <c r="F85" s="289"/>
      <c r="G85" s="289"/>
      <c r="H85" s="290"/>
      <c r="I85" s="66"/>
      <c r="J85" s="66"/>
      <c r="K85" s="66"/>
      <c r="L85" s="66"/>
    </row>
    <row r="86" spans="1:12" s="14" customFormat="1" ht="18" x14ac:dyDescent="0.35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14" customFormat="1" ht="18" x14ac:dyDescent="0.35">
      <c r="A87" s="63" t="s">
        <v>49</v>
      </c>
      <c r="B87" s="75">
        <f>B84/B85</f>
        <v>1</v>
      </c>
      <c r="C87" s="53" t="s">
        <v>50</v>
      </c>
      <c r="D87" s="53"/>
      <c r="E87" s="53"/>
      <c r="F87" s="53"/>
      <c r="G87" s="53"/>
      <c r="H87" s="178"/>
      <c r="I87" s="66"/>
      <c r="J87" s="66"/>
      <c r="K87" s="66"/>
      <c r="L87" s="66"/>
    </row>
    <row r="88" spans="1:12" ht="19.5" customHeight="1" x14ac:dyDescent="0.35">
      <c r="A88" s="61"/>
      <c r="B88" s="61"/>
      <c r="L88" s="66"/>
    </row>
    <row r="89" spans="1:12" ht="27" customHeight="1" x14ac:dyDescent="0.45">
      <c r="A89" s="76" t="s">
        <v>51</v>
      </c>
      <c r="B89" s="77">
        <v>50</v>
      </c>
      <c r="D89" s="163" t="s">
        <v>52</v>
      </c>
      <c r="E89" s="164"/>
      <c r="F89" s="291" t="s">
        <v>53</v>
      </c>
      <c r="G89" s="293"/>
    </row>
    <row r="90" spans="1:12" ht="27" customHeight="1" x14ac:dyDescent="0.45">
      <c r="A90" s="78" t="s">
        <v>54</v>
      </c>
      <c r="B90" s="79">
        <v>5</v>
      </c>
      <c r="C90" s="165" t="s">
        <v>55</v>
      </c>
      <c r="D90" s="81" t="s">
        <v>56</v>
      </c>
      <c r="E90" s="82" t="s">
        <v>57</v>
      </c>
      <c r="F90" s="81" t="s">
        <v>56</v>
      </c>
      <c r="G90" s="166" t="s">
        <v>57</v>
      </c>
      <c r="I90" s="84" t="s">
        <v>58</v>
      </c>
    </row>
    <row r="91" spans="1:12" ht="26.25" customHeight="1" x14ac:dyDescent="0.45">
      <c r="A91" s="78" t="s">
        <v>59</v>
      </c>
      <c r="B91" s="79">
        <v>100</v>
      </c>
      <c r="C91" s="167">
        <v>1</v>
      </c>
      <c r="D91" s="86">
        <v>0.4889</v>
      </c>
      <c r="E91" s="221">
        <f>IF(ISBLANK(D91),"-",$D$101/$D$98*D91)</f>
        <v>0.34127143678834887</v>
      </c>
      <c r="F91" s="330">
        <v>0.47199999999999998</v>
      </c>
      <c r="G91" s="334">
        <f>IF(ISBLANK(F91),"-",$D$101/$F$98*F91)</f>
        <v>0.33934410966566336</v>
      </c>
      <c r="I91" s="89"/>
    </row>
    <row r="92" spans="1:12" ht="26.25" customHeight="1" x14ac:dyDescent="0.45">
      <c r="A92" s="78" t="s">
        <v>60</v>
      </c>
      <c r="B92" s="79">
        <v>1</v>
      </c>
      <c r="C92" s="151">
        <v>2</v>
      </c>
      <c r="D92" s="329">
        <v>0.495</v>
      </c>
      <c r="E92" s="222">
        <f>IF(ISBLANK(D92),"-",$D$101/$D$98*D92)</f>
        <v>0.34552947680554857</v>
      </c>
      <c r="F92" s="91">
        <v>0.47139999999999999</v>
      </c>
      <c r="G92" s="335">
        <f>IF(ISBLANK(F92),"-",$D$101/$F$98*F92)</f>
        <v>0.33891274003473243</v>
      </c>
      <c r="I92" s="295">
        <f>ABS((F96/D96*D95)-F95)/D95</f>
        <v>8.5440423584570262E-3</v>
      </c>
    </row>
    <row r="93" spans="1:12" ht="26.25" customHeight="1" x14ac:dyDescent="0.45">
      <c r="A93" s="78" t="s">
        <v>61</v>
      </c>
      <c r="B93" s="79">
        <v>1</v>
      </c>
      <c r="C93" s="151">
        <v>3</v>
      </c>
      <c r="D93" s="91">
        <v>0.4884</v>
      </c>
      <c r="E93" s="222">
        <f>IF(ISBLANK(D93),"-",$D$101/$D$98*D93)</f>
        <v>0.34092241711480792</v>
      </c>
      <c r="F93" s="91">
        <v>0.47349999999999998</v>
      </c>
      <c r="G93" s="335">
        <f>IF(ISBLANK(F93),"-",$D$101/$F$98*F93)</f>
        <v>0.3404225337429907</v>
      </c>
      <c r="I93" s="295"/>
    </row>
    <row r="94" spans="1:12" ht="27" customHeight="1" x14ac:dyDescent="0.45">
      <c r="A94" s="78" t="s">
        <v>62</v>
      </c>
      <c r="B94" s="79">
        <v>1</v>
      </c>
      <c r="C94" s="168">
        <v>4</v>
      </c>
      <c r="D94" s="96"/>
      <c r="E94" s="97" t="str">
        <f>IF(ISBLANK(D94),"-",$D$101/$D$98*D94)</f>
        <v>-</v>
      </c>
      <c r="F94" s="169"/>
      <c r="G94" s="98" t="str">
        <f>IF(ISBLANK(F94),"-",$D$101/$F$98*F94)</f>
        <v>-</v>
      </c>
      <c r="I94" s="99"/>
    </row>
    <row r="95" spans="1:12" ht="27" customHeight="1" x14ac:dyDescent="0.45">
      <c r="A95" s="78" t="s">
        <v>63</v>
      </c>
      <c r="B95" s="79">
        <v>1</v>
      </c>
      <c r="C95" s="170" t="s">
        <v>64</v>
      </c>
      <c r="D95" s="338">
        <f>AVERAGE(D91:D94)</f>
        <v>0.49076666666666663</v>
      </c>
      <c r="E95" s="337">
        <f>AVERAGE(E91:E94)</f>
        <v>0.34257444356956851</v>
      </c>
      <c r="F95" s="339">
        <f>AVERAGE(F91:F94)</f>
        <v>0.4723</v>
      </c>
      <c r="G95" s="336">
        <f>AVERAGE(G91:G94)</f>
        <v>0.33955979448112883</v>
      </c>
    </row>
    <row r="96" spans="1:12" ht="26.25" customHeight="1" x14ac:dyDescent="0.45">
      <c r="A96" s="78" t="s">
        <v>65</v>
      </c>
      <c r="B96" s="64">
        <v>1</v>
      </c>
      <c r="C96" s="171" t="s">
        <v>106</v>
      </c>
      <c r="D96" s="172">
        <v>16.16</v>
      </c>
      <c r="E96" s="94"/>
      <c r="F96" s="106">
        <v>15.69</v>
      </c>
    </row>
    <row r="97" spans="1:10" ht="26.25" customHeight="1" x14ac:dyDescent="0.45">
      <c r="A97" s="78" t="s">
        <v>67</v>
      </c>
      <c r="B97" s="64">
        <v>1</v>
      </c>
      <c r="C97" s="173" t="s">
        <v>107</v>
      </c>
      <c r="D97" s="174">
        <f>D96*$B$87</f>
        <v>16.16</v>
      </c>
      <c r="E97" s="109"/>
      <c r="F97" s="108">
        <f>F96*$B$87</f>
        <v>15.69</v>
      </c>
    </row>
    <row r="98" spans="1:10" ht="19.5" customHeight="1" x14ac:dyDescent="0.35">
      <c r="A98" s="78" t="s">
        <v>69</v>
      </c>
      <c r="B98" s="175">
        <f>(B97/B96)*(B95/B94)*(B93/B92)*(B91/B90)*B89</f>
        <v>1000</v>
      </c>
      <c r="C98" s="173" t="s">
        <v>108</v>
      </c>
      <c r="D98" s="176">
        <f>D97*$B$83/100</f>
        <v>15.9176</v>
      </c>
      <c r="E98" s="112"/>
      <c r="F98" s="111">
        <f>F97*$B$83/100</f>
        <v>15.454649999999999</v>
      </c>
    </row>
    <row r="99" spans="1:10" ht="19.5" customHeight="1" x14ac:dyDescent="0.35">
      <c r="A99" s="296" t="s">
        <v>71</v>
      </c>
      <c r="B99" s="310"/>
      <c r="C99" s="173" t="s">
        <v>109</v>
      </c>
      <c r="D99" s="177">
        <f>D98/$B$98</f>
        <v>1.59176E-2</v>
      </c>
      <c r="E99" s="112"/>
      <c r="F99" s="115">
        <f>F98/$B$98</f>
        <v>1.5454649999999999E-2</v>
      </c>
      <c r="G99" s="178"/>
      <c r="H99" s="104"/>
    </row>
    <row r="100" spans="1:10" ht="19.5" customHeight="1" x14ac:dyDescent="0.35">
      <c r="A100" s="298"/>
      <c r="B100" s="311"/>
      <c r="C100" s="173" t="s">
        <v>73</v>
      </c>
      <c r="D100" s="179">
        <f>$B$56/$B$116</f>
        <v>1.1111111111111112E-2</v>
      </c>
      <c r="F100" s="120"/>
      <c r="G100" s="180"/>
      <c r="H100" s="104"/>
    </row>
    <row r="101" spans="1:10" ht="18" x14ac:dyDescent="0.35">
      <c r="C101" s="173" t="s">
        <v>74</v>
      </c>
      <c r="D101" s="174">
        <f>D100*$B$98</f>
        <v>11.111111111111111</v>
      </c>
      <c r="F101" s="120"/>
      <c r="G101" s="178"/>
      <c r="H101" s="104"/>
    </row>
    <row r="102" spans="1:10" ht="19.5" customHeight="1" x14ac:dyDescent="0.35">
      <c r="C102" s="181" t="s">
        <v>75</v>
      </c>
      <c r="D102" s="182">
        <f>D101/B34</f>
        <v>11.111111111111111</v>
      </c>
      <c r="F102" s="124"/>
      <c r="G102" s="178"/>
      <c r="H102" s="104"/>
      <c r="J102" s="183"/>
    </row>
    <row r="103" spans="1:10" ht="18" x14ac:dyDescent="0.35">
      <c r="C103" s="184" t="s">
        <v>125</v>
      </c>
      <c r="D103" s="340">
        <f>AVERAGE(E91:E94,G91:G94)</f>
        <v>0.34106711902534864</v>
      </c>
      <c r="F103" s="124"/>
      <c r="G103" s="185"/>
      <c r="H103" s="104"/>
      <c r="J103" s="186"/>
    </row>
    <row r="104" spans="1:10" ht="18" x14ac:dyDescent="0.35">
      <c r="C104" s="154" t="s">
        <v>77</v>
      </c>
      <c r="D104" s="187">
        <f>STDEV(E91:E94,G91:G94)/D103</f>
        <v>6.9384315481188126E-3</v>
      </c>
      <c r="F104" s="124"/>
      <c r="G104" s="178"/>
      <c r="H104" s="104"/>
      <c r="J104" s="186"/>
    </row>
    <row r="105" spans="1:10" ht="19.5" customHeight="1" x14ac:dyDescent="0.35">
      <c r="C105" s="156" t="s">
        <v>20</v>
      </c>
      <c r="D105" s="188">
        <f>COUNT(E91:E94,G91:G94)</f>
        <v>6</v>
      </c>
      <c r="F105" s="124"/>
      <c r="G105" s="178"/>
      <c r="H105" s="104"/>
      <c r="J105" s="186"/>
    </row>
    <row r="106" spans="1:10" ht="19.5" customHeight="1" x14ac:dyDescent="0.35">
      <c r="A106" s="128"/>
      <c r="B106" s="128"/>
      <c r="C106" s="128"/>
      <c r="D106" s="128"/>
      <c r="E106" s="128"/>
    </row>
    <row r="107" spans="1:10" ht="26.25" customHeight="1" x14ac:dyDescent="0.45">
      <c r="A107" s="76" t="s">
        <v>110</v>
      </c>
      <c r="B107" s="77">
        <v>900</v>
      </c>
      <c r="C107" s="189" t="s">
        <v>126</v>
      </c>
      <c r="D107" s="190" t="s">
        <v>56</v>
      </c>
      <c r="E107" s="191" t="s">
        <v>111</v>
      </c>
      <c r="F107" s="192" t="s">
        <v>112</v>
      </c>
    </row>
    <row r="108" spans="1:10" ht="26.25" customHeight="1" x14ac:dyDescent="0.45">
      <c r="A108" s="78" t="s">
        <v>113</v>
      </c>
      <c r="B108" s="79">
        <v>2</v>
      </c>
      <c r="C108" s="193">
        <v>1</v>
      </c>
      <c r="D108" s="327">
        <v>0.3453</v>
      </c>
      <c r="E108" s="331">
        <f t="shared" ref="E108:E113" si="1">IF(ISBLANK(D108),"-",D108/$D$103*$D$100*$B$116)</f>
        <v>101.24106978906306</v>
      </c>
      <c r="F108" s="194">
        <f t="shared" ref="F108:F113" si="2">IF(ISBLANK(D108), "-", E108/$B$56)</f>
        <v>1.0124106978906307</v>
      </c>
    </row>
    <row r="109" spans="1:10" ht="26.25" customHeight="1" x14ac:dyDescent="0.45">
      <c r="A109" s="78" t="s">
        <v>88</v>
      </c>
      <c r="B109" s="79">
        <v>20</v>
      </c>
      <c r="C109" s="193">
        <v>2</v>
      </c>
      <c r="D109" s="327">
        <v>0.36870000000000003</v>
      </c>
      <c r="E109" s="332">
        <f t="shared" si="1"/>
        <v>108.10188946199698</v>
      </c>
      <c r="F109" s="195">
        <f t="shared" si="2"/>
        <v>1.0810188946199697</v>
      </c>
    </row>
    <row r="110" spans="1:10" ht="26.25" customHeight="1" x14ac:dyDescent="0.45">
      <c r="A110" s="78" t="s">
        <v>89</v>
      </c>
      <c r="B110" s="79">
        <v>1</v>
      </c>
      <c r="C110" s="193">
        <v>3</v>
      </c>
      <c r="D110" s="327">
        <v>0.34720000000000001</v>
      </c>
      <c r="E110" s="332">
        <f t="shared" si="1"/>
        <v>101.79814489071155</v>
      </c>
      <c r="F110" s="195">
        <f t="shared" si="2"/>
        <v>1.0179814489071155</v>
      </c>
    </row>
    <row r="111" spans="1:10" ht="26.25" customHeight="1" x14ac:dyDescent="0.45">
      <c r="A111" s="78" t="s">
        <v>90</v>
      </c>
      <c r="B111" s="79">
        <v>1</v>
      </c>
      <c r="C111" s="193">
        <v>4</v>
      </c>
      <c r="D111" s="327">
        <v>0.3478</v>
      </c>
      <c r="E111" s="332">
        <f t="shared" si="1"/>
        <v>101.9740633438637</v>
      </c>
      <c r="F111" s="195">
        <f t="shared" si="2"/>
        <v>1.019740633438637</v>
      </c>
    </row>
    <row r="112" spans="1:10" ht="26.25" customHeight="1" x14ac:dyDescent="0.45">
      <c r="A112" s="78" t="s">
        <v>91</v>
      </c>
      <c r="B112" s="79">
        <v>1</v>
      </c>
      <c r="C112" s="193">
        <v>5</v>
      </c>
      <c r="D112" s="327">
        <v>0.34160000000000001</v>
      </c>
      <c r="E112" s="332">
        <f t="shared" si="1"/>
        <v>100.15623932795813</v>
      </c>
      <c r="F112" s="195">
        <f t="shared" si="2"/>
        <v>1.0015623932795814</v>
      </c>
    </row>
    <row r="113" spans="1:10" ht="26.25" customHeight="1" x14ac:dyDescent="0.45">
      <c r="A113" s="78" t="s">
        <v>93</v>
      </c>
      <c r="B113" s="79">
        <v>1</v>
      </c>
      <c r="C113" s="196">
        <v>6</v>
      </c>
      <c r="D113" s="328">
        <v>0.34210000000000002</v>
      </c>
      <c r="E113" s="333">
        <f t="shared" si="1"/>
        <v>100.30283803891827</v>
      </c>
      <c r="F113" s="197">
        <f t="shared" si="2"/>
        <v>1.0030283803891826</v>
      </c>
    </row>
    <row r="114" spans="1:10" ht="26.25" customHeight="1" x14ac:dyDescent="0.45">
      <c r="A114" s="78" t="s">
        <v>94</v>
      </c>
      <c r="B114" s="79">
        <v>1</v>
      </c>
      <c r="C114" s="193"/>
      <c r="D114" s="151"/>
      <c r="E114" s="52"/>
      <c r="F114" s="198"/>
    </row>
    <row r="115" spans="1:10" ht="26.25" customHeight="1" x14ac:dyDescent="0.45">
      <c r="A115" s="78" t="s">
        <v>95</v>
      </c>
      <c r="B115" s="79">
        <v>1</v>
      </c>
      <c r="C115" s="193"/>
      <c r="D115" s="341" t="s">
        <v>64</v>
      </c>
      <c r="E115" s="224">
        <f>AVERAGE(E108:E113)</f>
        <v>102.26237414208528</v>
      </c>
      <c r="F115" s="199">
        <f>AVERAGE(F108:F113)</f>
        <v>1.0226237414208528</v>
      </c>
    </row>
    <row r="116" spans="1:10" ht="27" customHeight="1" x14ac:dyDescent="0.45">
      <c r="A116" s="78" t="s">
        <v>96</v>
      </c>
      <c r="B116" s="110">
        <f>(B115/B114)*(B113/B112)*(B111/B110)*(B109/B108)*B107</f>
        <v>9000</v>
      </c>
      <c r="C116" s="200"/>
      <c r="D116" s="342" t="s">
        <v>77</v>
      </c>
      <c r="E116" s="201">
        <f>STDEV(E108:E113)/E115</f>
        <v>2.89151461374626E-2</v>
      </c>
      <c r="F116" s="201">
        <f>STDEV(F108:F113)/F115</f>
        <v>2.8915146137462572E-2</v>
      </c>
      <c r="I116" s="52"/>
    </row>
    <row r="117" spans="1:10" ht="27" customHeight="1" x14ac:dyDescent="0.45">
      <c r="A117" s="296" t="s">
        <v>71</v>
      </c>
      <c r="B117" s="297"/>
      <c r="C117" s="202"/>
      <c r="D117" s="343" t="s">
        <v>20</v>
      </c>
      <c r="E117" s="203">
        <f>COUNT(E108:E113)</f>
        <v>6</v>
      </c>
      <c r="F117" s="203">
        <f>COUNT(F108:F113)</f>
        <v>6</v>
      </c>
      <c r="I117" s="52"/>
      <c r="J117" s="186"/>
    </row>
    <row r="118" spans="1:10" ht="19.5" customHeight="1" x14ac:dyDescent="0.35">
      <c r="A118" s="298"/>
      <c r="B118" s="299"/>
      <c r="C118" s="52"/>
      <c r="D118" s="52"/>
      <c r="E118" s="52"/>
      <c r="F118" s="151"/>
      <c r="G118" s="52"/>
      <c r="H118" s="52"/>
      <c r="I118" s="52"/>
    </row>
    <row r="119" spans="1:10" ht="18" x14ac:dyDescent="0.35">
      <c r="A119" s="212"/>
      <c r="B119" s="74"/>
      <c r="C119" s="52"/>
      <c r="D119" s="52"/>
      <c r="E119" s="52"/>
      <c r="F119" s="151"/>
      <c r="G119" s="52"/>
      <c r="H119" s="52"/>
      <c r="I119" s="52"/>
    </row>
    <row r="120" spans="1:10" ht="26.25" customHeight="1" x14ac:dyDescent="0.45">
      <c r="A120" s="62" t="s">
        <v>99</v>
      </c>
      <c r="B120" s="158" t="s">
        <v>114</v>
      </c>
      <c r="C120" s="308" t="str">
        <f>B20</f>
        <v>Isoniazid BP</v>
      </c>
      <c r="D120" s="308"/>
      <c r="E120" s="159" t="s">
        <v>115</v>
      </c>
      <c r="F120" s="159"/>
      <c r="G120" s="160">
        <f>F115</f>
        <v>1.0226237414208528</v>
      </c>
      <c r="H120" s="52"/>
      <c r="I120" s="52"/>
    </row>
    <row r="121" spans="1:10" ht="19.5" customHeight="1" x14ac:dyDescent="0.35">
      <c r="A121" s="204"/>
      <c r="B121" s="204"/>
      <c r="C121" s="205"/>
      <c r="D121" s="205"/>
      <c r="E121" s="205"/>
      <c r="F121" s="205"/>
      <c r="G121" s="205"/>
      <c r="H121" s="205"/>
    </row>
    <row r="122" spans="1:10" ht="31.2" customHeight="1" x14ac:dyDescent="0.35">
      <c r="B122" s="309" t="s">
        <v>26</v>
      </c>
      <c r="C122" s="309"/>
      <c r="E122" s="165" t="s">
        <v>27</v>
      </c>
      <c r="F122" s="206"/>
      <c r="G122" s="309" t="s">
        <v>28</v>
      </c>
      <c r="H122" s="309"/>
    </row>
    <row r="123" spans="1:10" ht="69.900000000000006" customHeight="1" x14ac:dyDescent="0.35">
      <c r="A123" s="207" t="s">
        <v>29</v>
      </c>
      <c r="B123" s="208"/>
      <c r="C123" s="208"/>
      <c r="E123" s="208"/>
      <c r="F123" s="52"/>
      <c r="G123" s="209"/>
      <c r="H123" s="209"/>
    </row>
    <row r="124" spans="1:10" ht="69.900000000000006" customHeight="1" x14ac:dyDescent="0.35">
      <c r="A124" s="207" t="s">
        <v>30</v>
      </c>
      <c r="B124" s="210"/>
      <c r="C124" s="210"/>
      <c r="E124" s="210"/>
      <c r="F124" s="52"/>
      <c r="G124" s="211"/>
      <c r="H124" s="211"/>
    </row>
    <row r="125" spans="1:10" ht="18" x14ac:dyDescent="0.35">
      <c r="A125" s="150"/>
      <c r="B125" s="150"/>
      <c r="C125" s="151"/>
      <c r="D125" s="151"/>
      <c r="E125" s="151"/>
      <c r="F125" s="155"/>
      <c r="G125" s="151"/>
      <c r="H125" s="151"/>
      <c r="I125" s="52"/>
    </row>
    <row r="126" spans="1:10" ht="18" x14ac:dyDescent="0.35">
      <c r="A126" s="150"/>
      <c r="B126" s="150"/>
      <c r="C126" s="151"/>
      <c r="D126" s="151"/>
      <c r="E126" s="151"/>
      <c r="F126" s="155"/>
      <c r="G126" s="151"/>
      <c r="H126" s="151"/>
      <c r="I126" s="52"/>
    </row>
    <row r="127" spans="1:10" ht="18" x14ac:dyDescent="0.35">
      <c r="A127" s="150"/>
      <c r="B127" s="150"/>
      <c r="C127" s="151"/>
      <c r="D127" s="151"/>
      <c r="E127" s="151"/>
      <c r="F127" s="155"/>
      <c r="G127" s="151"/>
      <c r="H127" s="151"/>
      <c r="I127" s="52"/>
    </row>
    <row r="128" spans="1:10" ht="18" x14ac:dyDescent="0.35">
      <c r="A128" s="150"/>
      <c r="B128" s="150"/>
      <c r="C128" s="151"/>
      <c r="D128" s="151"/>
      <c r="E128" s="151"/>
      <c r="F128" s="155"/>
      <c r="G128" s="151"/>
      <c r="H128" s="151"/>
      <c r="I128" s="52"/>
    </row>
    <row r="129" spans="1:9" ht="18" x14ac:dyDescent="0.35">
      <c r="A129" s="150"/>
      <c r="B129" s="150"/>
      <c r="C129" s="151"/>
      <c r="D129" s="151"/>
      <c r="E129" s="151"/>
      <c r="F129" s="155"/>
      <c r="G129" s="151"/>
      <c r="H129" s="151"/>
      <c r="I129" s="52"/>
    </row>
    <row r="130" spans="1:9" ht="18" x14ac:dyDescent="0.35">
      <c r="A130" s="150"/>
      <c r="B130" s="150"/>
      <c r="C130" s="151"/>
      <c r="D130" s="151"/>
      <c r="E130" s="151"/>
      <c r="F130" s="155"/>
      <c r="G130" s="151"/>
      <c r="H130" s="151"/>
      <c r="I130" s="52"/>
    </row>
    <row r="131" spans="1:9" ht="18" x14ac:dyDescent="0.35">
      <c r="A131" s="150"/>
      <c r="B131" s="150"/>
      <c r="C131" s="151"/>
      <c r="D131" s="151"/>
      <c r="E131" s="151"/>
      <c r="F131" s="155"/>
      <c r="G131" s="151"/>
      <c r="H131" s="151"/>
      <c r="I131" s="52"/>
    </row>
    <row r="132" spans="1:9" ht="18" x14ac:dyDescent="0.35">
      <c r="A132" s="150"/>
      <c r="B132" s="150"/>
      <c r="C132" s="151"/>
      <c r="D132" s="151"/>
      <c r="E132" s="151"/>
      <c r="F132" s="155"/>
      <c r="G132" s="151"/>
      <c r="H132" s="151"/>
      <c r="I132" s="52"/>
    </row>
    <row r="133" spans="1:9" ht="18" x14ac:dyDescent="0.35">
      <c r="A133" s="150"/>
      <c r="B133" s="150"/>
      <c r="C133" s="151"/>
      <c r="D133" s="151"/>
      <c r="E133" s="151"/>
      <c r="F133" s="155"/>
      <c r="G133" s="151"/>
      <c r="H133" s="151"/>
      <c r="I133" s="52"/>
    </row>
    <row r="250" spans="1:1" x14ac:dyDescent="0.3">
      <c r="A250" s="2">
        <v>5</v>
      </c>
    </row>
  </sheetData>
  <sheetProtection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D51">
    <cfRule type="cellIs" dxfId="30" priority="3" operator="greaterThan">
      <formula>0.02</formula>
    </cfRule>
  </conditionalFormatting>
  <conditionalFormatting sqref="G73">
    <cfRule type="cellIs" dxfId="29" priority="4" operator="greaterThan">
      <formula>0.02</formula>
    </cfRule>
  </conditionalFormatting>
  <conditionalFormatting sqref="D104">
    <cfRule type="cellIs" dxfId="27" priority="6" operator="greaterThan">
      <formula>0.02</formula>
    </cfRule>
  </conditionalFormatting>
  <conditionalFormatting sqref="I39">
    <cfRule type="cellIs" dxfId="26" priority="7" operator="lessThanOrEqual">
      <formula>0.02</formula>
    </cfRule>
  </conditionalFormatting>
  <conditionalFormatting sqref="I39">
    <cfRule type="cellIs" dxfId="25" priority="8" operator="greaterThan">
      <formula>0.02</formula>
    </cfRule>
  </conditionalFormatting>
  <conditionalFormatting sqref="I92">
    <cfRule type="cellIs" dxfId="24" priority="9" operator="lessThanOrEqual">
      <formula>0.02</formula>
    </cfRule>
  </conditionalFormatting>
  <conditionalFormatting sqref="I92">
    <cfRule type="cellIs" dxfId="23" priority="10" operator="greaterThan">
      <formula>0.02</formula>
    </cfRule>
  </conditionalFormatting>
  <conditionalFormatting sqref="H73">
    <cfRule type="cellIs" dxfId="1" priority="1" operator="greaterThan">
      <formula>0.02</formula>
    </cfRule>
  </conditionalFormatting>
  <pageMargins left="0.7" right="0.7" top="0.75" bottom="0.75" header="0.3" footer="0.3"/>
  <pageSetup paperSize="9" scale="26" orientation="portrait" r:id="rId1"/>
  <headerFooter>
    <oddHeader>&amp;LVer 3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1" workbookViewId="0">
      <selection activeCell="C43" sqref="C43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320" t="s">
        <v>33</v>
      </c>
      <c r="B11" s="321"/>
      <c r="C11" s="321"/>
      <c r="D11" s="321"/>
      <c r="E11" s="321"/>
      <c r="F11" s="322"/>
      <c r="G11" s="265"/>
    </row>
    <row r="12" spans="1:7" ht="16.5" customHeight="1" x14ac:dyDescent="0.3">
      <c r="A12" s="319" t="s">
        <v>116</v>
      </c>
      <c r="B12" s="319"/>
      <c r="C12" s="319"/>
      <c r="D12" s="319"/>
      <c r="E12" s="319"/>
      <c r="F12" s="319"/>
      <c r="G12" s="264"/>
    </row>
    <row r="14" spans="1:7" ht="16.5" customHeight="1" x14ac:dyDescent="0.3">
      <c r="A14" s="324" t="s">
        <v>35</v>
      </c>
      <c r="B14" s="324"/>
      <c r="C14" s="234" t="s">
        <v>5</v>
      </c>
    </row>
    <row r="15" spans="1:7" ht="16.5" customHeight="1" x14ac:dyDescent="0.3">
      <c r="A15" s="324" t="s">
        <v>36</v>
      </c>
      <c r="B15" s="324"/>
      <c r="C15" s="234" t="s">
        <v>7</v>
      </c>
    </row>
    <row r="16" spans="1:7" ht="16.5" customHeight="1" x14ac:dyDescent="0.3">
      <c r="A16" s="324" t="s">
        <v>37</v>
      </c>
      <c r="B16" s="324"/>
      <c r="C16" s="234" t="s">
        <v>9</v>
      </c>
    </row>
    <row r="17" spans="1:5" ht="16.5" customHeight="1" x14ac:dyDescent="0.3">
      <c r="A17" s="324" t="s">
        <v>38</v>
      </c>
      <c r="B17" s="324"/>
      <c r="C17" s="234" t="s">
        <v>11</v>
      </c>
    </row>
    <row r="18" spans="1:5" ht="16.5" customHeight="1" x14ac:dyDescent="0.3">
      <c r="A18" s="324" t="s">
        <v>39</v>
      </c>
      <c r="B18" s="324"/>
      <c r="C18" s="271" t="s">
        <v>12</v>
      </c>
    </row>
    <row r="19" spans="1:5" ht="16.5" customHeight="1" x14ac:dyDescent="0.3">
      <c r="A19" s="324" t="s">
        <v>40</v>
      </c>
      <c r="B19" s="324"/>
      <c r="C19" s="271" t="e">
        <f>#REF!</f>
        <v>#REF!</v>
      </c>
    </row>
    <row r="20" spans="1:5" ht="16.5" customHeight="1" x14ac:dyDescent="0.3">
      <c r="A20" s="236"/>
      <c r="B20" s="236"/>
      <c r="C20" s="251"/>
    </row>
    <row r="21" spans="1:5" ht="16.5" customHeight="1" x14ac:dyDescent="0.3">
      <c r="A21" s="319" t="s">
        <v>1</v>
      </c>
      <c r="B21" s="319"/>
      <c r="C21" s="233" t="s">
        <v>117</v>
      </c>
      <c r="D21" s="240"/>
    </row>
    <row r="22" spans="1:5" ht="15.75" customHeight="1" x14ac:dyDescent="0.3">
      <c r="A22" s="323"/>
      <c r="B22" s="323"/>
      <c r="C22" s="231"/>
      <c r="D22" s="323"/>
      <c r="E22" s="323"/>
    </row>
    <row r="23" spans="1:5" ht="33.75" customHeight="1" x14ac:dyDescent="0.3">
      <c r="C23" s="260" t="s">
        <v>118</v>
      </c>
      <c r="D23" s="259" t="s">
        <v>119</v>
      </c>
      <c r="E23" s="226"/>
    </row>
    <row r="24" spans="1:5" ht="15.75" customHeight="1" x14ac:dyDescent="0.3">
      <c r="C24" s="269">
        <v>282.18</v>
      </c>
      <c r="D24" s="261">
        <f t="shared" ref="D24:D43" si="0">(C24-$C$46)/$C$46</f>
        <v>-3.2463791968400324E-2</v>
      </c>
      <c r="E24" s="227"/>
    </row>
    <row r="25" spans="1:5" ht="15.75" customHeight="1" x14ac:dyDescent="0.3">
      <c r="C25" s="269">
        <v>300.45</v>
      </c>
      <c r="D25" s="262">
        <f t="shared" si="0"/>
        <v>3.0180217248189471E-2</v>
      </c>
      <c r="E25" s="227"/>
    </row>
    <row r="26" spans="1:5" ht="15.75" customHeight="1" x14ac:dyDescent="0.3">
      <c r="C26" s="269">
        <v>290.33999999999997</v>
      </c>
      <c r="D26" s="262">
        <f t="shared" si="0"/>
        <v>-4.4848584595130071E-3</v>
      </c>
      <c r="E26" s="227"/>
    </row>
    <row r="27" spans="1:5" ht="15.75" customHeight="1" x14ac:dyDescent="0.3">
      <c r="C27" s="269">
        <v>287.79000000000002</v>
      </c>
      <c r="D27" s="262">
        <f t="shared" si="0"/>
        <v>-1.322827518104017E-2</v>
      </c>
      <c r="E27" s="227"/>
    </row>
    <row r="28" spans="1:5" ht="15.75" customHeight="1" x14ac:dyDescent="0.3">
      <c r="C28" s="269">
        <v>292.91000000000003</v>
      </c>
      <c r="D28" s="262">
        <f t="shared" si="0"/>
        <v>4.3271340794382284E-3</v>
      </c>
      <c r="E28" s="227"/>
    </row>
    <row r="29" spans="1:5" ht="15.75" customHeight="1" x14ac:dyDescent="0.3">
      <c r="C29" s="269">
        <v>289.39</v>
      </c>
      <c r="D29" s="262">
        <f t="shared" si="0"/>
        <v>-7.7422097871407934E-3</v>
      </c>
      <c r="E29" s="227"/>
    </row>
    <row r="30" spans="1:5" ht="15.75" customHeight="1" x14ac:dyDescent="0.3">
      <c r="C30" s="269">
        <v>282.8</v>
      </c>
      <c r="D30" s="262">
        <f t="shared" si="0"/>
        <v>-3.033794162826425E-2</v>
      </c>
      <c r="E30" s="227"/>
    </row>
    <row r="31" spans="1:5" ht="15.75" customHeight="1" x14ac:dyDescent="0.3">
      <c r="C31" s="269">
        <v>290.68</v>
      </c>
      <c r="D31" s="262">
        <f t="shared" si="0"/>
        <v>-3.3190695633092552E-3</v>
      </c>
      <c r="E31" s="227"/>
    </row>
    <row r="32" spans="1:5" ht="15.75" customHeight="1" x14ac:dyDescent="0.3">
      <c r="C32" s="269">
        <v>299.11</v>
      </c>
      <c r="D32" s="262">
        <f t="shared" si="0"/>
        <v>2.5585637480798732E-2</v>
      </c>
      <c r="E32" s="227"/>
    </row>
    <row r="33" spans="1:7" ht="15.75" customHeight="1" x14ac:dyDescent="0.3">
      <c r="C33" s="269">
        <v>290.13</v>
      </c>
      <c r="D33" s="262">
        <f t="shared" si="0"/>
        <v>-5.2049045424622459E-3</v>
      </c>
      <c r="E33" s="227"/>
    </row>
    <row r="34" spans="1:7" ht="15.75" customHeight="1" x14ac:dyDescent="0.3">
      <c r="C34" s="269">
        <v>287.94</v>
      </c>
      <c r="D34" s="262">
        <f t="shared" si="0"/>
        <v>-1.2713956550362171E-2</v>
      </c>
      <c r="E34" s="227"/>
    </row>
    <row r="35" spans="1:7" ht="15.75" customHeight="1" x14ac:dyDescent="0.3">
      <c r="C35" s="269">
        <v>291.39</v>
      </c>
      <c r="D35" s="262">
        <f t="shared" si="0"/>
        <v>-8.8462804476642455E-4</v>
      </c>
      <c r="E35" s="227"/>
    </row>
    <row r="36" spans="1:7" ht="15.75" customHeight="1" x14ac:dyDescent="0.3">
      <c r="C36" s="269">
        <v>290.41000000000003</v>
      </c>
      <c r="D36" s="262">
        <f t="shared" si="0"/>
        <v>-4.2448430985297329E-3</v>
      </c>
      <c r="E36" s="227"/>
    </row>
    <row r="37" spans="1:7" ht="15.75" customHeight="1" x14ac:dyDescent="0.3">
      <c r="C37" s="269">
        <v>298.79000000000002</v>
      </c>
      <c r="D37" s="262">
        <f t="shared" si="0"/>
        <v>2.4488424402018857E-2</v>
      </c>
      <c r="E37" s="227"/>
    </row>
    <row r="38" spans="1:7" ht="15.75" customHeight="1" x14ac:dyDescent="0.3">
      <c r="C38" s="269">
        <v>294.08</v>
      </c>
      <c r="D38" s="262">
        <f t="shared" si="0"/>
        <v>8.3388193987270938E-3</v>
      </c>
      <c r="E38" s="227"/>
    </row>
    <row r="39" spans="1:7" ht="15.75" customHeight="1" x14ac:dyDescent="0.3">
      <c r="C39" s="269">
        <v>296.23</v>
      </c>
      <c r="D39" s="262">
        <f t="shared" si="0"/>
        <v>1.5710719771779656E-2</v>
      </c>
      <c r="E39" s="227"/>
    </row>
    <row r="40" spans="1:7" ht="15.75" customHeight="1" x14ac:dyDescent="0.3">
      <c r="C40" s="269">
        <v>289.45999999999998</v>
      </c>
      <c r="D40" s="262">
        <f t="shared" si="0"/>
        <v>-7.5021944261577135E-3</v>
      </c>
      <c r="E40" s="227"/>
    </row>
    <row r="41" spans="1:7" ht="15.75" customHeight="1" x14ac:dyDescent="0.3">
      <c r="C41" s="269">
        <v>293.42</v>
      </c>
      <c r="D41" s="262">
        <f t="shared" si="0"/>
        <v>6.0758174237436607E-3</v>
      </c>
      <c r="E41" s="227"/>
    </row>
    <row r="42" spans="1:7" ht="15.75" customHeight="1" x14ac:dyDescent="0.3">
      <c r="C42" s="269">
        <v>294.13</v>
      </c>
      <c r="D42" s="262">
        <f t="shared" si="0"/>
        <v>8.5102589422864916E-3</v>
      </c>
      <c r="E42" s="227"/>
    </row>
    <row r="43" spans="1:7" ht="16.5" customHeight="1" x14ac:dyDescent="0.3">
      <c r="C43" s="270">
        <v>291.33</v>
      </c>
      <c r="D43" s="263">
        <f t="shared" si="0"/>
        <v>-1.0903554970376633E-3</v>
      </c>
      <c r="E43" s="227"/>
    </row>
    <row r="44" spans="1:7" ht="16.5" customHeight="1" x14ac:dyDescent="0.3">
      <c r="C44" s="228"/>
      <c r="D44" s="227"/>
      <c r="E44" s="229"/>
    </row>
    <row r="45" spans="1:7" ht="16.5" customHeight="1" x14ac:dyDescent="0.3">
      <c r="B45" s="256" t="s">
        <v>120</v>
      </c>
      <c r="C45" s="257">
        <f>SUM(C24:C44)</f>
        <v>5832.9600000000009</v>
      </c>
      <c r="D45" s="252"/>
      <c r="E45" s="228"/>
    </row>
    <row r="46" spans="1:7" ht="17.25" customHeight="1" x14ac:dyDescent="0.3">
      <c r="B46" s="256" t="s">
        <v>121</v>
      </c>
      <c r="C46" s="258">
        <f>AVERAGE(C24:C44)</f>
        <v>291.64800000000002</v>
      </c>
      <c r="E46" s="230"/>
    </row>
    <row r="47" spans="1:7" ht="17.25" customHeight="1" x14ac:dyDescent="0.3">
      <c r="A47" s="234"/>
      <c r="B47" s="253"/>
      <c r="D47" s="232"/>
      <c r="E47" s="230"/>
    </row>
    <row r="48" spans="1:7" ht="33.75" customHeight="1" x14ac:dyDescent="0.3">
      <c r="B48" s="266" t="s">
        <v>121</v>
      </c>
      <c r="C48" s="259" t="s">
        <v>122</v>
      </c>
      <c r="D48" s="254"/>
      <c r="G48" s="232"/>
    </row>
    <row r="49" spans="1:6" ht="17.25" customHeight="1" x14ac:dyDescent="0.3">
      <c r="B49" s="317">
        <f>C46</f>
        <v>291.64800000000002</v>
      </c>
      <c r="C49" s="267">
        <f>-IF(C46&lt;=80,10%,IF(C46&lt;250,7.5%,5%))</f>
        <v>-0.05</v>
      </c>
      <c r="D49" s="255">
        <f>IF(C46&lt;=80,C46*0.9,IF(C46&lt;250,C46*0.925,C46*0.95))</f>
        <v>277.06560000000002</v>
      </c>
    </row>
    <row r="50" spans="1:6" ht="17.25" customHeight="1" x14ac:dyDescent="0.3">
      <c r="B50" s="318"/>
      <c r="C50" s="268">
        <f>IF(C46&lt;=80, 10%, IF(C46&lt;250, 7.5%, 5%))</f>
        <v>0.05</v>
      </c>
      <c r="D50" s="255">
        <f>IF(C46&lt;=80, C46*1.1, IF(C46&lt;250, C46*1.075, C46*1.05))</f>
        <v>306.23040000000003</v>
      </c>
    </row>
    <row r="51" spans="1:6" ht="16.5" customHeight="1" x14ac:dyDescent="0.3">
      <c r="A51" s="237"/>
      <c r="B51" s="238"/>
      <c r="C51" s="234"/>
      <c r="D51" s="239"/>
      <c r="E51" s="234"/>
      <c r="F51" s="240"/>
    </row>
    <row r="52" spans="1:6" ht="16.5" customHeight="1" x14ac:dyDescent="0.3">
      <c r="A52" s="234"/>
      <c r="B52" s="241" t="s">
        <v>26</v>
      </c>
      <c r="C52" s="241"/>
      <c r="D52" s="242" t="s">
        <v>27</v>
      </c>
      <c r="E52" s="243"/>
      <c r="F52" s="242" t="s">
        <v>28</v>
      </c>
    </row>
    <row r="53" spans="1:6" ht="34.5" customHeight="1" x14ac:dyDescent="0.3">
      <c r="A53" s="244" t="s">
        <v>29</v>
      </c>
      <c r="B53" s="245"/>
      <c r="C53" s="246"/>
      <c r="D53" s="245"/>
      <c r="E53" s="235"/>
      <c r="F53" s="247"/>
    </row>
    <row r="54" spans="1:6" ht="34.5" customHeight="1" x14ac:dyDescent="0.3">
      <c r="A54" s="244" t="s">
        <v>30</v>
      </c>
      <c r="B54" s="248"/>
      <c r="C54" s="249"/>
      <c r="D54" s="248"/>
      <c r="E54" s="235"/>
      <c r="F54" s="250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2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1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0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9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8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7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6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5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4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3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2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1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0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9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8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7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6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5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4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3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Isoniazid</vt:lpstr>
      <vt:lpstr>Uniformity</vt:lpstr>
      <vt:lpstr>Isoniazid!Print_Area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2016-06-16T12:28:50Z</cp:lastPrinted>
  <dcterms:created xsi:type="dcterms:W3CDTF">2005-07-05T10:19:27Z</dcterms:created>
  <dcterms:modified xsi:type="dcterms:W3CDTF">2016-06-16T12:32:11Z</dcterms:modified>
</cp:coreProperties>
</file>