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" sheetId="1" r:id="rId1"/>
    <sheet name="Uniformity" sheetId="2" r:id="rId2"/>
    <sheet name="Isoniazid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D97" i="3"/>
  <c r="D98" i="3" s="1"/>
  <c r="I39" i="3"/>
  <c r="F44" i="3"/>
  <c r="F45" i="3" s="1"/>
  <c r="D49" i="3"/>
  <c r="D45" i="3"/>
  <c r="D46" i="3" s="1"/>
  <c r="F98" i="3"/>
  <c r="D29" i="2"/>
  <c r="D37" i="2"/>
  <c r="D27" i="2"/>
  <c r="D31" i="2"/>
  <c r="D35" i="2"/>
  <c r="D39" i="2"/>
  <c r="D43" i="2"/>
  <c r="C49" i="2"/>
  <c r="D33" i="2"/>
  <c r="D41" i="2"/>
  <c r="D24" i="2"/>
  <c r="D28" i="2"/>
  <c r="D32" i="2"/>
  <c r="D36" i="2"/>
  <c r="D40" i="2"/>
  <c r="D49" i="2"/>
  <c r="B57" i="3"/>
  <c r="B69" i="3" s="1"/>
  <c r="G94" i="3"/>
  <c r="C50" i="2"/>
  <c r="D25" i="2"/>
  <c r="D26" i="2"/>
  <c r="D30" i="2"/>
  <c r="D34" i="2"/>
  <c r="D38" i="2"/>
  <c r="D42" i="2"/>
  <c r="B49" i="2"/>
  <c r="G92" i="3" l="1"/>
  <c r="G93" i="3"/>
  <c r="G38" i="3"/>
  <c r="F46" i="3"/>
  <c r="G39" i="3"/>
  <c r="G41" i="3"/>
  <c r="G40" i="3"/>
  <c r="E38" i="3"/>
  <c r="E40" i="3"/>
  <c r="E41" i="3"/>
  <c r="E39" i="3"/>
  <c r="D99" i="3"/>
  <c r="E93" i="3"/>
  <c r="E92" i="3"/>
  <c r="E91" i="3"/>
  <c r="E94" i="3"/>
  <c r="G91" i="3"/>
  <c r="F99" i="3"/>
  <c r="G95" i="3" l="1"/>
  <c r="G42" i="3"/>
  <c r="D50" i="3"/>
  <c r="G64" i="3" s="1"/>
  <c r="H64" i="3" s="1"/>
  <c r="D52" i="3"/>
  <c r="E42" i="3"/>
  <c r="E95" i="3"/>
  <c r="D105" i="3"/>
  <c r="D103" i="3"/>
  <c r="D51" i="3" l="1"/>
  <c r="G66" i="3"/>
  <c r="H66" i="3" s="1"/>
  <c r="G63" i="3"/>
  <c r="H63" i="3" s="1"/>
  <c r="G67" i="3"/>
  <c r="H67" i="3" s="1"/>
  <c r="G71" i="3"/>
  <c r="H71" i="3" s="1"/>
  <c r="G68" i="3"/>
  <c r="H68" i="3" s="1"/>
  <c r="G65" i="3"/>
  <c r="H65" i="3" s="1"/>
  <c r="G62" i="3"/>
  <c r="H62" i="3" s="1"/>
  <c r="G69" i="3"/>
  <c r="H69" i="3" s="1"/>
  <c r="G61" i="3"/>
  <c r="H61" i="3" s="1"/>
  <c r="G70" i="3"/>
  <c r="H70" i="3" s="1"/>
  <c r="G60" i="3"/>
  <c r="H60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3" l="1"/>
  <c r="G72" i="3"/>
  <c r="G73" i="3" s="1"/>
  <c r="E115" i="3"/>
  <c r="E116" i="3" s="1"/>
  <c r="E117" i="3"/>
  <c r="F108" i="3"/>
  <c r="H74" i="3"/>
  <c r="H72" i="3"/>
  <c r="G76" i="3" l="1"/>
  <c r="H73" i="3"/>
  <c r="F117" i="3"/>
  <c r="F115" i="3"/>
  <c r="G120" i="3" l="1"/>
  <c r="F116" i="3"/>
</calcChain>
</file>

<file path=xl/sharedStrings.xml><?xml version="1.0" encoding="utf-8"?>
<sst xmlns="http://schemas.openxmlformats.org/spreadsheetml/2006/main" count="233" uniqueCount="127">
  <si>
    <t>HPLC System Suitability Report</t>
  </si>
  <si>
    <t>Analysis Data</t>
  </si>
  <si>
    <t>Assay</t>
  </si>
  <si>
    <t>Sample(s)</t>
  </si>
  <si>
    <t>Reference Substance:</t>
  </si>
  <si>
    <t>ISONIAZID TABLETS BP 100MG</t>
  </si>
  <si>
    <t>% age Purity:</t>
  </si>
  <si>
    <t>NDQD2016061071</t>
  </si>
  <si>
    <t>Weight (mg):</t>
  </si>
  <si>
    <t>Isoniazid BP</t>
  </si>
  <si>
    <t>Standard Conc (mg/mL):</t>
  </si>
  <si>
    <t>Isoniazid BP 100mg</t>
  </si>
  <si>
    <t>2016-06-10 07:41:16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</si>
  <si>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</si>
  <si>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</si>
  <si>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</si>
  <si>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</si>
  <si>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</si>
  <si>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</si>
  <si>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</si>
  <si>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</si>
  <si>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</si>
  <si>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</si>
  <si>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</si>
  <si>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</si>
  <si>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</si>
  <si>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</si>
  <si>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</si>
  <si>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</si>
  <si>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</si>
  <si>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</si>
  <si>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</si>
  <si>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</si>
  <si>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</si>
  <si>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</si>
  <si>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</si>
  <si>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</si>
  <si>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</si>
  <si>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</si>
  <si>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</si>
  <si>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</si>
  <si>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</si>
  <si>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</si>
  <si>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</si>
  <si>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</si>
  <si>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</si>
  <si>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</si>
  <si>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</si>
  <si>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</si>
  <si>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</si>
  <si>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</si>
  <si>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</si>
  <si>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</si>
  <si>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</si>
  <si>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</si>
  <si>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</si>
  <si>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</si>
  <si>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</si>
  <si>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</si>
  <si>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</si>
  <si>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</si>
  <si>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</si>
  <si>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</si>
  <si>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</si>
  <si>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</si>
  <si>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</si>
  <si>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</si>
  <si>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</si>
  <si>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</si>
  <si>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</si>
  <si>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</si>
  <si>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</si>
  <si>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</si>
  <si>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</si>
  <si>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</si>
  <si>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</si>
  <si>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</si>
  <si>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</si>
  <si>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</si>
  <si>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</si>
  <si>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</si>
  <si>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</si>
  <si>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</si>
  <si>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</si>
  <si>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</si>
  <si>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</si>
  <si>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</si>
  <si>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</si>
  <si>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</si>
  <si>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</si>
  <si>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</si>
  <si>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</si>
  <si>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</si>
  <si>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</si>
  <si>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</si>
  <si>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</si>
  <si>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</si>
  <si>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</si>
  <si>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</si>
  <si>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</si>
  <si>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</si>
  <si>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</si>
  <si>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</si>
  <si>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</si>
  <si>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</si>
  <si>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</si>
  <si>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</si>
  <si>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</si>
  <si>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</si>
  <si>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</si>
  <si>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</si>
  <si>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</si>
  <si>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</si>
  <si>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</si>
  <si>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</si>
  <si>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</si>
  <si>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</si>
  <si>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</si>
  <si>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</si>
  <si>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</si>
  <si>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</si>
  <si>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</si>
  <si>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</si>
  <si>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</si>
  <si>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</si>
  <si>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ISONIAZID</t>
  </si>
  <si>
    <t>I8-4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</si>
</sst>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29" workbookViewId="0">
      <selection activeCell="C54" sqref="C5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4">
        <v>98.5</v>
      </c>
      <c r="C19" s="10"/>
      <c r="D19" s="10"/>
      <c r="E19" s="10"/>
    </row>
    <row r="20" spans="1:6" ht="16.5" customHeight="1" x14ac:dyDescent="0.3">
      <c r="A20" s="7" t="s">
        <v>8</v>
      </c>
      <c r="B20" s="12">
        <v>16.16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0.32319999999999999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60764085</v>
      </c>
      <c r="C24" s="18">
        <v>8472.9</v>
      </c>
      <c r="D24" s="19">
        <v>1</v>
      </c>
      <c r="E24" s="20">
        <v>3.8</v>
      </c>
    </row>
    <row r="25" spans="1:6" ht="16.5" customHeight="1" x14ac:dyDescent="0.3">
      <c r="A25" s="17">
        <v>2</v>
      </c>
      <c r="B25" s="18">
        <v>61359373</v>
      </c>
      <c r="C25" s="18">
        <v>8461.4</v>
      </c>
      <c r="D25" s="19">
        <v>1</v>
      </c>
      <c r="E25" s="19">
        <v>3.8</v>
      </c>
    </row>
    <row r="26" spans="1:6" ht="16.5" customHeight="1" x14ac:dyDescent="0.3">
      <c r="A26" s="17">
        <v>3</v>
      </c>
      <c r="B26" s="18">
        <v>61274055</v>
      </c>
      <c r="C26" s="18">
        <v>8459.7999999999993</v>
      </c>
      <c r="D26" s="19">
        <v>1</v>
      </c>
      <c r="E26" s="19">
        <v>3.8</v>
      </c>
    </row>
    <row r="27" spans="1:6" ht="16.5" customHeight="1" x14ac:dyDescent="0.3">
      <c r="A27" s="17">
        <v>4</v>
      </c>
      <c r="B27" s="18">
        <v>61366988</v>
      </c>
      <c r="C27" s="18">
        <v>8372.7999999999993</v>
      </c>
      <c r="D27" s="19">
        <v>1</v>
      </c>
      <c r="E27" s="19">
        <v>3.8</v>
      </c>
    </row>
    <row r="28" spans="1:6" ht="16.5" customHeight="1" x14ac:dyDescent="0.3">
      <c r="A28" s="17">
        <v>5</v>
      </c>
      <c r="B28" s="18">
        <v>61316965</v>
      </c>
      <c r="C28" s="18">
        <v>8477.2000000000007</v>
      </c>
      <c r="D28" s="19">
        <v>1</v>
      </c>
      <c r="E28" s="19">
        <v>3.8</v>
      </c>
    </row>
    <row r="29" spans="1:6" ht="16.5" customHeight="1" x14ac:dyDescent="0.3">
      <c r="A29" s="17">
        <v>6</v>
      </c>
      <c r="B29" s="21">
        <v>61244274</v>
      </c>
      <c r="C29" s="21">
        <v>8431.5</v>
      </c>
      <c r="D29" s="22">
        <v>1</v>
      </c>
      <c r="E29" s="22">
        <v>3.8</v>
      </c>
    </row>
    <row r="30" spans="1:6" ht="16.5" customHeight="1" x14ac:dyDescent="0.3">
      <c r="A30" s="23" t="s">
        <v>18</v>
      </c>
      <c r="B30" s="24">
        <f>AVERAGE(B24:B29)</f>
        <v>61220956.666666664</v>
      </c>
      <c r="C30" s="25">
        <f>AVERAGE(C24:C29)</f>
        <v>8445.9333333333325</v>
      </c>
      <c r="D30" s="26">
        <f>AVERAGE(D24:D29)</f>
        <v>1</v>
      </c>
      <c r="E30" s="26">
        <f>AVERAGE(E24:E29)</f>
        <v>3.8000000000000003</v>
      </c>
    </row>
    <row r="31" spans="1:6" ht="16.5" customHeight="1" x14ac:dyDescent="0.3">
      <c r="A31" s="27" t="s">
        <v>19</v>
      </c>
      <c r="B31" s="28">
        <f>(STDEV(B24:B29)/B30)</f>
        <v>3.7376355814837466E-3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33</v>
      </c>
      <c r="B14" s="290"/>
      <c r="C14" s="60" t="s">
        <v>5</v>
      </c>
    </row>
    <row r="15" spans="1:7" ht="16.5" customHeight="1" x14ac:dyDescent="0.3">
      <c r="A15" s="290" t="s">
        <v>34</v>
      </c>
      <c r="B15" s="290"/>
      <c r="C15" s="60" t="s">
        <v>7</v>
      </c>
    </row>
    <row r="16" spans="1:7" ht="16.5" customHeight="1" x14ac:dyDescent="0.3">
      <c r="A16" s="290" t="s">
        <v>35</v>
      </c>
      <c r="B16" s="290"/>
      <c r="C16" s="60" t="s">
        <v>9</v>
      </c>
    </row>
    <row r="17" spans="1:5" ht="16.5" customHeight="1" x14ac:dyDescent="0.3">
      <c r="A17" s="290" t="s">
        <v>36</v>
      </c>
      <c r="B17" s="290"/>
      <c r="C17" s="60" t="s">
        <v>11</v>
      </c>
    </row>
    <row r="18" spans="1:5" ht="16.5" customHeight="1" x14ac:dyDescent="0.3">
      <c r="A18" s="290" t="s">
        <v>37</v>
      </c>
      <c r="B18" s="290"/>
      <c r="C18" s="97" t="s">
        <v>12</v>
      </c>
    </row>
    <row r="19" spans="1:5" ht="16.5" customHeight="1" x14ac:dyDescent="0.3">
      <c r="A19" s="290" t="s">
        <v>38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39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116.88</v>
      </c>
      <c r="D24" s="87">
        <f t="shared" ref="D24:D43" si="0">(C24-$C$46)/$C$46</f>
        <v>4.1452780343219356E-3</v>
      </c>
      <c r="E24" s="53"/>
    </row>
    <row r="25" spans="1:5" ht="15.75" customHeight="1" x14ac:dyDescent="0.3">
      <c r="C25" s="95">
        <v>115.44</v>
      </c>
      <c r="D25" s="88">
        <f t="shared" si="0"/>
        <v>-8.2261216950536755E-3</v>
      </c>
      <c r="E25" s="53"/>
    </row>
    <row r="26" spans="1:5" ht="15.75" customHeight="1" x14ac:dyDescent="0.3">
      <c r="C26" s="95">
        <v>114.86</v>
      </c>
      <c r="D26" s="88">
        <f t="shared" si="0"/>
        <v>-1.3209046586052178E-2</v>
      </c>
      <c r="E26" s="53"/>
    </row>
    <row r="27" spans="1:5" ht="15.75" customHeight="1" x14ac:dyDescent="0.3">
      <c r="C27" s="95">
        <v>114.68</v>
      </c>
      <c r="D27" s="88">
        <f t="shared" si="0"/>
        <v>-1.4755471552224068E-2</v>
      </c>
      <c r="E27" s="53"/>
    </row>
    <row r="28" spans="1:5" ht="15.75" customHeight="1" x14ac:dyDescent="0.3">
      <c r="C28" s="95">
        <v>116.05</v>
      </c>
      <c r="D28" s="88">
        <f t="shared" si="0"/>
        <v>-2.9854593096931702E-3</v>
      </c>
      <c r="E28" s="53"/>
    </row>
    <row r="29" spans="1:5" ht="15.75" customHeight="1" x14ac:dyDescent="0.3">
      <c r="C29" s="95">
        <v>115.94</v>
      </c>
      <c r="D29" s="88">
        <f t="shared" si="0"/>
        <v>-3.93049678902047E-3</v>
      </c>
      <c r="E29" s="53"/>
    </row>
    <row r="30" spans="1:5" ht="15.75" customHeight="1" x14ac:dyDescent="0.3">
      <c r="C30" s="95">
        <v>116.3</v>
      </c>
      <c r="D30" s="88">
        <f t="shared" si="0"/>
        <v>-8.3764685667656773E-4</v>
      </c>
      <c r="E30" s="53"/>
    </row>
    <row r="31" spans="1:5" ht="15.75" customHeight="1" x14ac:dyDescent="0.3">
      <c r="C31" s="95">
        <v>116.14</v>
      </c>
      <c r="D31" s="88">
        <f t="shared" si="0"/>
        <v>-2.212246826607164E-3</v>
      </c>
      <c r="E31" s="53"/>
    </row>
    <row r="32" spans="1:5" ht="15.75" customHeight="1" x14ac:dyDescent="0.3">
      <c r="C32" s="95">
        <v>118.16</v>
      </c>
      <c r="D32" s="88">
        <f t="shared" si="0"/>
        <v>1.514207779376695E-2</v>
      </c>
      <c r="E32" s="53"/>
    </row>
    <row r="33" spans="1:7" ht="15.75" customHeight="1" x14ac:dyDescent="0.3">
      <c r="C33" s="95">
        <v>114.2</v>
      </c>
      <c r="D33" s="88">
        <f t="shared" si="0"/>
        <v>-1.8879271462015981E-2</v>
      </c>
      <c r="E33" s="53"/>
    </row>
    <row r="34" spans="1:7" ht="15.75" customHeight="1" x14ac:dyDescent="0.3">
      <c r="C34" s="95">
        <v>119.5</v>
      </c>
      <c r="D34" s="88">
        <f t="shared" si="0"/>
        <v>2.6654352541935968E-2</v>
      </c>
      <c r="E34" s="53"/>
    </row>
    <row r="35" spans="1:7" ht="15.75" customHeight="1" x14ac:dyDescent="0.3">
      <c r="C35" s="95">
        <v>116.25</v>
      </c>
      <c r="D35" s="88">
        <f t="shared" si="0"/>
        <v>-1.2672093472798638E-3</v>
      </c>
      <c r="E35" s="53"/>
    </row>
    <row r="36" spans="1:7" ht="15.75" customHeight="1" x14ac:dyDescent="0.3">
      <c r="C36" s="95">
        <v>113.71</v>
      </c>
      <c r="D36" s="88">
        <f t="shared" si="0"/>
        <v>-2.3088983869928598E-2</v>
      </c>
      <c r="E36" s="53"/>
    </row>
    <row r="37" spans="1:7" ht="15.75" customHeight="1" x14ac:dyDescent="0.3">
      <c r="C37" s="95">
        <v>119.47</v>
      </c>
      <c r="D37" s="88">
        <f t="shared" si="0"/>
        <v>2.6396615047573967E-2</v>
      </c>
      <c r="E37" s="53"/>
    </row>
    <row r="38" spans="1:7" ht="15.75" customHeight="1" x14ac:dyDescent="0.3">
      <c r="C38" s="95">
        <v>118.22</v>
      </c>
      <c r="D38" s="88">
        <f t="shared" si="0"/>
        <v>1.5657552782490952E-2</v>
      </c>
      <c r="E38" s="53"/>
    </row>
    <row r="39" spans="1:7" ht="15.75" customHeight="1" x14ac:dyDescent="0.3">
      <c r="C39" s="95">
        <v>114.79</v>
      </c>
      <c r="D39" s="88">
        <f t="shared" si="0"/>
        <v>-1.3810434072896768E-2</v>
      </c>
      <c r="E39" s="53"/>
    </row>
    <row r="40" spans="1:7" ht="15.75" customHeight="1" x14ac:dyDescent="0.3">
      <c r="C40" s="95">
        <v>116.04</v>
      </c>
      <c r="D40" s="88">
        <f t="shared" si="0"/>
        <v>-3.0713718078137562E-3</v>
      </c>
      <c r="E40" s="53"/>
    </row>
    <row r="41" spans="1:7" ht="15.75" customHeight="1" x14ac:dyDescent="0.3">
      <c r="C41" s="95">
        <v>118</v>
      </c>
      <c r="D41" s="88">
        <f t="shared" si="0"/>
        <v>1.3767477823836353E-2</v>
      </c>
      <c r="E41" s="53"/>
    </row>
    <row r="42" spans="1:7" ht="15.75" customHeight="1" x14ac:dyDescent="0.3">
      <c r="C42" s="95">
        <v>117.27</v>
      </c>
      <c r="D42" s="88">
        <f t="shared" si="0"/>
        <v>7.49586546102784E-3</v>
      </c>
      <c r="E42" s="53"/>
    </row>
    <row r="43" spans="1:7" ht="16.5" customHeight="1" x14ac:dyDescent="0.3">
      <c r="C43" s="96">
        <v>116.05</v>
      </c>
      <c r="D43" s="89">
        <f t="shared" si="0"/>
        <v>-2.9854593096931702E-3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2327.9500000000003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116.39750000000001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3">
        <f>C46</f>
        <v>116.39750000000001</v>
      </c>
      <c r="C49" s="93">
        <f>-IF(C46&lt;=80,10%,IF(C46&lt;250,7.5%,5%))</f>
        <v>-7.4999999999999997E-2</v>
      </c>
      <c r="D49" s="81">
        <f>IF(C46&lt;=80,C46*0.9,IF(C46&lt;250,C46*0.925,C46*0.95))</f>
        <v>107.66768750000001</v>
      </c>
    </row>
    <row r="50" spans="1:6" ht="17.25" customHeight="1" x14ac:dyDescent="0.3">
      <c r="B50" s="284"/>
      <c r="C50" s="94">
        <f>IF(C46&lt;=80, 10%, IF(C46&lt;250, 7.5%, 5%))</f>
        <v>7.4999999999999997E-2</v>
      </c>
      <c r="D50" s="81">
        <f>IF(C46&lt;=80, C46*1.1, IF(C46&lt;250, C46*1.075, C46*1.05))</f>
        <v>125.1273125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2" zoomScale="46" zoomScaleNormal="40" zoomScalePageLayoutView="46" workbookViewId="0">
      <selection activeCell="C120" sqref="C120:D1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1" t="s">
        <v>45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46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x14ac:dyDescent="0.3">
      <c r="A15" s="98"/>
    </row>
    <row r="16" spans="1:9" ht="19.5" customHeight="1" x14ac:dyDescent="0.3">
      <c r="A16" s="325" t="s">
        <v>31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25">
      <c r="A17" s="328" t="s">
        <v>47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4">
      <c r="A18" s="100" t="s">
        <v>33</v>
      </c>
      <c r="B18" s="324" t="s">
        <v>5</v>
      </c>
      <c r="C18" s="324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9" t="s">
        <v>9</v>
      </c>
      <c r="C20" s="32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9" t="s">
        <v>11</v>
      </c>
      <c r="C21" s="329"/>
      <c r="D21" s="329"/>
      <c r="E21" s="329"/>
      <c r="F21" s="329"/>
      <c r="G21" s="329"/>
      <c r="H21" s="32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4" t="s">
        <v>125</v>
      </c>
      <c r="C26" s="324"/>
    </row>
    <row r="27" spans="1:14" ht="26.25" customHeight="1" x14ac:dyDescent="0.4">
      <c r="A27" s="109" t="s">
        <v>48</v>
      </c>
      <c r="B27" s="322" t="s">
        <v>126</v>
      </c>
      <c r="C27" s="322"/>
    </row>
    <row r="28" spans="1:14" ht="27" customHeight="1" x14ac:dyDescent="0.4">
      <c r="A28" s="109" t="s">
        <v>6</v>
      </c>
      <c r="B28" s="110">
        <v>98.5</v>
      </c>
    </row>
    <row r="29" spans="1:14" s="14" customFormat="1" ht="27" customHeight="1" x14ac:dyDescent="0.4">
      <c r="A29" s="109" t="s">
        <v>49</v>
      </c>
      <c r="B29" s="111">
        <v>0</v>
      </c>
      <c r="C29" s="299" t="s">
        <v>50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98.5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2" t="s">
        <v>53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2" t="s">
        <v>55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5" t="s">
        <v>59</v>
      </c>
      <c r="E36" s="323"/>
      <c r="F36" s="305" t="s">
        <v>60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61070181</v>
      </c>
      <c r="E38" s="133">
        <f>IF(ISBLANK(D38),"-",$D$48/$D$45*D38)</f>
        <v>61386320.550836809</v>
      </c>
      <c r="F38" s="132">
        <v>58954947</v>
      </c>
      <c r="G38" s="134">
        <f>IF(ISBLANK(F38),"-",$D$48/$F$45*F38)</f>
        <v>61035296.94946181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61354174</v>
      </c>
      <c r="E39" s="138">
        <f>IF(ISBLANK(D39),"-",$D$48/$D$45*D39)</f>
        <v>61671783.685982808</v>
      </c>
      <c r="F39" s="137">
        <v>59193221</v>
      </c>
      <c r="G39" s="139">
        <f>IF(ISBLANK(F39),"-",$D$48/$F$45*F39)</f>
        <v>61281978.95131886</v>
      </c>
      <c r="I39" s="307">
        <f>ABS((F43/D43*D42)-F42)/D42</f>
        <v>5.3717355275709885E-3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61348558</v>
      </c>
      <c r="E40" s="138">
        <f>IF(ISBLANK(D40),"-",$D$48/$D$45*D40)</f>
        <v>61666138.613861382</v>
      </c>
      <c r="F40" s="137">
        <v>59292685</v>
      </c>
      <c r="G40" s="139">
        <f>IF(ISBLANK(F40),"-",$D$48/$F$45*F40)</f>
        <v>61384952.748849057</v>
      </c>
      <c r="I40" s="30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61257637.666666664</v>
      </c>
      <c r="E42" s="148">
        <f>AVERAGE(E38:E41)</f>
        <v>61574747.616893671</v>
      </c>
      <c r="F42" s="147">
        <f>AVERAGE(F38:F41)</f>
        <v>59146951</v>
      </c>
      <c r="G42" s="149">
        <f>AVERAGE(G38:G41)</f>
        <v>61234076.21654325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16.16</v>
      </c>
      <c r="E43" s="140"/>
      <c r="F43" s="152">
        <v>15.69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16.16</v>
      </c>
      <c r="E44" s="155"/>
      <c r="F44" s="154">
        <f>F43*$B$34</f>
        <v>15.69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15.9176</v>
      </c>
      <c r="E45" s="158"/>
      <c r="F45" s="157">
        <f>F44*$B$30/100</f>
        <v>15.454649999999999</v>
      </c>
      <c r="H45" s="150"/>
    </row>
    <row r="46" spans="1:14" ht="19.5" customHeight="1" x14ac:dyDescent="0.3">
      <c r="A46" s="293" t="s">
        <v>78</v>
      </c>
      <c r="B46" s="294"/>
      <c r="C46" s="153" t="s">
        <v>79</v>
      </c>
      <c r="D46" s="159">
        <f>D45/$B$45</f>
        <v>0.31835200000000002</v>
      </c>
      <c r="E46" s="160"/>
      <c r="F46" s="161">
        <f>F45/$B$45</f>
        <v>0.30909300000000001</v>
      </c>
      <c r="H46" s="150"/>
    </row>
    <row r="47" spans="1:14" ht="27" customHeight="1" x14ac:dyDescent="0.4">
      <c r="A47" s="295"/>
      <c r="B47" s="296"/>
      <c r="C47" s="162" t="s">
        <v>80</v>
      </c>
      <c r="D47" s="163">
        <v>0.32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16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61404411.916718453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3.9350922175568296E-3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Isoniazid BP 100mg</v>
      </c>
    </row>
    <row r="56" spans="1:12" ht="26.25" customHeight="1" x14ac:dyDescent="0.4">
      <c r="A56" s="177" t="s">
        <v>87</v>
      </c>
      <c r="B56" s="178">
        <v>100</v>
      </c>
      <c r="C56" s="99" t="str">
        <f>B20</f>
        <v>Isoniazid BP</v>
      </c>
      <c r="H56" s="179"/>
    </row>
    <row r="57" spans="1:12" ht="18.75" x14ac:dyDescent="0.3">
      <c r="A57" s="176" t="s">
        <v>88</v>
      </c>
      <c r="B57" s="268">
        <f>Uniformity!C46</f>
        <v>116.39750000000001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310" t="s">
        <v>94</v>
      </c>
      <c r="D60" s="313">
        <v>19.03</v>
      </c>
      <c r="E60" s="182">
        <v>1</v>
      </c>
      <c r="F60" s="183">
        <v>58376557</v>
      </c>
      <c r="G60" s="269">
        <f>IF(ISBLANK(F60),"-",(F60/$D$50*$D$47*$B$68)*($B$57/$D$60))</f>
        <v>93.038724452881027</v>
      </c>
      <c r="H60" s="184">
        <f t="shared" ref="H60:H71" si="0">IF(ISBLANK(F60),"-",G60/$B$56)</f>
        <v>0.93038724452881028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311"/>
      <c r="D61" s="314"/>
      <c r="E61" s="185">
        <v>2</v>
      </c>
      <c r="F61" s="137">
        <v>58440006</v>
      </c>
      <c r="G61" s="270">
        <f>IF(ISBLANK(F61),"-",(F61/$D$50*$D$47*$B$68)*($B$57/$D$60))</f>
        <v>93.139847477793424</v>
      </c>
      <c r="H61" s="186">
        <f t="shared" si="0"/>
        <v>0.93139847477793425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1"/>
      <c r="D62" s="314"/>
      <c r="E62" s="185">
        <v>3</v>
      </c>
      <c r="F62" s="187">
        <v>58731553</v>
      </c>
      <c r="G62" s="270">
        <f>IF(ISBLANK(F62),"-",(F62/$D$50*$D$47*$B$68)*($B$57/$D$60))</f>
        <v>93.604505936463127</v>
      </c>
      <c r="H62" s="186">
        <f t="shared" si="0"/>
        <v>0.93604505936463123</v>
      </c>
      <c r="L62" s="112"/>
    </row>
    <row r="63" spans="1:12" ht="27" customHeight="1" x14ac:dyDescent="0.4">
      <c r="A63" s="124" t="s">
        <v>97</v>
      </c>
      <c r="B63" s="125">
        <v>1</v>
      </c>
      <c r="C63" s="321"/>
      <c r="D63" s="315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0" t="s">
        <v>99</v>
      </c>
      <c r="D64" s="313">
        <v>18.68</v>
      </c>
      <c r="E64" s="182">
        <v>1</v>
      </c>
      <c r="F64" s="183">
        <v>57556826</v>
      </c>
      <c r="G64" s="271">
        <f>IF(ISBLANK(F64),"-",(F64/$D$50*$D$47*$B$68)*($B$57/$D$64))</f>
        <v>93.451015160986714</v>
      </c>
      <c r="H64" s="190">
        <f t="shared" si="0"/>
        <v>0.93451015160986717</v>
      </c>
    </row>
    <row r="65" spans="1:8" ht="26.25" customHeight="1" x14ac:dyDescent="0.4">
      <c r="A65" s="124" t="s">
        <v>100</v>
      </c>
      <c r="B65" s="125">
        <v>1</v>
      </c>
      <c r="C65" s="311"/>
      <c r="D65" s="314"/>
      <c r="E65" s="185">
        <v>2</v>
      </c>
      <c r="F65" s="137">
        <v>57525717</v>
      </c>
      <c r="G65" s="272">
        <f>IF(ISBLANK(F65),"-",(F65/$D$50*$D$47*$B$68)*($B$57/$D$64))</f>
        <v>93.400505641392215</v>
      </c>
      <c r="H65" s="191">
        <f t="shared" si="0"/>
        <v>0.93400505641392217</v>
      </c>
    </row>
    <row r="66" spans="1:8" ht="26.25" customHeight="1" x14ac:dyDescent="0.4">
      <c r="A66" s="124" t="s">
        <v>101</v>
      </c>
      <c r="B66" s="125">
        <v>1</v>
      </c>
      <c r="C66" s="311"/>
      <c r="D66" s="314"/>
      <c r="E66" s="185">
        <v>3</v>
      </c>
      <c r="F66" s="137">
        <v>57193047</v>
      </c>
      <c r="G66" s="272">
        <f>IF(ISBLANK(F66),"-",(F66/$D$50*$D$47*$B$68)*($B$57/$D$64))</f>
        <v>92.860372500388138</v>
      </c>
      <c r="H66" s="191">
        <f t="shared" si="0"/>
        <v>0.92860372500388133</v>
      </c>
    </row>
    <row r="67" spans="1:8" ht="27" customHeight="1" x14ac:dyDescent="0.4">
      <c r="A67" s="124" t="s">
        <v>102</v>
      </c>
      <c r="B67" s="125">
        <v>1</v>
      </c>
      <c r="C67" s="321"/>
      <c r="D67" s="315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50</v>
      </c>
      <c r="C68" s="310" t="s">
        <v>104</v>
      </c>
      <c r="D68" s="313">
        <v>18.07</v>
      </c>
      <c r="E68" s="182">
        <v>1</v>
      </c>
      <c r="F68" s="183">
        <v>55467592</v>
      </c>
      <c r="G68" s="271">
        <f>IF(ISBLANK(F68),"-",(F68/$D$50*$D$47*$B$68)*($B$57/$D$68))</f>
        <v>93.099043415025633</v>
      </c>
      <c r="H68" s="186">
        <f t="shared" si="0"/>
        <v>0.93099043415025629</v>
      </c>
    </row>
    <row r="69" spans="1:8" ht="27" customHeight="1" x14ac:dyDescent="0.4">
      <c r="A69" s="172" t="s">
        <v>105</v>
      </c>
      <c r="B69" s="194">
        <f>(D47*B68)/B56*B57</f>
        <v>18.623600000000003</v>
      </c>
      <c r="C69" s="311"/>
      <c r="D69" s="314"/>
      <c r="E69" s="185">
        <v>2</v>
      </c>
      <c r="F69" s="137">
        <v>55372098</v>
      </c>
      <c r="G69" s="272">
        <f>IF(ISBLANK(F69),"-",(F69/$D$50*$D$47*$B$68)*($B$57/$D$68))</f>
        <v>92.938762434162527</v>
      </c>
      <c r="H69" s="186">
        <f t="shared" si="0"/>
        <v>0.92938762434162525</v>
      </c>
    </row>
    <row r="70" spans="1:8" ht="26.25" customHeight="1" x14ac:dyDescent="0.4">
      <c r="A70" s="316" t="s">
        <v>78</v>
      </c>
      <c r="B70" s="317"/>
      <c r="C70" s="311"/>
      <c r="D70" s="314"/>
      <c r="E70" s="185">
        <v>3</v>
      </c>
      <c r="F70" s="137">
        <v>55256977</v>
      </c>
      <c r="G70" s="272">
        <f>IF(ISBLANK(F70),"-",(F70/$D$50*$D$47*$B$68)*($B$57/$D$68))</f>
        <v>92.745538704944551</v>
      </c>
      <c r="H70" s="186">
        <f t="shared" si="0"/>
        <v>0.92745538704944552</v>
      </c>
    </row>
    <row r="71" spans="1:8" ht="27" customHeight="1" x14ac:dyDescent="0.4">
      <c r="A71" s="318"/>
      <c r="B71" s="319"/>
      <c r="C71" s="312"/>
      <c r="D71" s="315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93.142035080448608</v>
      </c>
      <c r="H72" s="199">
        <f>AVERAGE(H60:H71)</f>
        <v>0.93142035080448593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3.0990154059397385E-3</v>
      </c>
      <c r="H73" s="274">
        <f>STDEV(H60:H71)/H72</f>
        <v>3.0990154059397424E-3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297" t="str">
        <f>B20</f>
        <v>Isoniazid BP</v>
      </c>
      <c r="D76" s="297"/>
      <c r="E76" s="205" t="s">
        <v>108</v>
      </c>
      <c r="F76" s="205"/>
      <c r="G76" s="206">
        <f>H72</f>
        <v>0.93142035080448593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0" t="str">
        <f>B26</f>
        <v>ISONIAZID</v>
      </c>
      <c r="C79" s="320"/>
    </row>
    <row r="80" spans="1:8" ht="26.25" customHeight="1" x14ac:dyDescent="0.4">
      <c r="A80" s="109" t="s">
        <v>48</v>
      </c>
      <c r="B80" s="320" t="str">
        <f>B27</f>
        <v>I8-4</v>
      </c>
      <c r="C80" s="320"/>
    </row>
    <row r="81" spans="1:12" ht="27" customHeight="1" x14ac:dyDescent="0.4">
      <c r="A81" s="109" t="s">
        <v>6</v>
      </c>
      <c r="B81" s="208">
        <f>B28</f>
        <v>98.5</v>
      </c>
    </row>
    <row r="82" spans="1:12" s="14" customFormat="1" ht="27" customHeight="1" x14ac:dyDescent="0.4">
      <c r="A82" s="109" t="s">
        <v>49</v>
      </c>
      <c r="B82" s="111">
        <v>0</v>
      </c>
      <c r="C82" s="299" t="s">
        <v>50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98.5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2" t="s">
        <v>111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2" t="s">
        <v>112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9" t="s">
        <v>59</v>
      </c>
      <c r="E89" s="210"/>
      <c r="F89" s="305" t="s">
        <v>60</v>
      </c>
      <c r="G89" s="306"/>
    </row>
    <row r="90" spans="1:12" ht="27" customHeight="1" x14ac:dyDescent="0.4">
      <c r="A90" s="124" t="s">
        <v>61</v>
      </c>
      <c r="B90" s="125">
        <v>5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3">
        <v>1</v>
      </c>
      <c r="D91" s="132">
        <v>0.4889</v>
      </c>
      <c r="E91" s="133">
        <f>IF(ISBLANK(D91),"-",$D$101/$D$98*D91)</f>
        <v>0.34127143678834887</v>
      </c>
      <c r="F91" s="132">
        <v>0.47199999999999998</v>
      </c>
      <c r="G91" s="134">
        <f>IF(ISBLANK(F91),"-",$D$101/$F$98*F91)</f>
        <v>0.33934410966566336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0.495</v>
      </c>
      <c r="E92" s="138">
        <f>IF(ISBLANK(D92),"-",$D$101/$D$98*D92)</f>
        <v>0.34552947680554857</v>
      </c>
      <c r="F92" s="137">
        <v>0.47139999999999999</v>
      </c>
      <c r="G92" s="139">
        <f>IF(ISBLANK(F92),"-",$D$101/$F$98*F92)</f>
        <v>0.33891274003473243</v>
      </c>
      <c r="I92" s="307">
        <f>ABS((F96/D96*D95)-F95)/D95</f>
        <v>8.5440423584570262E-3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0.4884</v>
      </c>
      <c r="E93" s="138">
        <f>IF(ISBLANK(D93),"-",$D$101/$D$98*D93)</f>
        <v>0.34092241711480792</v>
      </c>
      <c r="F93" s="137">
        <v>0.47349999999999998</v>
      </c>
      <c r="G93" s="139">
        <f>IF(ISBLANK(F93),"-",$D$101/$F$98*F93)</f>
        <v>0.3404225337429907</v>
      </c>
      <c r="I93" s="307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0.49076666666666663</v>
      </c>
      <c r="E95" s="148">
        <f>AVERAGE(E91:E94)</f>
        <v>0.34257444356956851</v>
      </c>
      <c r="F95" s="218">
        <f>AVERAGE(F91:F94)</f>
        <v>0.4723</v>
      </c>
      <c r="G95" s="219">
        <f>AVERAGE(G91:G94)</f>
        <v>0.33955979448112883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16.16</v>
      </c>
      <c r="E96" s="140"/>
      <c r="F96" s="152">
        <v>15.69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16.16</v>
      </c>
      <c r="E97" s="155"/>
      <c r="F97" s="154">
        <f>F96*$B$87</f>
        <v>15.69</v>
      </c>
    </row>
    <row r="98" spans="1:10" ht="19.5" customHeight="1" x14ac:dyDescent="0.3">
      <c r="A98" s="124" t="s">
        <v>76</v>
      </c>
      <c r="B98" s="224">
        <f>(B97/B96)*(B95/B94)*(B93/B92)*(B91/B90)*B89</f>
        <v>1000</v>
      </c>
      <c r="C98" s="222" t="s">
        <v>115</v>
      </c>
      <c r="D98" s="225">
        <f>D97*$B$83/100</f>
        <v>15.9176</v>
      </c>
      <c r="E98" s="158"/>
      <c r="F98" s="157">
        <f>F97*$B$83/100</f>
        <v>15.454649999999999</v>
      </c>
    </row>
    <row r="99" spans="1:10" ht="19.5" customHeight="1" x14ac:dyDescent="0.3">
      <c r="A99" s="293" t="s">
        <v>78</v>
      </c>
      <c r="B99" s="308"/>
      <c r="C99" s="222" t="s">
        <v>116</v>
      </c>
      <c r="D99" s="226">
        <f>D98/$B$98</f>
        <v>1.59176E-2</v>
      </c>
      <c r="E99" s="158"/>
      <c r="F99" s="161">
        <f>F98/$B$98</f>
        <v>1.5454649999999999E-2</v>
      </c>
      <c r="G99" s="227"/>
      <c r="H99" s="150"/>
    </row>
    <row r="100" spans="1:10" ht="19.5" customHeight="1" x14ac:dyDescent="0.3">
      <c r="A100" s="295"/>
      <c r="B100" s="309"/>
      <c r="C100" s="222" t="s">
        <v>80</v>
      </c>
      <c r="D100" s="228">
        <f>$B$56/$B$116</f>
        <v>1.1111111111111112E-2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11.111111111111111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11.111111111111111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0.34106711902534864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6.9384315481188126E-3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2</v>
      </c>
      <c r="C108" s="243">
        <v>1</v>
      </c>
      <c r="D108" s="244">
        <v>0.29310000000000003</v>
      </c>
      <c r="E108" s="275">
        <f t="shared" ref="E108:E113" si="1">IF(ISBLANK(D108),"-",D108/$D$103*$D$100*$B$116)</f>
        <v>85.936164364825913</v>
      </c>
      <c r="F108" s="245">
        <f t="shared" ref="F108:F113" si="2">IF(ISBLANK(D108), "-", E108/$B$56)</f>
        <v>0.85936164364825918</v>
      </c>
    </row>
    <row r="109" spans="1:10" ht="26.25" customHeight="1" x14ac:dyDescent="0.4">
      <c r="A109" s="124" t="s">
        <v>95</v>
      </c>
      <c r="B109" s="125">
        <v>20</v>
      </c>
      <c r="C109" s="243">
        <v>2</v>
      </c>
      <c r="D109" s="244">
        <v>0.30530000000000002</v>
      </c>
      <c r="E109" s="276">
        <f t="shared" si="1"/>
        <v>89.513172912252983</v>
      </c>
      <c r="F109" s="246">
        <f t="shared" si="2"/>
        <v>0.89513172912252981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0.30759999999999998</v>
      </c>
      <c r="E110" s="276">
        <f t="shared" si="1"/>
        <v>90.187526982669553</v>
      </c>
      <c r="F110" s="246">
        <f t="shared" si="2"/>
        <v>0.90187526982669552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0.30159999999999998</v>
      </c>
      <c r="E111" s="276">
        <f t="shared" si="1"/>
        <v>88.42834245114804</v>
      </c>
      <c r="F111" s="246">
        <f t="shared" si="2"/>
        <v>0.88428342451148045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0.30620000000000003</v>
      </c>
      <c r="E112" s="276">
        <f t="shared" si="1"/>
        <v>89.777050591981208</v>
      </c>
      <c r="F112" s="246">
        <f t="shared" si="2"/>
        <v>0.89777050591981211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0.30249999999999999</v>
      </c>
      <c r="E113" s="277">
        <f t="shared" si="1"/>
        <v>88.692220130876265</v>
      </c>
      <c r="F113" s="249">
        <f t="shared" si="2"/>
        <v>0.88692220130876265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88.755746238958992</v>
      </c>
      <c r="F115" s="252">
        <f>AVERAGE(F108:F113)</f>
        <v>0.88755746238958999</v>
      </c>
    </row>
    <row r="116" spans="1:10" ht="27" customHeight="1" x14ac:dyDescent="0.4">
      <c r="A116" s="124" t="s">
        <v>103</v>
      </c>
      <c r="B116" s="156">
        <f>(B115/B114)*(B113/B112)*(B111/B110)*(B109/B108)*B107</f>
        <v>9000</v>
      </c>
      <c r="C116" s="253"/>
      <c r="D116" s="216" t="s">
        <v>84</v>
      </c>
      <c r="E116" s="254">
        <f>STDEV(E108:E113)/E115</f>
        <v>1.7255635251056427E-2</v>
      </c>
      <c r="F116" s="254">
        <f>STDEV(F108:F113)/F115</f>
        <v>1.7255635251056407E-2</v>
      </c>
      <c r="I116" s="98"/>
    </row>
    <row r="117" spans="1:10" ht="27" customHeight="1" x14ac:dyDescent="0.4">
      <c r="A117" s="293" t="s">
        <v>78</v>
      </c>
      <c r="B117" s="294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295"/>
      <c r="B118" s="296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7" t="str">
        <f>B20</f>
        <v>Isoniazid BP</v>
      </c>
      <c r="D120" s="297"/>
      <c r="E120" s="205" t="s">
        <v>124</v>
      </c>
      <c r="F120" s="205"/>
      <c r="G120" s="206">
        <f>F115</f>
        <v>0.88755746238958999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298" t="s">
        <v>26</v>
      </c>
      <c r="C122" s="298"/>
      <c r="E122" s="211" t="s">
        <v>27</v>
      </c>
      <c r="F122" s="260"/>
      <c r="G122" s="298" t="s">
        <v>28</v>
      </c>
      <c r="H122" s="298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Isoniazid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2016-06-13T06:18:43Z</cp:lastPrinted>
  <dcterms:created xsi:type="dcterms:W3CDTF">2005-07-05T10:19:27Z</dcterms:created>
  <dcterms:modified xsi:type="dcterms:W3CDTF">2016-06-13T06:19:20Z</dcterms:modified>
</cp:coreProperties>
</file>