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4055" windowHeight="6090" activeTab="7"/>
  </bookViews>
  <sheets>
    <sheet name="SST E" sheetId="10" r:id="rId1"/>
    <sheet name="Uniformity (2)" sheetId="9" r:id="rId2"/>
    <sheet name="Rifampicin" sheetId="3" r:id="rId3"/>
    <sheet name="SST I" sheetId="1" r:id="rId4"/>
    <sheet name="Isoniazid" sheetId="4" r:id="rId5"/>
    <sheet name="SST P" sheetId="7" r:id="rId6"/>
    <sheet name="Pyrazinamide" sheetId="5" r:id="rId7"/>
    <sheet name="Ethambutol hydrochloride" sheetId="6" r:id="rId8"/>
    <sheet name="SST R" sheetId="8" r:id="rId9"/>
  </sheets>
  <definedNames>
    <definedName name="_xlnm.Print_Area" localSheetId="7">'Ethambutol hydrochloride'!$A$1:$I$125</definedName>
    <definedName name="_xlnm.Print_Area" localSheetId="4">Isoniazid!$A$1:$I$125</definedName>
    <definedName name="_xlnm.Print_Area" localSheetId="6">Pyrazinamide!$A$1:$I$125</definedName>
    <definedName name="_xlnm.Print_Area" localSheetId="2">Rifampicin!$A$1:$I$125</definedName>
    <definedName name="_xlnm.Print_Area" localSheetId="3">'SST I'!$A$1:$F$61</definedName>
    <definedName name="_xlnm.Print_Area" localSheetId="1">'Uniformity (2)'!$A$1:$F$54</definedName>
  </definedNames>
  <calcPr calcId="145621"/>
</workbook>
</file>

<file path=xl/calcChain.xml><?xml version="1.0" encoding="utf-8"?>
<calcChain xmlns="http://schemas.openxmlformats.org/spreadsheetml/2006/main">
  <c r="F96" i="6" l="1"/>
  <c r="D96" i="6"/>
  <c r="D68" i="6"/>
  <c r="D64" i="6"/>
  <c r="D60" i="6"/>
  <c r="B57" i="6"/>
  <c r="B53" i="10"/>
  <c r="E51" i="10"/>
  <c r="D51" i="10"/>
  <c r="C51" i="10"/>
  <c r="B51" i="10"/>
  <c r="B52" i="10" s="1"/>
  <c r="B32" i="10"/>
  <c r="E30" i="10"/>
  <c r="D30" i="10"/>
  <c r="C30" i="10"/>
  <c r="B30" i="10"/>
  <c r="B31" i="10" s="1"/>
  <c r="B21" i="10"/>
  <c r="B57" i="5" l="1"/>
  <c r="B57" i="4"/>
  <c r="B57" i="3"/>
  <c r="C46" i="9"/>
  <c r="D50" i="9" s="1"/>
  <c r="C45" i="9"/>
  <c r="D41" i="9"/>
  <c r="D37" i="9"/>
  <c r="D36" i="9"/>
  <c r="D33" i="9"/>
  <c r="D32" i="9"/>
  <c r="D29" i="9"/>
  <c r="D28" i="9"/>
  <c r="D25" i="9"/>
  <c r="D24" i="9"/>
  <c r="C19" i="9"/>
  <c r="D27" i="9" l="1"/>
  <c r="D31" i="9"/>
  <c r="D35" i="9"/>
  <c r="D39" i="9"/>
  <c r="D43" i="9"/>
  <c r="C49" i="9"/>
  <c r="D40" i="9"/>
  <c r="D49" i="9"/>
  <c r="C50" i="9"/>
  <c r="D26" i="9"/>
  <c r="D30" i="9"/>
  <c r="D34" i="9"/>
  <c r="D38" i="9"/>
  <c r="D42" i="9"/>
  <c r="B49" i="9"/>
  <c r="D68" i="5"/>
  <c r="D64" i="5"/>
  <c r="D68" i="4"/>
  <c r="D64" i="4"/>
  <c r="D60" i="4"/>
  <c r="D60" i="5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B21" i="7" l="1"/>
  <c r="B21" i="1"/>
  <c r="B53" i="7"/>
  <c r="E51" i="7"/>
  <c r="D51" i="7"/>
  <c r="C51" i="7"/>
  <c r="B51" i="7"/>
  <c r="B52" i="7" s="1"/>
  <c r="B32" i="7"/>
  <c r="E30" i="7"/>
  <c r="D30" i="7"/>
  <c r="C30" i="7"/>
  <c r="B30" i="7"/>
  <c r="B31" i="7" s="1"/>
  <c r="C120" i="6" l="1"/>
  <c r="B116" i="6"/>
  <c r="D100" i="6"/>
  <c r="B98" i="6"/>
  <c r="D97" i="6"/>
  <c r="F95" i="6"/>
  <c r="D95" i="6"/>
  <c r="I92" i="6" s="1"/>
  <c r="B87" i="6"/>
  <c r="F97" i="6" s="1"/>
  <c r="B81" i="6"/>
  <c r="B83" i="6" s="1"/>
  <c r="B80" i="6"/>
  <c r="B79" i="6"/>
  <c r="C76" i="6"/>
  <c r="B68" i="6"/>
  <c r="C56" i="6"/>
  <c r="B55" i="6"/>
  <c r="B45" i="6"/>
  <c r="D48" i="6" s="1"/>
  <c r="D49" i="6" s="1"/>
  <c r="F42" i="6"/>
  <c r="D42" i="6"/>
  <c r="B34" i="6"/>
  <c r="D44" i="6" s="1"/>
  <c r="D45" i="6" s="1"/>
  <c r="B30" i="6"/>
  <c r="C120" i="5"/>
  <c r="B116" i="5"/>
  <c r="D100" i="5"/>
  <c r="D101" i="5" s="1"/>
  <c r="B98" i="5"/>
  <c r="D97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D101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6" l="1"/>
  <c r="D102" i="6" s="1"/>
  <c r="I39" i="6"/>
  <c r="D46" i="6"/>
  <c r="E38" i="6"/>
  <c r="F98" i="5"/>
  <c r="F99" i="5" s="1"/>
  <c r="D97" i="4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B69" i="3"/>
  <c r="D49" i="4"/>
  <c r="E40" i="4"/>
  <c r="G91" i="4"/>
  <c r="D46" i="5"/>
  <c r="E38" i="5"/>
  <c r="G91" i="5"/>
  <c r="D44" i="3"/>
  <c r="D45" i="3" s="1"/>
  <c r="E39" i="3" s="1"/>
  <c r="D49" i="3"/>
  <c r="D98" i="5"/>
  <c r="D99" i="5" s="1"/>
  <c r="D102" i="5"/>
  <c r="G93" i="5"/>
  <c r="G94" i="5"/>
  <c r="G92" i="5"/>
  <c r="B69" i="4"/>
  <c r="D98" i="4"/>
  <c r="E91" i="4" s="1"/>
  <c r="D102" i="4"/>
  <c r="G93" i="4"/>
  <c r="F44" i="4"/>
  <c r="F45" i="4" s="1"/>
  <c r="F46" i="4" s="1"/>
  <c r="D98" i="6"/>
  <c r="B69" i="6"/>
  <c r="D49" i="5"/>
  <c r="E40" i="5"/>
  <c r="E41" i="5"/>
  <c r="E39" i="5"/>
  <c r="B69" i="5"/>
  <c r="F98" i="6"/>
  <c r="F44" i="5"/>
  <c r="F45" i="5" s="1"/>
  <c r="F46" i="5" s="1"/>
  <c r="E39" i="6"/>
  <c r="F44" i="6"/>
  <c r="F45" i="6" s="1"/>
  <c r="G39" i="6" s="1"/>
  <c r="G92" i="6"/>
  <c r="E41" i="6"/>
  <c r="E40" i="6"/>
  <c r="E91" i="6" l="1"/>
  <c r="E92" i="6"/>
  <c r="E42" i="6"/>
  <c r="G92" i="4"/>
  <c r="E94" i="4"/>
  <c r="E91" i="3"/>
  <c r="G91" i="3"/>
  <c r="E92" i="3"/>
  <c r="D102" i="3"/>
  <c r="G92" i="3"/>
  <c r="F99" i="4"/>
  <c r="G95" i="4"/>
  <c r="E38" i="4"/>
  <c r="E92" i="4"/>
  <c r="E39" i="4"/>
  <c r="E41" i="4"/>
  <c r="G39" i="3"/>
  <c r="F46" i="3"/>
  <c r="E93" i="3"/>
  <c r="E94" i="3"/>
  <c r="G95" i="5"/>
  <c r="E93" i="5"/>
  <c r="E94" i="5"/>
  <c r="E92" i="5"/>
  <c r="G93" i="3"/>
  <c r="G40" i="3"/>
  <c r="G41" i="3"/>
  <c r="G94" i="3"/>
  <c r="D99" i="6"/>
  <c r="E93" i="6"/>
  <c r="G40" i="6"/>
  <c r="E38" i="3"/>
  <c r="E41" i="3"/>
  <c r="D46" i="3"/>
  <c r="E40" i="3"/>
  <c r="G41" i="5"/>
  <c r="E42" i="5"/>
  <c r="G39" i="4"/>
  <c r="G38" i="4"/>
  <c r="G91" i="6"/>
  <c r="F99" i="6"/>
  <c r="G39" i="5"/>
  <c r="G38" i="6"/>
  <c r="G93" i="6"/>
  <c r="G94" i="6"/>
  <c r="E94" i="6"/>
  <c r="G38" i="5"/>
  <c r="E91" i="5"/>
  <c r="G41" i="4"/>
  <c r="E95" i="6"/>
  <c r="G40" i="5"/>
  <c r="D99" i="4"/>
  <c r="E93" i="4"/>
  <c r="G41" i="6"/>
  <c r="F46" i="6"/>
  <c r="G40" i="4"/>
  <c r="D105" i="6" l="1"/>
  <c r="D103" i="6"/>
  <c r="E112" i="6" s="1"/>
  <c r="F112" i="6" s="1"/>
  <c r="G42" i="6"/>
  <c r="D50" i="6"/>
  <c r="G95" i="6"/>
  <c r="D105" i="3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112" i="4"/>
  <c r="F112" i="4" s="1"/>
  <c r="E95" i="5"/>
  <c r="D103" i="5"/>
  <c r="D105" i="5"/>
  <c r="D52" i="6"/>
  <c r="E109" i="6" l="1"/>
  <c r="F109" i="6" s="1"/>
  <c r="E113" i="6"/>
  <c r="F113" i="6" s="1"/>
  <c r="E108" i="6"/>
  <c r="F108" i="6" s="1"/>
  <c r="D104" i="6"/>
  <c r="E110" i="6"/>
  <c r="F110" i="6" s="1"/>
  <c r="E111" i="6"/>
  <c r="F111" i="6" s="1"/>
  <c r="G63" i="6"/>
  <c r="H63" i="6" s="1"/>
  <c r="G62" i="6"/>
  <c r="H62" i="6" s="1"/>
  <c r="G67" i="6"/>
  <c r="H67" i="6" s="1"/>
  <c r="G69" i="6"/>
  <c r="H69" i="6" s="1"/>
  <c r="G60" i="6"/>
  <c r="G65" i="6"/>
  <c r="H65" i="6" s="1"/>
  <c r="G66" i="6"/>
  <c r="H66" i="6" s="1"/>
  <c r="D51" i="6"/>
  <c r="G68" i="6"/>
  <c r="H68" i="6" s="1"/>
  <c r="G64" i="6"/>
  <c r="H64" i="6" s="1"/>
  <c r="G70" i="6"/>
  <c r="H70" i="6" s="1"/>
  <c r="G61" i="6"/>
  <c r="H61" i="6" s="1"/>
  <c r="G71" i="6"/>
  <c r="H71" i="6" s="1"/>
  <c r="E110" i="4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6" l="1"/>
  <c r="E116" i="6" s="1"/>
  <c r="E117" i="6"/>
  <c r="G74" i="6"/>
  <c r="G72" i="6"/>
  <c r="G73" i="6" s="1"/>
  <c r="H60" i="6"/>
  <c r="E115" i="4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F117" i="6"/>
  <c r="F115" i="6"/>
  <c r="G74" i="3"/>
  <c r="G72" i="3"/>
  <c r="G73" i="3" s="1"/>
  <c r="H60" i="3"/>
  <c r="H74" i="5"/>
  <c r="H72" i="5"/>
  <c r="H72" i="6" l="1"/>
  <c r="H74" i="6"/>
  <c r="F115" i="3"/>
  <c r="F116" i="3" s="1"/>
  <c r="G76" i="5"/>
  <c r="H73" i="5"/>
  <c r="H74" i="3"/>
  <c r="H72" i="3"/>
  <c r="G120" i="4"/>
  <c r="F116" i="4"/>
  <c r="F117" i="5"/>
  <c r="F115" i="5"/>
  <c r="G120" i="6"/>
  <c r="F116" i="6"/>
  <c r="G76" i="4"/>
  <c r="H73" i="4"/>
  <c r="H73" i="6" l="1"/>
  <c r="G76" i="6"/>
  <c r="G120" i="3"/>
  <c r="G120" i="5"/>
  <c r="F116" i="5"/>
  <c r="G76" i="3"/>
  <c r="H73" i="3"/>
</calcChain>
</file>

<file path=xl/sharedStrings.xml><?xml version="1.0" encoding="utf-8"?>
<sst xmlns="http://schemas.openxmlformats.org/spreadsheetml/2006/main" count="853" uniqueCount="142">
  <si>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</si>
  <si>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</si>
  <si>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</si>
  <si>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</si>
  <si>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</si>
  <si>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</si>
  <si>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</si>
  <si>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NDQD2016061088</t>
  </si>
  <si>
    <t>Weight (mg):</t>
  </si>
  <si>
    <t>RIFAMPICIN, ISONIAZID, PYRAZINAMIDE &amp; ETHAMBUTOL HCl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</si>
  <si>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</si>
  <si>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</si>
  <si>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</si>
  <si>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</si>
  <si>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</si>
  <si>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</si>
  <si>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</si>
  <si>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</si>
  <si>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</si>
  <si>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</si>
  <si>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</si>
  <si>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</si>
  <si>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</si>
  <si>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</si>
  <si>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</si>
  <si>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</si>
  <si>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</si>
  <si>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</si>
  <si>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</si>
  <si>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</si>
  <si>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</si>
  <si>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</si>
  <si>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</si>
  <si>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</si>
  <si>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</si>
  <si>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</si>
  <si>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</si>
  <si>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</si>
  <si>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</si>
  <si>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</si>
  <si>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</si>
  <si>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</si>
  <si>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</si>
  <si>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</si>
  <si>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</si>
  <si>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</si>
  <si>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</si>
  <si>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</si>
  <si>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</si>
  <si>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</si>
  <si>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</si>
  <si>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</si>
  <si>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</si>
  <si>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</si>
  <si>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</si>
  <si>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</si>
  <si>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</si>
  <si>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</si>
  <si>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</si>
  <si>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</si>
  <si>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</si>
  <si>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</si>
  <si>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</si>
  <si>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</si>
  <si>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</si>
  <si>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</si>
  <si>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</si>
  <si>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</si>
  <si>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</si>
  <si>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</si>
  <si>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</si>
  <si>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</si>
  <si>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</si>
  <si>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</si>
  <si>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</si>
  <si>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</si>
  <si>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</si>
  <si>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</si>
  <si>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</si>
  <si>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</si>
  <si>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</si>
  <si>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</si>
  <si>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</si>
  <si>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</si>
  <si>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</si>
  <si>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</si>
  <si>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</si>
  <si>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</si>
  <si>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</si>
  <si>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</si>
  <si>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</si>
  <si>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</si>
  <si>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</si>
  <si>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</si>
  <si>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</si>
  <si>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</si>
  <si>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</si>
  <si>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</si>
  <si>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</si>
  <si>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</si>
  <si>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</si>
  <si>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</si>
  <si>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</si>
  <si>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</si>
  <si>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</si>
  <si>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</si>
  <si>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</si>
  <si>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</si>
  <si>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</si>
  <si>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</si>
  <si>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</si>
  <si>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</si>
  <si>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</si>
  <si>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</si>
  <si>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</si>
  <si>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</si>
  <si>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</si>
  <si>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</si>
  <si>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</si>
  <si>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</si>
  <si>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</si>
  <si>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</si>
  <si>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</si>
  <si>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</si>
  <si>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</si>
  <si>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</si>
  <si>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</si>
  <si>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</si>
  <si>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</si>
  <si>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</si>
  <si>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</si>
  <si>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</si>
  <si>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</si>
  <si>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</si>
  <si>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 xml:space="preserve">FORECOX TRAC </t>
  </si>
  <si>
    <t>NDQD2016061086</t>
  </si>
  <si>
    <t>Rifampicin, Isoniazid 75mg &amp; Pyrazinamide</t>
  </si>
  <si>
    <t>each tablets contains rifampicin, Isoniazid 75mg, Pyrazinamide 400mg,Ethambutol 275mg.</t>
  </si>
  <si>
    <t>2016-06-09 15:01:17</t>
  </si>
  <si>
    <t>E12 3</t>
  </si>
  <si>
    <t>ETHAMBUTOL HCl 275mg</t>
  </si>
  <si>
    <t>ETHAMBUTOL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</si>
</sst>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88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1" applyFont="1" applyFill="1"/>
    <xf numFmtId="0" fontId="24" fillId="2" borderId="0" xfId="1" applyFill="1"/>
    <xf numFmtId="0" fontId="10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9" zoomScale="60" zoomScaleNormal="100" workbookViewId="0">
      <selection activeCell="J107" sqref="J107"/>
    </sheetView>
  </sheetViews>
  <sheetFormatPr defaultRowHeight="13.5" x14ac:dyDescent="0.25"/>
  <cols>
    <col min="1" max="1" width="27.5703125" style="731" customWidth="1"/>
    <col min="2" max="2" width="20.42578125" style="731" customWidth="1"/>
    <col min="3" max="3" width="31.85546875" style="731" customWidth="1"/>
    <col min="4" max="4" width="25.85546875" style="731" customWidth="1"/>
    <col min="5" max="5" width="25.7109375" style="731" customWidth="1"/>
    <col min="6" max="6" width="23.140625" style="731" customWidth="1"/>
    <col min="7" max="7" width="28.42578125" style="731" customWidth="1"/>
    <col min="8" max="8" width="21.5703125" style="731" customWidth="1"/>
    <col min="9" max="9" width="9.140625" style="73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832" t="s">
        <v>0</v>
      </c>
      <c r="B15" s="832"/>
      <c r="C15" s="832"/>
      <c r="D15" s="832"/>
      <c r="E15" s="832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731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7</v>
      </c>
      <c r="C19" s="53"/>
      <c r="D19" s="53"/>
      <c r="E19" s="53"/>
    </row>
    <row r="20" spans="1:5" ht="16.5" customHeight="1" x14ac:dyDescent="0.3">
      <c r="A20" s="8" t="s">
        <v>8</v>
      </c>
      <c r="B20" s="12">
        <v>33.26</v>
      </c>
      <c r="C20" s="53"/>
      <c r="D20" s="53"/>
      <c r="E20" s="53"/>
    </row>
    <row r="21" spans="1:5" ht="16.5" customHeight="1" x14ac:dyDescent="0.3">
      <c r="A21" s="8" t="s">
        <v>10</v>
      </c>
      <c r="B21" s="13">
        <f>B20/100</f>
        <v>0.33260000000000001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3256014</v>
      </c>
      <c r="C24" s="18">
        <v>12800.8</v>
      </c>
      <c r="D24" s="19">
        <v>1.2</v>
      </c>
      <c r="E24" s="20">
        <v>4.5</v>
      </c>
    </row>
    <row r="25" spans="1:5" ht="16.5" customHeight="1" x14ac:dyDescent="0.3">
      <c r="A25" s="17">
        <v>2</v>
      </c>
      <c r="B25" s="18">
        <v>3247663</v>
      </c>
      <c r="C25" s="18">
        <v>12827.5</v>
      </c>
      <c r="D25" s="19">
        <v>1.2</v>
      </c>
      <c r="E25" s="19">
        <v>4.5</v>
      </c>
    </row>
    <row r="26" spans="1:5" ht="16.5" customHeight="1" x14ac:dyDescent="0.3">
      <c r="A26" s="17">
        <v>3</v>
      </c>
      <c r="B26" s="18">
        <v>3250365</v>
      </c>
      <c r="C26" s="18">
        <v>12805.7</v>
      </c>
      <c r="D26" s="19">
        <v>1.1000000000000001</v>
      </c>
      <c r="E26" s="19">
        <v>4.5</v>
      </c>
    </row>
    <row r="27" spans="1:5" ht="16.5" customHeight="1" x14ac:dyDescent="0.3">
      <c r="A27" s="17">
        <v>4</v>
      </c>
      <c r="B27" s="18">
        <v>3246653</v>
      </c>
      <c r="C27" s="18">
        <v>12778.3</v>
      </c>
      <c r="D27" s="19">
        <v>1.1000000000000001</v>
      </c>
      <c r="E27" s="19">
        <v>4.5</v>
      </c>
    </row>
    <row r="28" spans="1:5" ht="16.5" customHeight="1" x14ac:dyDescent="0.3">
      <c r="A28" s="17">
        <v>5</v>
      </c>
      <c r="B28" s="18">
        <v>3243670</v>
      </c>
      <c r="C28" s="18">
        <v>12721.5</v>
      </c>
      <c r="D28" s="19">
        <v>1.2</v>
      </c>
      <c r="E28" s="19">
        <v>4.5</v>
      </c>
    </row>
    <row r="29" spans="1:5" ht="16.5" customHeight="1" x14ac:dyDescent="0.3">
      <c r="A29" s="17">
        <v>6</v>
      </c>
      <c r="B29" s="21">
        <v>3239308</v>
      </c>
      <c r="C29" s="21">
        <v>12774.1</v>
      </c>
      <c r="D29" s="22">
        <v>1.1000000000000001</v>
      </c>
      <c r="E29" s="22">
        <v>4.3</v>
      </c>
    </row>
    <row r="30" spans="1:5" ht="16.5" customHeight="1" x14ac:dyDescent="0.3">
      <c r="A30" s="23" t="s">
        <v>18</v>
      </c>
      <c r="B30" s="24">
        <f>AVERAGE(B24:B29)</f>
        <v>3247278.8333333335</v>
      </c>
      <c r="C30" s="25">
        <f>AVERAGE(C24:C29)</f>
        <v>12784.650000000001</v>
      </c>
      <c r="D30" s="26">
        <f>AVERAGE(D24:D29)</f>
        <v>1.1500000000000001</v>
      </c>
      <c r="E30" s="26">
        <f>AVERAGE(E24:E29)</f>
        <v>4.4666666666666668</v>
      </c>
    </row>
    <row r="31" spans="1:5" ht="16.5" customHeight="1" x14ac:dyDescent="0.3">
      <c r="A31" s="27" t="s">
        <v>19</v>
      </c>
      <c r="B31" s="28">
        <f>(STDEV(B24:B29)/B30)</f>
        <v>1.7578784721686985E-3</v>
      </c>
      <c r="C31" s="29"/>
      <c r="D31" s="29"/>
      <c r="E31" s="30"/>
    </row>
    <row r="32" spans="1:5" s="731" customFormat="1" ht="16.5" customHeight="1" x14ac:dyDescent="0.3">
      <c r="A32" s="31" t="s">
        <v>20</v>
      </c>
      <c r="B32" s="32">
        <f>COUNT(B24:B29)</f>
        <v>6</v>
      </c>
      <c r="C32" s="33"/>
      <c r="D32" s="54"/>
      <c r="E32" s="35"/>
    </row>
    <row r="33" spans="1:5" s="731" customFormat="1" ht="15.75" customHeight="1" x14ac:dyDescent="0.25">
      <c r="A33" s="53"/>
      <c r="B33" s="53"/>
      <c r="C33" s="53"/>
      <c r="D33" s="53"/>
      <c r="E33" s="53"/>
    </row>
    <row r="34" spans="1:5" s="731" customFormat="1" ht="16.5" customHeight="1" x14ac:dyDescent="0.3">
      <c r="A34" s="5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55"/>
      <c r="B35" s="40" t="s">
        <v>23</v>
      </c>
      <c r="C35" s="39"/>
      <c r="D35" s="39"/>
      <c r="E35" s="39"/>
    </row>
    <row r="36" spans="1:5" ht="16.5" customHeight="1" x14ac:dyDescent="0.3">
      <c r="A36" s="55"/>
      <c r="B36" s="40" t="s">
        <v>24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25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8</v>
      </c>
      <c r="B41" s="12"/>
      <c r="C41" s="53"/>
      <c r="D41" s="53"/>
      <c r="E41" s="53"/>
    </row>
    <row r="42" spans="1:5" ht="16.5" customHeight="1" x14ac:dyDescent="0.3">
      <c r="A42" s="8" t="s">
        <v>10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3256014</v>
      </c>
      <c r="C45" s="18">
        <v>12800.8</v>
      </c>
      <c r="D45" s="19">
        <v>1.2</v>
      </c>
      <c r="E45" s="20">
        <v>4.5</v>
      </c>
    </row>
    <row r="46" spans="1:5" ht="16.5" customHeight="1" x14ac:dyDescent="0.3">
      <c r="A46" s="17">
        <v>2</v>
      </c>
      <c r="B46" s="18">
        <v>3247663</v>
      </c>
      <c r="C46" s="18">
        <v>12827.5</v>
      </c>
      <c r="D46" s="19">
        <v>1.2</v>
      </c>
      <c r="E46" s="19">
        <v>4.5</v>
      </c>
    </row>
    <row r="47" spans="1:5" ht="16.5" customHeight="1" x14ac:dyDescent="0.3">
      <c r="A47" s="17">
        <v>3</v>
      </c>
      <c r="B47" s="18">
        <v>3250365</v>
      </c>
      <c r="C47" s="18">
        <v>12805.7</v>
      </c>
      <c r="D47" s="19">
        <v>1.1000000000000001</v>
      </c>
      <c r="E47" s="19">
        <v>4.5</v>
      </c>
    </row>
    <row r="48" spans="1:5" ht="16.5" customHeight="1" x14ac:dyDescent="0.3">
      <c r="A48" s="17">
        <v>4</v>
      </c>
      <c r="B48" s="18">
        <v>3246653</v>
      </c>
      <c r="C48" s="18">
        <v>12778.3</v>
      </c>
      <c r="D48" s="19">
        <v>1.1000000000000001</v>
      </c>
      <c r="E48" s="19">
        <v>4.5</v>
      </c>
    </row>
    <row r="49" spans="1:7" ht="16.5" customHeight="1" x14ac:dyDescent="0.3">
      <c r="A49" s="17">
        <v>5</v>
      </c>
      <c r="B49" s="18">
        <v>3243670</v>
      </c>
      <c r="C49" s="18">
        <v>12721.5</v>
      </c>
      <c r="D49" s="19">
        <v>1.2</v>
      </c>
      <c r="E49" s="19">
        <v>4.5</v>
      </c>
    </row>
    <row r="50" spans="1:7" ht="16.5" customHeight="1" x14ac:dyDescent="0.3">
      <c r="A50" s="17">
        <v>6</v>
      </c>
      <c r="B50" s="21">
        <v>3239308</v>
      </c>
      <c r="C50" s="21">
        <v>12774.1</v>
      </c>
      <c r="D50" s="22">
        <v>1.1000000000000001</v>
      </c>
      <c r="E50" s="22">
        <v>4.3</v>
      </c>
    </row>
    <row r="51" spans="1:7" ht="16.5" customHeight="1" x14ac:dyDescent="0.3">
      <c r="A51" s="23" t="s">
        <v>18</v>
      </c>
      <c r="B51" s="24">
        <f>AVERAGE(B45:B50)</f>
        <v>3247278.8333333335</v>
      </c>
      <c r="C51" s="25">
        <f>AVERAGE(C45:C50)</f>
        <v>12784.650000000001</v>
      </c>
      <c r="D51" s="26">
        <f>AVERAGE(D45:D50)</f>
        <v>1.1500000000000001</v>
      </c>
      <c r="E51" s="26">
        <f>AVERAGE(E45:E50)</f>
        <v>4.4666666666666668</v>
      </c>
    </row>
    <row r="52" spans="1:7" ht="16.5" customHeight="1" x14ac:dyDescent="0.3">
      <c r="A52" s="27" t="s">
        <v>19</v>
      </c>
      <c r="B52" s="28">
        <f>(STDEV(B45:B50)/B51)</f>
        <v>1.7578784721686985E-3</v>
      </c>
      <c r="C52" s="29"/>
      <c r="D52" s="29"/>
      <c r="E52" s="30"/>
    </row>
    <row r="53" spans="1:7" s="731" customFormat="1" ht="16.5" customHeight="1" x14ac:dyDescent="0.3">
      <c r="A53" s="31" t="s">
        <v>20</v>
      </c>
      <c r="B53" s="32">
        <f>COUNT(B45:B50)</f>
        <v>6</v>
      </c>
      <c r="C53" s="33"/>
      <c r="D53" s="54"/>
      <c r="E53" s="35"/>
    </row>
    <row r="54" spans="1:7" s="731" customFormat="1" ht="15.75" customHeight="1" x14ac:dyDescent="0.25">
      <c r="A54" s="53"/>
      <c r="B54" s="53"/>
      <c r="C54" s="53"/>
      <c r="D54" s="53"/>
      <c r="E54" s="53"/>
    </row>
    <row r="55" spans="1:7" s="731" customFormat="1" ht="16.5" customHeight="1" x14ac:dyDescent="0.3">
      <c r="A55" s="5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55"/>
      <c r="B56" s="40" t="s">
        <v>23</v>
      </c>
      <c r="C56" s="39"/>
      <c r="D56" s="39"/>
      <c r="E56" s="39"/>
    </row>
    <row r="57" spans="1:7" ht="16.5" customHeight="1" x14ac:dyDescent="0.3">
      <c r="A57" s="5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655"/>
      <c r="D58" s="43"/>
      <c r="F58" s="44"/>
      <c r="G58" s="44"/>
    </row>
    <row r="59" spans="1:7" ht="15" customHeight="1" x14ac:dyDescent="0.3">
      <c r="B59" s="833" t="s">
        <v>26</v>
      </c>
      <c r="C59" s="833"/>
      <c r="E59" s="831" t="s">
        <v>27</v>
      </c>
      <c r="F59" s="46"/>
      <c r="G59" s="831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A18" sqref="A18:B18"/>
    </sheetView>
  </sheetViews>
  <sheetFormatPr defaultRowHeight="15" x14ac:dyDescent="0.3"/>
  <cols>
    <col min="1" max="1" width="15.5703125" style="787" customWidth="1"/>
    <col min="2" max="2" width="18.42578125" style="787" customWidth="1"/>
    <col min="3" max="3" width="14.28515625" style="787" customWidth="1"/>
    <col min="4" max="4" width="15" style="787" customWidth="1"/>
    <col min="5" max="5" width="9.140625" style="787" customWidth="1"/>
    <col min="6" max="6" width="27.85546875" style="787" customWidth="1"/>
    <col min="7" max="7" width="12.28515625" style="787" customWidth="1"/>
    <col min="8" max="8" width="9.140625" style="787" customWidth="1"/>
    <col min="9" max="16384" width="9.140625" style="788"/>
  </cols>
  <sheetData>
    <row r="10" spans="1:7" ht="13.5" customHeight="1" thickBot="1" x14ac:dyDescent="0.35"/>
    <row r="11" spans="1:7" ht="13.5" customHeight="1" thickBot="1" x14ac:dyDescent="0.35">
      <c r="A11" s="836" t="s">
        <v>31</v>
      </c>
      <c r="B11" s="837"/>
      <c r="C11" s="837"/>
      <c r="D11" s="837"/>
      <c r="E11" s="837"/>
      <c r="F11" s="838"/>
      <c r="G11" s="789"/>
    </row>
    <row r="12" spans="1:7" ht="16.5" customHeight="1" x14ac:dyDescent="0.3">
      <c r="A12" s="839" t="s">
        <v>32</v>
      </c>
      <c r="B12" s="839"/>
      <c r="C12" s="839"/>
      <c r="D12" s="839"/>
      <c r="E12" s="839"/>
      <c r="F12" s="839"/>
      <c r="G12" s="790"/>
    </row>
    <row r="14" spans="1:7" ht="16.5" customHeight="1" x14ac:dyDescent="0.3">
      <c r="A14" s="840" t="s">
        <v>33</v>
      </c>
      <c r="B14" s="840"/>
      <c r="C14" s="791" t="s">
        <v>134</v>
      </c>
    </row>
    <row r="15" spans="1:7" ht="16.5" customHeight="1" x14ac:dyDescent="0.3">
      <c r="A15" s="840" t="s">
        <v>34</v>
      </c>
      <c r="B15" s="840"/>
      <c r="C15" s="791" t="s">
        <v>135</v>
      </c>
    </row>
    <row r="16" spans="1:7" ht="16.5" customHeight="1" x14ac:dyDescent="0.3">
      <c r="A16" s="840" t="s">
        <v>35</v>
      </c>
      <c r="B16" s="840"/>
      <c r="C16" s="791" t="s">
        <v>136</v>
      </c>
    </row>
    <row r="17" spans="1:5" ht="16.5" customHeight="1" x14ac:dyDescent="0.3">
      <c r="A17" s="840" t="s">
        <v>36</v>
      </c>
      <c r="B17" s="840"/>
      <c r="C17" s="791" t="s">
        <v>137</v>
      </c>
    </row>
    <row r="18" spans="1:5" ht="16.5" customHeight="1" x14ac:dyDescent="0.3">
      <c r="A18" s="840" t="s">
        <v>37</v>
      </c>
      <c r="B18" s="840"/>
      <c r="C18" s="792" t="s">
        <v>138</v>
      </c>
    </row>
    <row r="19" spans="1:5" ht="16.5" customHeight="1" x14ac:dyDescent="0.3">
      <c r="A19" s="840" t="s">
        <v>38</v>
      </c>
      <c r="B19" s="840"/>
      <c r="C19" s="792" t="e">
        <f>#REF!</f>
        <v>#REF!</v>
      </c>
    </row>
    <row r="20" spans="1:5" ht="16.5" customHeight="1" x14ac:dyDescent="0.3">
      <c r="A20" s="793"/>
      <c r="B20" s="793"/>
      <c r="C20" s="794"/>
    </row>
    <row r="21" spans="1:5" ht="16.5" customHeight="1" x14ac:dyDescent="0.3">
      <c r="A21" s="839" t="s">
        <v>1</v>
      </c>
      <c r="B21" s="839"/>
      <c r="C21" s="795" t="s">
        <v>39</v>
      </c>
      <c r="D21" s="796"/>
    </row>
    <row r="22" spans="1:5" ht="15.75" customHeight="1" thickBot="1" x14ac:dyDescent="0.35">
      <c r="A22" s="841"/>
      <c r="B22" s="841"/>
      <c r="C22" s="797"/>
      <c r="D22" s="841"/>
      <c r="E22" s="841"/>
    </row>
    <row r="23" spans="1:5" ht="33.75" customHeight="1" thickBot="1" x14ac:dyDescent="0.35">
      <c r="C23" s="798" t="s">
        <v>40</v>
      </c>
      <c r="D23" s="799" t="s">
        <v>41</v>
      </c>
      <c r="E23" s="800"/>
    </row>
    <row r="24" spans="1:5" ht="15.75" customHeight="1" x14ac:dyDescent="0.3">
      <c r="C24" s="801">
        <v>1053.8699999999999</v>
      </c>
      <c r="D24" s="802">
        <f t="shared" ref="D24:D43" si="0">(C24-$C$46)/$C$46</f>
        <v>-2.2933988454901465E-3</v>
      </c>
      <c r="E24" s="803"/>
    </row>
    <row r="25" spans="1:5" ht="15.75" customHeight="1" x14ac:dyDescent="0.3">
      <c r="C25" s="801">
        <v>1072.42</v>
      </c>
      <c r="D25" s="804">
        <f t="shared" si="0"/>
        <v>1.5268024718532305E-2</v>
      </c>
      <c r="E25" s="803"/>
    </row>
    <row r="26" spans="1:5" ht="15.75" customHeight="1" x14ac:dyDescent="0.3">
      <c r="C26" s="801">
        <v>1047.81</v>
      </c>
      <c r="D26" s="804">
        <f t="shared" si="0"/>
        <v>-8.0304461122272918E-3</v>
      </c>
      <c r="E26" s="803"/>
    </row>
    <row r="27" spans="1:5" ht="15.75" customHeight="1" x14ac:dyDescent="0.3">
      <c r="C27" s="801">
        <v>1051.53</v>
      </c>
      <c r="D27" s="804">
        <f t="shared" si="0"/>
        <v>-4.5086943247252247E-3</v>
      </c>
      <c r="E27" s="803"/>
    </row>
    <row r="28" spans="1:5" ht="15.75" customHeight="1" x14ac:dyDescent="0.3">
      <c r="C28" s="801">
        <v>1050.27</v>
      </c>
      <c r="D28" s="804">
        <f t="shared" si="0"/>
        <v>-5.7015457366210685E-3</v>
      </c>
      <c r="E28" s="803"/>
    </row>
    <row r="29" spans="1:5" ht="15.75" customHeight="1" x14ac:dyDescent="0.3">
      <c r="C29" s="801">
        <v>1069.6400000000001</v>
      </c>
      <c r="D29" s="804">
        <f t="shared" si="0"/>
        <v>1.2636177952603385E-2</v>
      </c>
      <c r="E29" s="803"/>
    </row>
    <row r="30" spans="1:5" ht="15.75" customHeight="1" x14ac:dyDescent="0.3">
      <c r="C30" s="801">
        <v>1049.47</v>
      </c>
      <c r="D30" s="804">
        <f t="shared" si="0"/>
        <v>-6.4589117124279165E-3</v>
      </c>
      <c r="E30" s="803"/>
    </row>
    <row r="31" spans="1:5" ht="15.75" customHeight="1" x14ac:dyDescent="0.3">
      <c r="C31" s="801">
        <v>1035.0899999999999</v>
      </c>
      <c r="D31" s="804">
        <f t="shared" si="0"/>
        <v>-2.0072565127556882E-2</v>
      </c>
      <c r="E31" s="803"/>
    </row>
    <row r="32" spans="1:5" ht="15.75" customHeight="1" x14ac:dyDescent="0.3">
      <c r="C32" s="801">
        <v>1063.4100000000001</v>
      </c>
      <c r="D32" s="804">
        <f t="shared" si="0"/>
        <v>6.7381904160072068E-3</v>
      </c>
      <c r="E32" s="803"/>
    </row>
    <row r="33" spans="1:7" ht="15.75" customHeight="1" x14ac:dyDescent="0.3">
      <c r="C33" s="801">
        <v>1046.6300000000001</v>
      </c>
      <c r="D33" s="804">
        <f t="shared" si="0"/>
        <v>-9.1475609265423002E-3</v>
      </c>
      <c r="E33" s="803"/>
    </row>
    <row r="34" spans="1:7" ht="15.75" customHeight="1" x14ac:dyDescent="0.3">
      <c r="C34" s="801">
        <v>1056.81</v>
      </c>
      <c r="D34" s="804">
        <f t="shared" si="0"/>
        <v>4.8992111560022887E-4</v>
      </c>
      <c r="E34" s="803"/>
    </row>
    <row r="35" spans="1:7" ht="15.75" customHeight="1" x14ac:dyDescent="0.3">
      <c r="C35" s="801">
        <v>1068.9000000000001</v>
      </c>
      <c r="D35" s="804">
        <f t="shared" si="0"/>
        <v>1.1935614424982003E-2</v>
      </c>
      <c r="E35" s="803"/>
    </row>
    <row r="36" spans="1:7" ht="15.75" customHeight="1" x14ac:dyDescent="0.3">
      <c r="C36" s="801">
        <v>1048.67</v>
      </c>
      <c r="D36" s="804">
        <f t="shared" si="0"/>
        <v>-7.2162776882347644E-3</v>
      </c>
      <c r="E36" s="803"/>
    </row>
    <row r="37" spans="1:7" ht="15.75" customHeight="1" x14ac:dyDescent="0.3">
      <c r="C37" s="801">
        <v>1060.5999999999999</v>
      </c>
      <c r="D37" s="804">
        <f t="shared" si="0"/>
        <v>4.0779424259853392E-3</v>
      </c>
      <c r="E37" s="803"/>
    </row>
    <row r="38" spans="1:7" ht="15.75" customHeight="1" x14ac:dyDescent="0.3">
      <c r="C38" s="801">
        <v>1062.77</v>
      </c>
      <c r="D38" s="804">
        <f t="shared" si="0"/>
        <v>6.1322976353615994E-3</v>
      </c>
      <c r="E38" s="803"/>
    </row>
    <row r="39" spans="1:7" ht="15.75" customHeight="1" x14ac:dyDescent="0.3">
      <c r="C39" s="801">
        <v>1050.96</v>
      </c>
      <c r="D39" s="804">
        <f t="shared" si="0"/>
        <v>-5.0483175824875739E-3</v>
      </c>
      <c r="E39" s="803"/>
    </row>
    <row r="40" spans="1:7" ht="15.75" customHeight="1" x14ac:dyDescent="0.3">
      <c r="C40" s="801">
        <v>1050.54</v>
      </c>
      <c r="D40" s="804">
        <f t="shared" si="0"/>
        <v>-5.4459347197862605E-3</v>
      </c>
      <c r="E40" s="803"/>
    </row>
    <row r="41" spans="1:7" ht="15.75" customHeight="1" x14ac:dyDescent="0.3">
      <c r="C41" s="801">
        <v>1063.92</v>
      </c>
      <c r="D41" s="804">
        <f t="shared" si="0"/>
        <v>7.2210112255840907E-3</v>
      </c>
      <c r="E41" s="803"/>
    </row>
    <row r="42" spans="1:7" ht="15.75" customHeight="1" x14ac:dyDescent="0.3">
      <c r="C42" s="801">
        <v>1077.03</v>
      </c>
      <c r="D42" s="804">
        <f t="shared" si="0"/>
        <v>1.9632346154119417E-2</v>
      </c>
      <c r="E42" s="803"/>
    </row>
    <row r="43" spans="1:7" ht="16.5" customHeight="1" thickBot="1" x14ac:dyDescent="0.35">
      <c r="C43" s="805">
        <v>1045.51</v>
      </c>
      <c r="D43" s="806">
        <f t="shared" si="0"/>
        <v>-1.0207873292672059E-2</v>
      </c>
      <c r="E43" s="803"/>
    </row>
    <row r="44" spans="1:7" ht="16.5" customHeight="1" thickBot="1" x14ac:dyDescent="0.35">
      <c r="C44" s="807"/>
      <c r="D44" s="803"/>
      <c r="E44" s="808"/>
    </row>
    <row r="45" spans="1:7" ht="16.5" customHeight="1" thickBot="1" x14ac:dyDescent="0.35">
      <c r="B45" s="809" t="s">
        <v>42</v>
      </c>
      <c r="C45" s="810">
        <f>SUM(C24:C44)</f>
        <v>21125.849999999995</v>
      </c>
      <c r="D45" s="811"/>
      <c r="E45" s="807"/>
    </row>
    <row r="46" spans="1:7" ht="17.25" customHeight="1" thickBot="1" x14ac:dyDescent="0.35">
      <c r="B46" s="809" t="s">
        <v>43</v>
      </c>
      <c r="C46" s="812">
        <f>AVERAGE(C24:C44)</f>
        <v>1056.2924999999998</v>
      </c>
      <c r="E46" s="813"/>
    </row>
    <row r="47" spans="1:7" ht="17.25" customHeight="1" thickBot="1" x14ac:dyDescent="0.35">
      <c r="A47" s="791"/>
      <c r="B47" s="814"/>
      <c r="D47" s="815"/>
      <c r="E47" s="813"/>
    </row>
    <row r="48" spans="1:7" ht="33.75" customHeight="1" thickBot="1" x14ac:dyDescent="0.35">
      <c r="B48" s="816" t="s">
        <v>43</v>
      </c>
      <c r="C48" s="799" t="s">
        <v>44</v>
      </c>
      <c r="D48" s="817"/>
      <c r="G48" s="815"/>
    </row>
    <row r="49" spans="1:6" ht="17.25" customHeight="1" thickBot="1" x14ac:dyDescent="0.35">
      <c r="B49" s="834">
        <f>C46</f>
        <v>1056.2924999999998</v>
      </c>
      <c r="C49" s="818">
        <f>-IF(C46&lt;=80,10%,IF(C46&lt;250,7.5%,5%))</f>
        <v>-0.05</v>
      </c>
      <c r="D49" s="819">
        <f>IF(C46&lt;=80,C46*0.9,IF(C46&lt;250,C46*0.925,C46*0.95))</f>
        <v>1003.4778749999997</v>
      </c>
    </row>
    <row r="50" spans="1:6" ht="17.25" customHeight="1" thickBot="1" x14ac:dyDescent="0.35">
      <c r="B50" s="835"/>
      <c r="C50" s="820">
        <f>IF(C46&lt;=80, 10%, IF(C46&lt;250, 7.5%, 5%))</f>
        <v>0.05</v>
      </c>
      <c r="D50" s="819">
        <f>IF(C46&lt;=80, C46*1.1, IF(C46&lt;250, C46*1.075, C46*1.05))</f>
        <v>1109.1071249999998</v>
      </c>
    </row>
    <row r="51" spans="1:6" ht="16.5" customHeight="1" thickBot="1" x14ac:dyDescent="0.35">
      <c r="A51" s="821"/>
      <c r="B51" s="822"/>
      <c r="C51" s="791"/>
      <c r="D51" s="823"/>
      <c r="E51" s="791"/>
      <c r="F51" s="796"/>
    </row>
    <row r="52" spans="1:6" ht="16.5" customHeight="1" x14ac:dyDescent="0.3">
      <c r="A52" s="791"/>
      <c r="B52" s="824" t="s">
        <v>26</v>
      </c>
      <c r="C52" s="824"/>
      <c r="D52" s="825" t="s">
        <v>27</v>
      </c>
      <c r="E52" s="826"/>
      <c r="F52" s="825" t="s">
        <v>28</v>
      </c>
    </row>
    <row r="53" spans="1:6" ht="34.5" customHeight="1" x14ac:dyDescent="0.3">
      <c r="A53" s="793" t="s">
        <v>29</v>
      </c>
      <c r="B53" s="827"/>
      <c r="C53" s="791"/>
      <c r="D53" s="827"/>
      <c r="E53" s="791"/>
      <c r="F53" s="827"/>
    </row>
    <row r="54" spans="1:6" ht="34.5" customHeight="1" x14ac:dyDescent="0.3">
      <c r="A54" s="793" t="s">
        <v>30</v>
      </c>
      <c r="B54" s="828"/>
      <c r="C54" s="829"/>
      <c r="D54" s="828"/>
      <c r="E54" s="791"/>
      <c r="F54" s="83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4" zoomScale="60" zoomScaleNormal="40" zoomScalePageLayoutView="60" workbookViewId="0">
      <selection activeCell="J118" sqref="J1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42" t="s">
        <v>45</v>
      </c>
      <c r="B1" s="842"/>
      <c r="C1" s="842"/>
      <c r="D1" s="842"/>
      <c r="E1" s="842"/>
      <c r="F1" s="842"/>
      <c r="G1" s="842"/>
      <c r="H1" s="842"/>
      <c r="I1" s="842"/>
    </row>
    <row r="2" spans="1:9" ht="18.75" customHeight="1" x14ac:dyDescent="0.25">
      <c r="A2" s="842"/>
      <c r="B2" s="842"/>
      <c r="C2" s="842"/>
      <c r="D2" s="842"/>
      <c r="E2" s="842"/>
      <c r="F2" s="842"/>
      <c r="G2" s="842"/>
      <c r="H2" s="842"/>
      <c r="I2" s="842"/>
    </row>
    <row r="3" spans="1:9" ht="18.75" customHeight="1" x14ac:dyDescent="0.25">
      <c r="A3" s="842"/>
      <c r="B3" s="842"/>
      <c r="C3" s="842"/>
      <c r="D3" s="842"/>
      <c r="E3" s="842"/>
      <c r="F3" s="842"/>
      <c r="G3" s="842"/>
      <c r="H3" s="842"/>
      <c r="I3" s="842"/>
    </row>
    <row r="4" spans="1:9" ht="18.75" customHeight="1" x14ac:dyDescent="0.25">
      <c r="A4" s="842"/>
      <c r="B4" s="842"/>
      <c r="C4" s="842"/>
      <c r="D4" s="842"/>
      <c r="E4" s="842"/>
      <c r="F4" s="842"/>
      <c r="G4" s="842"/>
      <c r="H4" s="842"/>
      <c r="I4" s="842"/>
    </row>
    <row r="5" spans="1:9" ht="18.75" customHeight="1" x14ac:dyDescent="0.25">
      <c r="A5" s="842"/>
      <c r="B5" s="842"/>
      <c r="C5" s="842"/>
      <c r="D5" s="842"/>
      <c r="E5" s="842"/>
      <c r="F5" s="842"/>
      <c r="G5" s="842"/>
      <c r="H5" s="842"/>
      <c r="I5" s="842"/>
    </row>
    <row r="6" spans="1:9" ht="18.75" customHeight="1" x14ac:dyDescent="0.25">
      <c r="A6" s="842"/>
      <c r="B6" s="842"/>
      <c r="C6" s="842"/>
      <c r="D6" s="842"/>
      <c r="E6" s="842"/>
      <c r="F6" s="842"/>
      <c r="G6" s="842"/>
      <c r="H6" s="842"/>
      <c r="I6" s="842"/>
    </row>
    <row r="7" spans="1:9" ht="18.75" customHeight="1" x14ac:dyDescent="0.25">
      <c r="A7" s="842"/>
      <c r="B7" s="842"/>
      <c r="C7" s="842"/>
      <c r="D7" s="842"/>
      <c r="E7" s="842"/>
      <c r="F7" s="842"/>
      <c r="G7" s="842"/>
      <c r="H7" s="842"/>
      <c r="I7" s="842"/>
    </row>
    <row r="8" spans="1:9" x14ac:dyDescent="0.25">
      <c r="A8" s="843" t="s">
        <v>46</v>
      </c>
      <c r="B8" s="843"/>
      <c r="C8" s="843"/>
      <c r="D8" s="843"/>
      <c r="E8" s="843"/>
      <c r="F8" s="843"/>
      <c r="G8" s="843"/>
      <c r="H8" s="843"/>
      <c r="I8" s="843"/>
    </row>
    <row r="9" spans="1:9" x14ac:dyDescent="0.25">
      <c r="A9" s="843"/>
      <c r="B9" s="843"/>
      <c r="C9" s="843"/>
      <c r="D9" s="843"/>
      <c r="E9" s="843"/>
      <c r="F9" s="843"/>
      <c r="G9" s="843"/>
      <c r="H9" s="843"/>
      <c r="I9" s="843"/>
    </row>
    <row r="10" spans="1:9" x14ac:dyDescent="0.25">
      <c r="A10" s="843"/>
      <c r="B10" s="843"/>
      <c r="C10" s="843"/>
      <c r="D10" s="843"/>
      <c r="E10" s="843"/>
      <c r="F10" s="843"/>
      <c r="G10" s="843"/>
      <c r="H10" s="843"/>
      <c r="I10" s="843"/>
    </row>
    <row r="11" spans="1:9" x14ac:dyDescent="0.25">
      <c r="A11" s="843"/>
      <c r="B11" s="843"/>
      <c r="C11" s="843"/>
      <c r="D11" s="843"/>
      <c r="E11" s="843"/>
      <c r="F11" s="843"/>
      <c r="G11" s="843"/>
      <c r="H11" s="843"/>
      <c r="I11" s="843"/>
    </row>
    <row r="12" spans="1:9" x14ac:dyDescent="0.25">
      <c r="A12" s="843"/>
      <c r="B12" s="843"/>
      <c r="C12" s="843"/>
      <c r="D12" s="843"/>
      <c r="E12" s="843"/>
      <c r="F12" s="843"/>
      <c r="G12" s="843"/>
      <c r="H12" s="843"/>
      <c r="I12" s="843"/>
    </row>
    <row r="13" spans="1:9" x14ac:dyDescent="0.25">
      <c r="A13" s="843"/>
      <c r="B13" s="843"/>
      <c r="C13" s="843"/>
      <c r="D13" s="843"/>
      <c r="E13" s="843"/>
      <c r="F13" s="843"/>
      <c r="G13" s="843"/>
      <c r="H13" s="843"/>
      <c r="I13" s="843"/>
    </row>
    <row r="14" spans="1:9" x14ac:dyDescent="0.25">
      <c r="A14" s="843"/>
      <c r="B14" s="843"/>
      <c r="C14" s="843"/>
      <c r="D14" s="843"/>
      <c r="E14" s="843"/>
      <c r="F14" s="843"/>
      <c r="G14" s="843"/>
      <c r="H14" s="843"/>
      <c r="I14" s="843"/>
    </row>
    <row r="15" spans="1:9" ht="19.5" customHeight="1" x14ac:dyDescent="0.3">
      <c r="A15" s="57"/>
    </row>
    <row r="16" spans="1:9" ht="19.5" customHeight="1" x14ac:dyDescent="0.3">
      <c r="A16" s="876" t="s">
        <v>31</v>
      </c>
      <c r="B16" s="877"/>
      <c r="C16" s="877"/>
      <c r="D16" s="877"/>
      <c r="E16" s="877"/>
      <c r="F16" s="877"/>
      <c r="G16" s="877"/>
      <c r="H16" s="878"/>
    </row>
    <row r="17" spans="1:14" ht="20.25" customHeight="1" x14ac:dyDescent="0.25">
      <c r="A17" s="879" t="s">
        <v>47</v>
      </c>
      <c r="B17" s="879"/>
      <c r="C17" s="879"/>
      <c r="D17" s="879"/>
      <c r="E17" s="879"/>
      <c r="F17" s="879"/>
      <c r="G17" s="879"/>
      <c r="H17" s="879"/>
    </row>
    <row r="18" spans="1:14" ht="26.25" customHeight="1" x14ac:dyDescent="0.4">
      <c r="A18" s="59" t="s">
        <v>33</v>
      </c>
      <c r="B18" s="875" t="s">
        <v>5</v>
      </c>
      <c r="C18" s="875"/>
      <c r="D18" s="225"/>
      <c r="E18" s="60"/>
      <c r="F18" s="61"/>
      <c r="G18" s="61"/>
      <c r="H18" s="61"/>
    </row>
    <row r="19" spans="1:14" ht="26.25" customHeight="1" x14ac:dyDescent="0.4">
      <c r="A19" s="59" t="s">
        <v>34</v>
      </c>
      <c r="B19" s="62" t="s">
        <v>7</v>
      </c>
      <c r="C19" s="238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35</v>
      </c>
      <c r="B20" s="880" t="s">
        <v>125</v>
      </c>
      <c r="C20" s="880"/>
      <c r="D20" s="61"/>
      <c r="E20" s="61"/>
      <c r="F20" s="61"/>
      <c r="G20" s="61"/>
      <c r="H20" s="61"/>
    </row>
    <row r="21" spans="1:14" ht="26.25" customHeight="1" x14ac:dyDescent="0.4">
      <c r="A21" s="59" t="s">
        <v>36</v>
      </c>
      <c r="B21" s="880" t="s">
        <v>131</v>
      </c>
      <c r="C21" s="880"/>
      <c r="D21" s="880"/>
      <c r="E21" s="880"/>
      <c r="F21" s="880"/>
      <c r="G21" s="880"/>
      <c r="H21" s="880"/>
      <c r="I21" s="63"/>
    </row>
    <row r="22" spans="1:14" ht="26.25" customHeight="1" x14ac:dyDescent="0.4">
      <c r="A22" s="59" t="s">
        <v>37</v>
      </c>
      <c r="B22" s="64">
        <v>42531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38</v>
      </c>
      <c r="B23" s="64">
        <v>42535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5"/>
    </row>
    <row r="25" spans="1:14" ht="18.75" x14ac:dyDescent="0.3">
      <c r="A25" s="66" t="s">
        <v>1</v>
      </c>
      <c r="B25" s="65"/>
    </row>
    <row r="26" spans="1:14" ht="26.25" customHeight="1" x14ac:dyDescent="0.4">
      <c r="A26" s="67" t="s">
        <v>4</v>
      </c>
      <c r="B26" s="875" t="s">
        <v>125</v>
      </c>
      <c r="C26" s="875"/>
    </row>
    <row r="27" spans="1:14" ht="26.25" customHeight="1" x14ac:dyDescent="0.4">
      <c r="A27" s="68" t="s">
        <v>48</v>
      </c>
      <c r="B27" s="873" t="s">
        <v>129</v>
      </c>
      <c r="C27" s="873"/>
    </row>
    <row r="28" spans="1:14" ht="27" customHeight="1" x14ac:dyDescent="0.4">
      <c r="A28" s="68" t="s">
        <v>6</v>
      </c>
      <c r="B28" s="69">
        <v>99.6</v>
      </c>
    </row>
    <row r="29" spans="1:14" s="14" customFormat="1" ht="27" customHeight="1" x14ac:dyDescent="0.4">
      <c r="A29" s="68" t="s">
        <v>49</v>
      </c>
      <c r="B29" s="70">
        <v>0</v>
      </c>
      <c r="C29" s="850" t="s">
        <v>50</v>
      </c>
      <c r="D29" s="851"/>
      <c r="E29" s="851"/>
      <c r="F29" s="851"/>
      <c r="G29" s="852"/>
      <c r="I29" s="71"/>
      <c r="J29" s="71"/>
      <c r="K29" s="71"/>
      <c r="L29" s="71"/>
    </row>
    <row r="30" spans="1:14" s="14" customFormat="1" ht="19.5" customHeight="1" x14ac:dyDescent="0.3">
      <c r="A30" s="68" t="s">
        <v>51</v>
      </c>
      <c r="B30" s="72">
        <f>B28-B29</f>
        <v>99.6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">
      <c r="A31" s="68" t="s">
        <v>52</v>
      </c>
      <c r="B31" s="75">
        <v>1</v>
      </c>
      <c r="C31" s="853" t="s">
        <v>53</v>
      </c>
      <c r="D31" s="854"/>
      <c r="E31" s="854"/>
      <c r="F31" s="854"/>
      <c r="G31" s="854"/>
      <c r="H31" s="855"/>
      <c r="I31" s="71"/>
      <c r="J31" s="71"/>
      <c r="K31" s="71"/>
      <c r="L31" s="71"/>
    </row>
    <row r="32" spans="1:14" s="14" customFormat="1" ht="27" customHeight="1" x14ac:dyDescent="0.4">
      <c r="A32" s="68" t="s">
        <v>54</v>
      </c>
      <c r="B32" s="75">
        <v>1</v>
      </c>
      <c r="C32" s="853" t="s">
        <v>55</v>
      </c>
      <c r="D32" s="854"/>
      <c r="E32" s="854"/>
      <c r="F32" s="854"/>
      <c r="G32" s="854"/>
      <c r="H32" s="855"/>
      <c r="I32" s="71"/>
      <c r="J32" s="71"/>
      <c r="K32" s="71"/>
      <c r="L32" s="76"/>
      <c r="M32" s="76"/>
      <c r="N32" s="77"/>
    </row>
    <row r="33" spans="1:14" s="14" customFormat="1" ht="17.25" customHeight="1" x14ac:dyDescent="0.3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.75" x14ac:dyDescent="0.3">
      <c r="A34" s="68" t="s">
        <v>56</v>
      </c>
      <c r="B34" s="80">
        <f>B31/B32</f>
        <v>1</v>
      </c>
      <c r="C34" s="58" t="s">
        <v>57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">
      <c r="A36" s="81" t="s">
        <v>58</v>
      </c>
      <c r="B36" s="82">
        <v>100</v>
      </c>
      <c r="C36" s="58"/>
      <c r="D36" s="856" t="s">
        <v>59</v>
      </c>
      <c r="E36" s="874"/>
      <c r="F36" s="856" t="s">
        <v>60</v>
      </c>
      <c r="G36" s="857"/>
      <c r="J36" s="71"/>
      <c r="K36" s="71"/>
      <c r="L36" s="76"/>
      <c r="M36" s="76"/>
      <c r="N36" s="77"/>
    </row>
    <row r="37" spans="1:14" s="14" customFormat="1" ht="27" customHeight="1" x14ac:dyDescent="0.4">
      <c r="A37" s="83" t="s">
        <v>61</v>
      </c>
      <c r="B37" s="84">
        <v>1</v>
      </c>
      <c r="C37" s="85" t="s">
        <v>62</v>
      </c>
      <c r="D37" s="86" t="s">
        <v>63</v>
      </c>
      <c r="E37" s="87" t="s">
        <v>64</v>
      </c>
      <c r="F37" s="86" t="s">
        <v>63</v>
      </c>
      <c r="G37" s="88" t="s">
        <v>64</v>
      </c>
      <c r="I37" s="89" t="s">
        <v>65</v>
      </c>
      <c r="J37" s="71"/>
      <c r="K37" s="71"/>
      <c r="L37" s="76"/>
      <c r="M37" s="76"/>
      <c r="N37" s="77"/>
    </row>
    <row r="38" spans="1:14" s="14" customFormat="1" ht="26.25" customHeight="1" x14ac:dyDescent="0.4">
      <c r="A38" s="83" t="s">
        <v>66</v>
      </c>
      <c r="B38" s="84">
        <v>1</v>
      </c>
      <c r="C38" s="90">
        <v>1</v>
      </c>
      <c r="D38" s="91">
        <v>4277210</v>
      </c>
      <c r="E38" s="92">
        <f>IF(ISBLANK(D38),"-",$D$48/$D$45*D38)</f>
        <v>3868817.6127935168</v>
      </c>
      <c r="F38" s="91">
        <v>3823598</v>
      </c>
      <c r="G38" s="93">
        <f>IF(ISBLANK(F38),"-",$D$48/$F$45*F38)</f>
        <v>3924809.012407457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">
      <c r="A39" s="83" t="s">
        <v>67</v>
      </c>
      <c r="B39" s="84">
        <v>1</v>
      </c>
      <c r="C39" s="95">
        <v>2</v>
      </c>
      <c r="D39" s="96">
        <v>4271808</v>
      </c>
      <c r="E39" s="97">
        <f>IF(ISBLANK(D39),"-",$D$48/$D$45*D39)</f>
        <v>3863931.4012807994</v>
      </c>
      <c r="F39" s="96">
        <v>3821973</v>
      </c>
      <c r="G39" s="98">
        <f>IF(ISBLANK(F39),"-",$D$48/$F$45*F39)</f>
        <v>3923140.9984987872</v>
      </c>
      <c r="I39" s="858">
        <f>ABS((F43/D43*D42)-F42)/D42</f>
        <v>1.3728148127567693E-2</v>
      </c>
      <c r="J39" s="71"/>
      <c r="K39" s="71"/>
      <c r="L39" s="76"/>
      <c r="M39" s="76"/>
      <c r="N39" s="77"/>
    </row>
    <row r="40" spans="1:14" ht="26.25" customHeight="1" x14ac:dyDescent="0.4">
      <c r="A40" s="83" t="s">
        <v>68</v>
      </c>
      <c r="B40" s="84">
        <v>1</v>
      </c>
      <c r="C40" s="95">
        <v>3</v>
      </c>
      <c r="D40" s="96">
        <v>4260390</v>
      </c>
      <c r="E40" s="97">
        <f>IF(ISBLANK(D40),"-",$D$48/$D$45*D40)</f>
        <v>3853603.6036036042</v>
      </c>
      <c r="F40" s="96">
        <v>3817848</v>
      </c>
      <c r="G40" s="98">
        <f>IF(ISBLANK(F40),"-",$D$48/$F$45*F40)</f>
        <v>3918906.80934601</v>
      </c>
      <c r="I40" s="858"/>
      <c r="L40" s="76"/>
      <c r="M40" s="76"/>
      <c r="N40" s="99"/>
    </row>
    <row r="41" spans="1:14" ht="27" customHeight="1" x14ac:dyDescent="0.4">
      <c r="A41" s="83" t="s">
        <v>69</v>
      </c>
      <c r="B41" s="84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I41" s="104"/>
      <c r="L41" s="76"/>
      <c r="M41" s="76"/>
      <c r="N41" s="99"/>
    </row>
    <row r="42" spans="1:14" ht="27" customHeight="1" x14ac:dyDescent="0.4">
      <c r="A42" s="83" t="s">
        <v>70</v>
      </c>
      <c r="B42" s="84">
        <v>1</v>
      </c>
      <c r="C42" s="105" t="s">
        <v>71</v>
      </c>
      <c r="D42" s="106">
        <f>AVERAGE(D38:D41)</f>
        <v>4269802.666666667</v>
      </c>
      <c r="E42" s="107">
        <f>AVERAGE(E38:E41)</f>
        <v>3862117.5392259732</v>
      </c>
      <c r="F42" s="106">
        <f>AVERAGE(F38:F41)</f>
        <v>3821139.6666666665</v>
      </c>
      <c r="G42" s="108">
        <f>AVERAGE(G38:G41)</f>
        <v>3922285.6067507514</v>
      </c>
      <c r="H42" s="109"/>
    </row>
    <row r="43" spans="1:14" ht="26.25" customHeight="1" x14ac:dyDescent="0.4">
      <c r="A43" s="83" t="s">
        <v>72</v>
      </c>
      <c r="B43" s="84">
        <v>1</v>
      </c>
      <c r="C43" s="110" t="s">
        <v>73</v>
      </c>
      <c r="D43" s="111">
        <v>17.760000000000002</v>
      </c>
      <c r="E43" s="99"/>
      <c r="F43" s="111">
        <v>15.65</v>
      </c>
      <c r="H43" s="109"/>
    </row>
    <row r="44" spans="1:14" ht="26.25" customHeight="1" x14ac:dyDescent="0.4">
      <c r="A44" s="83" t="s">
        <v>74</v>
      </c>
      <c r="B44" s="84">
        <v>1</v>
      </c>
      <c r="C44" s="112" t="s">
        <v>75</v>
      </c>
      <c r="D44" s="113">
        <f>D43*$B$34</f>
        <v>17.760000000000002</v>
      </c>
      <c r="E44" s="114"/>
      <c r="F44" s="113">
        <f>F43*$B$34</f>
        <v>15.65</v>
      </c>
      <c r="H44" s="109"/>
    </row>
    <row r="45" spans="1:14" ht="19.5" customHeight="1" x14ac:dyDescent="0.3">
      <c r="A45" s="83" t="s">
        <v>76</v>
      </c>
      <c r="B45" s="115">
        <f>(B44/B43)*(B42/B41)*(B40/B39)*(B38/B37)*B36</f>
        <v>100</v>
      </c>
      <c r="C45" s="112" t="s">
        <v>77</v>
      </c>
      <c r="D45" s="116">
        <f>D44*$B$30/100</f>
        <v>17.688959999999998</v>
      </c>
      <c r="E45" s="117"/>
      <c r="F45" s="116">
        <f>F44*$B$30/100</f>
        <v>15.587400000000001</v>
      </c>
      <c r="H45" s="109"/>
    </row>
    <row r="46" spans="1:14" ht="19.5" customHeight="1" x14ac:dyDescent="0.3">
      <c r="A46" s="844" t="s">
        <v>78</v>
      </c>
      <c r="B46" s="845"/>
      <c r="C46" s="112" t="s">
        <v>79</v>
      </c>
      <c r="D46" s="118">
        <f>D45/$B$45</f>
        <v>0.17688959999999998</v>
      </c>
      <c r="E46" s="119"/>
      <c r="F46" s="120">
        <f>F45/$B$45</f>
        <v>0.15587400000000001</v>
      </c>
      <c r="H46" s="109"/>
    </row>
    <row r="47" spans="1:14" ht="27" customHeight="1" x14ac:dyDescent="0.4">
      <c r="A47" s="846"/>
      <c r="B47" s="847"/>
      <c r="C47" s="121" t="s">
        <v>80</v>
      </c>
      <c r="D47" s="122">
        <v>0.16</v>
      </c>
      <c r="E47" s="123"/>
      <c r="F47" s="119"/>
      <c r="H47" s="109"/>
    </row>
    <row r="48" spans="1:14" ht="18.75" x14ac:dyDescent="0.3">
      <c r="C48" s="124" t="s">
        <v>81</v>
      </c>
      <c r="D48" s="116">
        <f>D47*$B$45</f>
        <v>16</v>
      </c>
      <c r="F48" s="125"/>
      <c r="H48" s="109"/>
    </row>
    <row r="49" spans="1:12" ht="19.5" customHeight="1" x14ac:dyDescent="0.3">
      <c r="C49" s="126" t="s">
        <v>82</v>
      </c>
      <c r="D49" s="127">
        <f>D48/B34</f>
        <v>16</v>
      </c>
      <c r="F49" s="125"/>
      <c r="H49" s="109"/>
    </row>
    <row r="50" spans="1:12" ht="18.75" x14ac:dyDescent="0.3">
      <c r="C50" s="81" t="s">
        <v>83</v>
      </c>
      <c r="D50" s="128">
        <f>AVERAGE(E38:E41,G38:G41)</f>
        <v>3892201.5729883625</v>
      </c>
      <c r="F50" s="129"/>
      <c r="H50" s="109"/>
    </row>
    <row r="51" spans="1:12" ht="18.75" x14ac:dyDescent="0.3">
      <c r="C51" s="83" t="s">
        <v>84</v>
      </c>
      <c r="D51" s="130">
        <f>STDEV(E38:E41,G38:G41)/D50</f>
        <v>8.5748578666984387E-3</v>
      </c>
      <c r="F51" s="129"/>
      <c r="H51" s="109"/>
    </row>
    <row r="52" spans="1:12" ht="19.5" customHeight="1" x14ac:dyDescent="0.3">
      <c r="C52" s="131" t="s">
        <v>20</v>
      </c>
      <c r="D52" s="132">
        <f>COUNT(E38:E41,G38:G41)</f>
        <v>6</v>
      </c>
      <c r="F52" s="129"/>
    </row>
    <row r="54" spans="1:12" ht="18.75" x14ac:dyDescent="0.3">
      <c r="A54" s="133" t="s">
        <v>1</v>
      </c>
      <c r="B54" s="134" t="s">
        <v>85</v>
      </c>
    </row>
    <row r="55" spans="1:12" ht="18.75" x14ac:dyDescent="0.3">
      <c r="A55" s="58" t="s">
        <v>86</v>
      </c>
      <c r="B55" s="135" t="str">
        <f>B21</f>
        <v>RIFAMPICIN 150mg</v>
      </c>
    </row>
    <row r="56" spans="1:12" ht="26.25" customHeight="1" x14ac:dyDescent="0.4">
      <c r="A56" s="136" t="s">
        <v>87</v>
      </c>
      <c r="B56" s="137">
        <v>150</v>
      </c>
      <c r="C56" s="58" t="str">
        <f>B20</f>
        <v>RIFAMPICIN</v>
      </c>
      <c r="H56" s="138"/>
    </row>
    <row r="57" spans="1:12" ht="18.75" x14ac:dyDescent="0.3">
      <c r="A57" s="135" t="s">
        <v>88</v>
      </c>
      <c r="B57" s="226">
        <f>'Uniformity (2)'!C46</f>
        <v>1056.2924999999998</v>
      </c>
      <c r="H57" s="138"/>
    </row>
    <row r="58" spans="1:12" ht="19.5" customHeight="1" x14ac:dyDescent="0.3">
      <c r="H58" s="138"/>
    </row>
    <row r="59" spans="1:12" s="14" customFormat="1" ht="27" customHeight="1" x14ac:dyDescent="0.4">
      <c r="A59" s="81" t="s">
        <v>89</v>
      </c>
      <c r="B59" s="82">
        <v>200</v>
      </c>
      <c r="C59" s="58"/>
      <c r="D59" s="139" t="s">
        <v>90</v>
      </c>
      <c r="E59" s="140" t="s">
        <v>62</v>
      </c>
      <c r="F59" s="140" t="s">
        <v>63</v>
      </c>
      <c r="G59" s="140" t="s">
        <v>91</v>
      </c>
      <c r="H59" s="85" t="s">
        <v>92</v>
      </c>
      <c r="L59" s="71"/>
    </row>
    <row r="60" spans="1:12" s="14" customFormat="1" ht="26.25" customHeight="1" x14ac:dyDescent="0.4">
      <c r="A60" s="83" t="s">
        <v>93</v>
      </c>
      <c r="B60" s="84">
        <v>4</v>
      </c>
      <c r="C60" s="861" t="s">
        <v>94</v>
      </c>
      <c r="D60" s="864">
        <v>1063</v>
      </c>
      <c r="E60" s="141">
        <v>1</v>
      </c>
      <c r="F60" s="142">
        <v>3645950</v>
      </c>
      <c r="G60" s="227">
        <f>IF(ISBLANK(F60),"-",(F60/$D$50*$D$47*$B$68)*($B$57/$D$60))</f>
        <v>148.93140924823857</v>
      </c>
      <c r="H60" s="143">
        <f t="shared" ref="H60:H71" si="0">IF(ISBLANK(F60),"-",G60/$B$56)</f>
        <v>0.99287606165492381</v>
      </c>
      <c r="L60" s="71"/>
    </row>
    <row r="61" spans="1:12" s="14" customFormat="1" ht="26.25" customHeight="1" x14ac:dyDescent="0.4">
      <c r="A61" s="83" t="s">
        <v>95</v>
      </c>
      <c r="B61" s="84">
        <v>20</v>
      </c>
      <c r="C61" s="862"/>
      <c r="D61" s="865"/>
      <c r="E61" s="144">
        <v>2</v>
      </c>
      <c r="F61" s="96">
        <v>3545056</v>
      </c>
      <c r="G61" s="228">
        <f>IF(ISBLANK(F61),"-",(F61/$D$50*$D$47*$B$68)*($B$57/$D$60))</f>
        <v>144.81004565172964</v>
      </c>
      <c r="H61" s="145">
        <f t="shared" si="0"/>
        <v>0.96540030434486424</v>
      </c>
      <c r="L61" s="71"/>
    </row>
    <row r="62" spans="1:12" s="14" customFormat="1" ht="26.25" customHeight="1" x14ac:dyDescent="0.4">
      <c r="A62" s="83" t="s">
        <v>96</v>
      </c>
      <c r="B62" s="84">
        <v>1</v>
      </c>
      <c r="C62" s="862"/>
      <c r="D62" s="865"/>
      <c r="E62" s="144">
        <v>3</v>
      </c>
      <c r="F62" s="146"/>
      <c r="G62" s="228" t="str">
        <f>IF(ISBLANK(F62),"-",(F62/$D$50*$D$47*$B$68)*($B$57/$D$60))</f>
        <v>-</v>
      </c>
      <c r="H62" s="145" t="str">
        <f t="shared" si="0"/>
        <v>-</v>
      </c>
      <c r="L62" s="71"/>
    </row>
    <row r="63" spans="1:12" ht="27" customHeight="1" x14ac:dyDescent="0.4">
      <c r="A63" s="83" t="s">
        <v>97</v>
      </c>
      <c r="B63" s="84">
        <v>1</v>
      </c>
      <c r="C63" s="872"/>
      <c r="D63" s="866"/>
      <c r="E63" s="147">
        <v>4</v>
      </c>
      <c r="F63" s="148"/>
      <c r="G63" s="228" t="str">
        <f>IF(ISBLANK(F63),"-",(F63/$D$50*$D$47*$B$68)*($B$57/$D$60))</f>
        <v>-</v>
      </c>
      <c r="H63" s="145" t="str">
        <f t="shared" si="0"/>
        <v>-</v>
      </c>
    </row>
    <row r="64" spans="1:12" ht="26.25" customHeight="1" x14ac:dyDescent="0.4">
      <c r="A64" s="83" t="s">
        <v>98</v>
      </c>
      <c r="B64" s="84">
        <v>1</v>
      </c>
      <c r="C64" s="861" t="s">
        <v>99</v>
      </c>
      <c r="D64" s="864">
        <v>1056.96</v>
      </c>
      <c r="E64" s="141">
        <v>1</v>
      </c>
      <c r="F64" s="142">
        <v>3712204</v>
      </c>
      <c r="G64" s="229">
        <f>IF(ISBLANK(F64),"-",(F64/$D$50*$D$47*$B$68)*($B$57/$D$64))</f>
        <v>152.50431691507683</v>
      </c>
      <c r="H64" s="149">
        <f t="shared" si="0"/>
        <v>1.0166954461005122</v>
      </c>
    </row>
    <row r="65" spans="1:8" ht="26.25" customHeight="1" x14ac:dyDescent="0.4">
      <c r="A65" s="83" t="s">
        <v>100</v>
      </c>
      <c r="B65" s="84">
        <v>1</v>
      </c>
      <c r="C65" s="862"/>
      <c r="D65" s="865"/>
      <c r="E65" s="144">
        <v>2</v>
      </c>
      <c r="F65" s="96">
        <v>3710565</v>
      </c>
      <c r="G65" s="230">
        <f>IF(ISBLANK(F65),"-",(F65/$D$50*$D$47*$B$68)*($B$57/$D$64))</f>
        <v>152.43698371479368</v>
      </c>
      <c r="H65" s="150">
        <f t="shared" si="0"/>
        <v>1.0162465580986246</v>
      </c>
    </row>
    <row r="66" spans="1:8" ht="26.25" customHeight="1" x14ac:dyDescent="0.4">
      <c r="A66" s="83" t="s">
        <v>101</v>
      </c>
      <c r="B66" s="84">
        <v>1</v>
      </c>
      <c r="C66" s="862"/>
      <c r="D66" s="865"/>
      <c r="E66" s="144">
        <v>3</v>
      </c>
      <c r="F66" s="96">
        <v>3664407</v>
      </c>
      <c r="G66" s="230">
        <f>IF(ISBLANK(F66),"-",(F66/$D$50*$D$47*$B$68)*($B$57/$D$64))</f>
        <v>150.54072632695454</v>
      </c>
      <c r="H66" s="150">
        <f t="shared" si="0"/>
        <v>1.003604842179697</v>
      </c>
    </row>
    <row r="67" spans="1:8" ht="27" customHeight="1" x14ac:dyDescent="0.4">
      <c r="A67" s="83" t="s">
        <v>102</v>
      </c>
      <c r="B67" s="84">
        <v>1</v>
      </c>
      <c r="C67" s="872"/>
      <c r="D67" s="866"/>
      <c r="E67" s="147">
        <v>4</v>
      </c>
      <c r="F67" s="148"/>
      <c r="G67" s="231" t="str">
        <f>IF(ISBLANK(F67),"-",(F67/$D$50*$D$47*$B$68)*($B$57/$D$64))</f>
        <v>-</v>
      </c>
      <c r="H67" s="151" t="str">
        <f t="shared" si="0"/>
        <v>-</v>
      </c>
    </row>
    <row r="68" spans="1:8" ht="26.25" customHeight="1" x14ac:dyDescent="0.4">
      <c r="A68" s="83" t="s">
        <v>103</v>
      </c>
      <c r="B68" s="152">
        <f>(B67/B66)*(B65/B64)*(B63/B62)*(B61/B60)*B59</f>
        <v>1000</v>
      </c>
      <c r="C68" s="861" t="s">
        <v>104</v>
      </c>
      <c r="D68" s="864">
        <v>1051.21</v>
      </c>
      <c r="E68" s="141">
        <v>1</v>
      </c>
      <c r="F68" s="142">
        <v>3580890</v>
      </c>
      <c r="G68" s="229">
        <f>IF(ISBLANK(F68),"-",(F68/$D$50*$D$47*$B$68)*($B$57/$D$68))</f>
        <v>147.91436440638472</v>
      </c>
      <c r="H68" s="145">
        <f t="shared" si="0"/>
        <v>0.98609576270923149</v>
      </c>
    </row>
    <row r="69" spans="1:8" ht="27" customHeight="1" x14ac:dyDescent="0.4">
      <c r="A69" s="131" t="s">
        <v>105</v>
      </c>
      <c r="B69" s="153">
        <f>(D47*B68)/B56*B57</f>
        <v>1126.7119999999998</v>
      </c>
      <c r="C69" s="862"/>
      <c r="D69" s="865"/>
      <c r="E69" s="144">
        <v>2</v>
      </c>
      <c r="F69" s="96">
        <v>3608751</v>
      </c>
      <c r="G69" s="230">
        <f>IF(ISBLANK(F69),"-",(F69/$D$50*$D$47*$B$68)*($B$57/$D$68))</f>
        <v>149.06520738305426</v>
      </c>
      <c r="H69" s="145">
        <f t="shared" si="0"/>
        <v>0.99376804922036177</v>
      </c>
    </row>
    <row r="70" spans="1:8" ht="26.25" customHeight="1" x14ac:dyDescent="0.4">
      <c r="A70" s="867" t="s">
        <v>78</v>
      </c>
      <c r="B70" s="868"/>
      <c r="C70" s="862"/>
      <c r="D70" s="865"/>
      <c r="E70" s="144">
        <v>3</v>
      </c>
      <c r="F70" s="96">
        <v>3532037</v>
      </c>
      <c r="G70" s="230">
        <f>IF(ISBLANK(F70),"-",(F70/$D$50*$D$47*$B$68)*($B$57/$D$68))</f>
        <v>145.89641343767437</v>
      </c>
      <c r="H70" s="145">
        <f t="shared" si="0"/>
        <v>0.97264275625116248</v>
      </c>
    </row>
    <row r="71" spans="1:8" ht="27" customHeight="1" x14ac:dyDescent="0.4">
      <c r="A71" s="869"/>
      <c r="B71" s="870"/>
      <c r="C71" s="863"/>
      <c r="D71" s="866"/>
      <c r="E71" s="147">
        <v>4</v>
      </c>
      <c r="F71" s="148"/>
      <c r="G71" s="231" t="str">
        <f>IF(ISBLANK(F71),"-",(F71/$D$50*$D$47*$B$68)*($B$57/$D$68))</f>
        <v>-</v>
      </c>
      <c r="H71" s="154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57" t="s">
        <v>71</v>
      </c>
      <c r="G72" s="236">
        <f>AVERAGE(G60:G71)</f>
        <v>149.01243338548829</v>
      </c>
      <c r="H72" s="158">
        <f>AVERAGE(H60:H71)</f>
        <v>0.99341622256992224</v>
      </c>
    </row>
    <row r="73" spans="1:8" ht="26.25" customHeight="1" x14ac:dyDescent="0.4">
      <c r="C73" s="155"/>
      <c r="D73" s="155"/>
      <c r="E73" s="155"/>
      <c r="F73" s="159" t="s">
        <v>84</v>
      </c>
      <c r="G73" s="232">
        <f>STDEV(G60:G71)/G72</f>
        <v>1.8783738784298735E-2</v>
      </c>
      <c r="H73" s="232">
        <f>STDEV(H60:H71)/H72</f>
        <v>1.8783738784298752E-2</v>
      </c>
    </row>
    <row r="74" spans="1:8" ht="27" customHeight="1" x14ac:dyDescent="0.4">
      <c r="A74" s="155"/>
      <c r="B74" s="155"/>
      <c r="C74" s="156"/>
      <c r="D74" s="156"/>
      <c r="E74" s="160"/>
      <c r="F74" s="161" t="s">
        <v>20</v>
      </c>
      <c r="G74" s="162">
        <f>COUNT(G60:G71)</f>
        <v>8</v>
      </c>
      <c r="H74" s="162">
        <f>COUNT(H60:H71)</f>
        <v>8</v>
      </c>
    </row>
    <row r="76" spans="1:8" ht="26.25" customHeight="1" x14ac:dyDescent="0.4">
      <c r="A76" s="67" t="s">
        <v>106</v>
      </c>
      <c r="B76" s="163" t="s">
        <v>107</v>
      </c>
      <c r="C76" s="848" t="str">
        <f>B20</f>
        <v>RIFAMPICIN</v>
      </c>
      <c r="D76" s="848"/>
      <c r="E76" s="164" t="s">
        <v>108</v>
      </c>
      <c r="F76" s="164"/>
      <c r="G76" s="165">
        <f>H72</f>
        <v>0.99341622256992224</v>
      </c>
      <c r="H76" s="166"/>
    </row>
    <row r="77" spans="1:8" ht="18.75" x14ac:dyDescent="0.3">
      <c r="A77" s="66" t="s">
        <v>109</v>
      </c>
      <c r="B77" s="66" t="s">
        <v>110</v>
      </c>
    </row>
    <row r="78" spans="1:8" ht="18.75" x14ac:dyDescent="0.3">
      <c r="A78" s="66"/>
      <c r="B78" s="66"/>
    </row>
    <row r="79" spans="1:8" ht="26.25" customHeight="1" x14ac:dyDescent="0.4">
      <c r="A79" s="67" t="s">
        <v>4</v>
      </c>
      <c r="B79" s="871" t="str">
        <f>B26</f>
        <v>RIFAMPICIN</v>
      </c>
      <c r="C79" s="871"/>
    </row>
    <row r="80" spans="1:8" ht="26.25" customHeight="1" x14ac:dyDescent="0.4">
      <c r="A80" s="68" t="s">
        <v>48</v>
      </c>
      <c r="B80" s="871" t="str">
        <f>B27</f>
        <v xml:space="preserve">R5 1 </v>
      </c>
      <c r="C80" s="871"/>
    </row>
    <row r="81" spans="1:12" ht="27" customHeight="1" x14ac:dyDescent="0.4">
      <c r="A81" s="68" t="s">
        <v>6</v>
      </c>
      <c r="B81" s="167">
        <f>B28</f>
        <v>99.6</v>
      </c>
    </row>
    <row r="82" spans="1:12" s="14" customFormat="1" ht="27" customHeight="1" x14ac:dyDescent="0.4">
      <c r="A82" s="68" t="s">
        <v>49</v>
      </c>
      <c r="B82" s="70">
        <v>0</v>
      </c>
      <c r="C82" s="850" t="s">
        <v>50</v>
      </c>
      <c r="D82" s="851"/>
      <c r="E82" s="851"/>
      <c r="F82" s="851"/>
      <c r="G82" s="852"/>
      <c r="I82" s="71"/>
      <c r="J82" s="71"/>
      <c r="K82" s="71"/>
      <c r="L82" s="71"/>
    </row>
    <row r="83" spans="1:12" s="14" customFormat="1" ht="19.5" customHeight="1" x14ac:dyDescent="0.3">
      <c r="A83" s="68" t="s">
        <v>51</v>
      </c>
      <c r="B83" s="72">
        <f>B81-B82</f>
        <v>99.6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">
      <c r="A84" s="68" t="s">
        <v>52</v>
      </c>
      <c r="B84" s="75">
        <v>1</v>
      </c>
      <c r="C84" s="853" t="s">
        <v>111</v>
      </c>
      <c r="D84" s="854"/>
      <c r="E84" s="854"/>
      <c r="F84" s="854"/>
      <c r="G84" s="854"/>
      <c r="H84" s="855"/>
      <c r="I84" s="71"/>
      <c r="J84" s="71"/>
      <c r="K84" s="71"/>
      <c r="L84" s="71"/>
    </row>
    <row r="85" spans="1:12" s="14" customFormat="1" ht="27" customHeight="1" x14ac:dyDescent="0.4">
      <c r="A85" s="68" t="s">
        <v>54</v>
      </c>
      <c r="B85" s="75">
        <v>1</v>
      </c>
      <c r="C85" s="853" t="s">
        <v>112</v>
      </c>
      <c r="D85" s="854"/>
      <c r="E85" s="854"/>
      <c r="F85" s="854"/>
      <c r="G85" s="854"/>
      <c r="H85" s="855"/>
      <c r="I85" s="71"/>
      <c r="J85" s="71"/>
      <c r="K85" s="71"/>
      <c r="L85" s="71"/>
    </row>
    <row r="86" spans="1:12" s="14" customFormat="1" ht="18.75" x14ac:dyDescent="0.3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.75" x14ac:dyDescent="0.3">
      <c r="A87" s="68" t="s">
        <v>56</v>
      </c>
      <c r="B87" s="80">
        <f>B84/B85</f>
        <v>1</v>
      </c>
      <c r="C87" s="58" t="s">
        <v>57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">
      <c r="A88" s="66"/>
      <c r="B88" s="66"/>
    </row>
    <row r="89" spans="1:12" ht="27" customHeight="1" x14ac:dyDescent="0.4">
      <c r="A89" s="81" t="s">
        <v>58</v>
      </c>
      <c r="B89" s="82">
        <v>100</v>
      </c>
      <c r="D89" s="168" t="s">
        <v>59</v>
      </c>
      <c r="E89" s="169"/>
      <c r="F89" s="856" t="s">
        <v>60</v>
      </c>
      <c r="G89" s="857"/>
    </row>
    <row r="90" spans="1:12" ht="27" customHeight="1" x14ac:dyDescent="0.4">
      <c r="A90" s="83" t="s">
        <v>61</v>
      </c>
      <c r="B90" s="84">
        <v>1</v>
      </c>
      <c r="C90" s="170" t="s">
        <v>62</v>
      </c>
      <c r="D90" s="86" t="s">
        <v>63</v>
      </c>
      <c r="E90" s="87" t="s">
        <v>64</v>
      </c>
      <c r="F90" s="86" t="s">
        <v>63</v>
      </c>
      <c r="G90" s="171" t="s">
        <v>64</v>
      </c>
      <c r="I90" s="89" t="s">
        <v>65</v>
      </c>
    </row>
    <row r="91" spans="1:12" ht="26.25" customHeight="1" x14ac:dyDescent="0.4">
      <c r="A91" s="83" t="s">
        <v>66</v>
      </c>
      <c r="B91" s="84">
        <v>1</v>
      </c>
      <c r="C91" s="172">
        <v>1</v>
      </c>
      <c r="D91" s="637">
        <v>4277210</v>
      </c>
      <c r="E91" s="92">
        <f>IF(ISBLANK(D91),"-",$D$101/$D$98*D91)</f>
        <v>4030018.3466599127</v>
      </c>
      <c r="F91" s="637">
        <v>3823598</v>
      </c>
      <c r="G91" s="93">
        <f>IF(ISBLANK(F91),"-",$D$101/$F$98*F91)</f>
        <v>4088342.7212577667</v>
      </c>
      <c r="I91" s="94"/>
    </row>
    <row r="92" spans="1:12" ht="26.25" customHeight="1" x14ac:dyDescent="0.4">
      <c r="A92" s="83" t="s">
        <v>67</v>
      </c>
      <c r="B92" s="84">
        <v>1</v>
      </c>
      <c r="C92" s="156">
        <v>2</v>
      </c>
      <c r="D92" s="642">
        <v>4271808</v>
      </c>
      <c r="E92" s="97">
        <f>IF(ISBLANK(D92),"-",$D$101/$D$98*D92)</f>
        <v>4024928.5430008317</v>
      </c>
      <c r="F92" s="642">
        <v>3821973</v>
      </c>
      <c r="G92" s="98">
        <f>IF(ISBLANK(F92),"-",$D$101/$F$98*F92)</f>
        <v>4086605.2067695693</v>
      </c>
      <c r="I92" s="858">
        <f>ABS((F96/D96*D95)-F95)/D95</f>
        <v>1.3728148127567693E-2</v>
      </c>
    </row>
    <row r="93" spans="1:12" ht="26.25" customHeight="1" x14ac:dyDescent="0.4">
      <c r="A93" s="83" t="s">
        <v>68</v>
      </c>
      <c r="B93" s="84">
        <v>1</v>
      </c>
      <c r="C93" s="156">
        <v>3</v>
      </c>
      <c r="D93" s="642">
        <v>4260390</v>
      </c>
      <c r="E93" s="97">
        <f>IF(ISBLANK(D93),"-",$D$101/$D$98*D93)</f>
        <v>4014170.4204204204</v>
      </c>
      <c r="F93" s="642">
        <v>3817848</v>
      </c>
      <c r="G93" s="98">
        <f>IF(ISBLANK(F93),"-",$D$101/$F$98*F93)</f>
        <v>4082194.5930687594</v>
      </c>
      <c r="I93" s="858"/>
    </row>
    <row r="94" spans="1:12" ht="27" customHeight="1" x14ac:dyDescent="0.4">
      <c r="A94" s="83" t="s">
        <v>69</v>
      </c>
      <c r="B94" s="84">
        <v>1</v>
      </c>
      <c r="C94" s="173">
        <v>4</v>
      </c>
      <c r="D94" s="647"/>
      <c r="E94" s="102" t="str">
        <f>IF(ISBLANK(D94),"-",$D$101/$D$98*D94)</f>
        <v>-</v>
      </c>
      <c r="F94" s="647"/>
      <c r="G94" s="103" t="str">
        <f>IF(ISBLANK(F94),"-",$D$101/$F$98*F94)</f>
        <v>-</v>
      </c>
      <c r="I94" s="104"/>
    </row>
    <row r="95" spans="1:12" ht="27" customHeight="1" x14ac:dyDescent="0.4">
      <c r="A95" s="83" t="s">
        <v>70</v>
      </c>
      <c r="B95" s="84">
        <v>1</v>
      </c>
      <c r="C95" s="174" t="s">
        <v>71</v>
      </c>
      <c r="D95" s="175">
        <f>AVERAGE(D91:D94)</f>
        <v>4269802.666666667</v>
      </c>
      <c r="E95" s="107">
        <f>AVERAGE(E91:E94)</f>
        <v>4023039.1033603884</v>
      </c>
      <c r="F95" s="176">
        <f>AVERAGE(F91:F94)</f>
        <v>3821139.6666666665</v>
      </c>
      <c r="G95" s="177">
        <f>AVERAGE(G91:G94)</f>
        <v>4085714.1736986986</v>
      </c>
    </row>
    <row r="96" spans="1:12" ht="26.25" customHeight="1" x14ac:dyDescent="0.4">
      <c r="A96" s="83" t="s">
        <v>72</v>
      </c>
      <c r="B96" s="69">
        <v>1</v>
      </c>
      <c r="C96" s="178" t="s">
        <v>113</v>
      </c>
      <c r="D96" s="179">
        <v>17.760000000000002</v>
      </c>
      <c r="E96" s="99"/>
      <c r="F96" s="111">
        <v>15.65</v>
      </c>
    </row>
    <row r="97" spans="1:10" ht="26.25" customHeight="1" x14ac:dyDescent="0.4">
      <c r="A97" s="83" t="s">
        <v>74</v>
      </c>
      <c r="B97" s="69">
        <v>1</v>
      </c>
      <c r="C97" s="180" t="s">
        <v>114</v>
      </c>
      <c r="D97" s="181">
        <f>D96*$B$87</f>
        <v>17.760000000000002</v>
      </c>
      <c r="E97" s="114"/>
      <c r="F97" s="113">
        <f>F96*$B$87</f>
        <v>15.65</v>
      </c>
    </row>
    <row r="98" spans="1:10" ht="19.5" customHeight="1" x14ac:dyDescent="0.3">
      <c r="A98" s="83" t="s">
        <v>76</v>
      </c>
      <c r="B98" s="182">
        <f>(B97/B96)*(B95/B94)*(B93/B92)*(B91/B90)*B89</f>
        <v>100</v>
      </c>
      <c r="C98" s="180" t="s">
        <v>115</v>
      </c>
      <c r="D98" s="183">
        <f>D97*$B$83/100</f>
        <v>17.688959999999998</v>
      </c>
      <c r="E98" s="117"/>
      <c r="F98" s="116">
        <f>F97*$B$83/100</f>
        <v>15.587400000000001</v>
      </c>
    </row>
    <row r="99" spans="1:10" ht="19.5" customHeight="1" x14ac:dyDescent="0.3">
      <c r="A99" s="844" t="s">
        <v>78</v>
      </c>
      <c r="B99" s="859"/>
      <c r="C99" s="180" t="s">
        <v>116</v>
      </c>
      <c r="D99" s="184">
        <f>D98/$B$98</f>
        <v>0.17688959999999998</v>
      </c>
      <c r="E99" s="117"/>
      <c r="F99" s="120">
        <f>F98/$B$98</f>
        <v>0.15587400000000001</v>
      </c>
      <c r="G99" s="185"/>
      <c r="H99" s="109"/>
    </row>
    <row r="100" spans="1:10" ht="19.5" customHeight="1" x14ac:dyDescent="0.3">
      <c r="A100" s="846"/>
      <c r="B100" s="860"/>
      <c r="C100" s="180" t="s">
        <v>80</v>
      </c>
      <c r="D100" s="186">
        <f>$B$56/$B$116</f>
        <v>0.16666666666666666</v>
      </c>
      <c r="F100" s="125"/>
      <c r="G100" s="187"/>
      <c r="H100" s="109"/>
    </row>
    <row r="101" spans="1:10" ht="18.75" x14ac:dyDescent="0.3">
      <c r="C101" s="180" t="s">
        <v>81</v>
      </c>
      <c r="D101" s="181">
        <f>D100*$B$98</f>
        <v>16.666666666666664</v>
      </c>
      <c r="F101" s="125"/>
      <c r="G101" s="185"/>
      <c r="H101" s="109"/>
    </row>
    <row r="102" spans="1:10" ht="19.5" customHeight="1" x14ac:dyDescent="0.3">
      <c r="C102" s="188" t="s">
        <v>82</v>
      </c>
      <c r="D102" s="189">
        <f>D101/B34</f>
        <v>16.666666666666664</v>
      </c>
      <c r="F102" s="129"/>
      <c r="G102" s="185"/>
      <c r="H102" s="109"/>
      <c r="J102" s="190"/>
    </row>
    <row r="103" spans="1:10" ht="18.75" x14ac:dyDescent="0.3">
      <c r="C103" s="191" t="s">
        <v>117</v>
      </c>
      <c r="D103" s="192">
        <f>AVERAGE(E91:E94,G91:G94)</f>
        <v>4054376.6385295433</v>
      </c>
      <c r="F103" s="129"/>
      <c r="G103" s="193"/>
      <c r="H103" s="109"/>
      <c r="J103" s="194"/>
    </row>
    <row r="104" spans="1:10" ht="18.75" x14ac:dyDescent="0.3">
      <c r="C104" s="159" t="s">
        <v>84</v>
      </c>
      <c r="D104" s="195">
        <f>STDEV(E91:E94,G91:G94)/D103</f>
        <v>8.57485786669843E-3</v>
      </c>
      <c r="F104" s="129"/>
      <c r="G104" s="185"/>
      <c r="H104" s="109"/>
      <c r="J104" s="194"/>
    </row>
    <row r="105" spans="1:10" ht="19.5" customHeight="1" x14ac:dyDescent="0.3">
      <c r="C105" s="161" t="s">
        <v>20</v>
      </c>
      <c r="D105" s="196">
        <f>COUNT(E91:E94,G91:G94)</f>
        <v>6</v>
      </c>
      <c r="F105" s="129"/>
      <c r="G105" s="185"/>
      <c r="H105" s="109"/>
      <c r="J105" s="194"/>
    </row>
    <row r="106" spans="1:10" ht="19.5" customHeight="1" x14ac:dyDescent="0.3">
      <c r="A106" s="133"/>
      <c r="B106" s="133"/>
      <c r="C106" s="133"/>
      <c r="D106" s="133"/>
      <c r="E106" s="133"/>
    </row>
    <row r="107" spans="1:10" ht="26.25" customHeight="1" x14ac:dyDescent="0.4">
      <c r="A107" s="81" t="s">
        <v>118</v>
      </c>
      <c r="B107" s="82">
        <v>900</v>
      </c>
      <c r="C107" s="197" t="s">
        <v>119</v>
      </c>
      <c r="D107" s="198" t="s">
        <v>63</v>
      </c>
      <c r="E107" s="199" t="s">
        <v>120</v>
      </c>
      <c r="F107" s="200" t="s">
        <v>121</v>
      </c>
    </row>
    <row r="108" spans="1:10" ht="26.25" customHeight="1" x14ac:dyDescent="0.4">
      <c r="A108" s="83" t="s">
        <v>122</v>
      </c>
      <c r="B108" s="84">
        <v>1</v>
      </c>
      <c r="C108" s="201">
        <v>1</v>
      </c>
      <c r="D108" s="202">
        <v>3521796</v>
      </c>
      <c r="E108" s="233">
        <f t="shared" ref="E108:E113" si="1">IF(ISBLANK(D108),"-",D108/$D$103*$D$100*$B$116)</f>
        <v>130.29608423148241</v>
      </c>
      <c r="F108" s="203">
        <f t="shared" ref="F108:F113" si="2">IF(ISBLANK(D108), "-", E108/$B$56)</f>
        <v>0.86864056154321612</v>
      </c>
    </row>
    <row r="109" spans="1:10" ht="26.25" customHeight="1" x14ac:dyDescent="0.4">
      <c r="A109" s="83" t="s">
        <v>95</v>
      </c>
      <c r="B109" s="84">
        <v>1</v>
      </c>
      <c r="C109" s="201">
        <v>2</v>
      </c>
      <c r="D109" s="202">
        <v>3548687</v>
      </c>
      <c r="E109" s="234">
        <f t="shared" si="1"/>
        <v>131.29097206742432</v>
      </c>
      <c r="F109" s="204">
        <f t="shared" si="2"/>
        <v>0.87527314711616211</v>
      </c>
    </row>
    <row r="110" spans="1:10" ht="26.25" customHeight="1" x14ac:dyDescent="0.4">
      <c r="A110" s="83" t="s">
        <v>96</v>
      </c>
      <c r="B110" s="84">
        <v>1</v>
      </c>
      <c r="C110" s="201">
        <v>3</v>
      </c>
      <c r="D110" s="202">
        <v>3581352</v>
      </c>
      <c r="E110" s="234">
        <f t="shared" si="1"/>
        <v>132.49948090536421</v>
      </c>
      <c r="F110" s="204">
        <f t="shared" si="2"/>
        <v>0.88332987270242802</v>
      </c>
    </row>
    <row r="111" spans="1:10" ht="26.25" customHeight="1" x14ac:dyDescent="0.4">
      <c r="A111" s="83" t="s">
        <v>97</v>
      </c>
      <c r="B111" s="84">
        <v>1</v>
      </c>
      <c r="C111" s="201">
        <v>4</v>
      </c>
      <c r="D111" s="202">
        <v>3542353</v>
      </c>
      <c r="E111" s="234">
        <f t="shared" si="1"/>
        <v>131.05663271400289</v>
      </c>
      <c r="F111" s="204">
        <f t="shared" si="2"/>
        <v>0.87371088476001924</v>
      </c>
    </row>
    <row r="112" spans="1:10" ht="26.25" customHeight="1" x14ac:dyDescent="0.4">
      <c r="A112" s="83" t="s">
        <v>98</v>
      </c>
      <c r="B112" s="84">
        <v>1</v>
      </c>
      <c r="C112" s="201">
        <v>5</v>
      </c>
      <c r="D112" s="202">
        <v>3552610</v>
      </c>
      <c r="E112" s="234">
        <f t="shared" si="1"/>
        <v>131.43611151855666</v>
      </c>
      <c r="F112" s="204">
        <f t="shared" si="2"/>
        <v>0.87624074345704439</v>
      </c>
    </row>
    <row r="113" spans="1:10" ht="26.25" customHeight="1" x14ac:dyDescent="0.4">
      <c r="A113" s="83" t="s">
        <v>100</v>
      </c>
      <c r="B113" s="84">
        <v>1</v>
      </c>
      <c r="C113" s="205">
        <v>6</v>
      </c>
      <c r="D113" s="206">
        <v>3605810</v>
      </c>
      <c r="E113" s="235">
        <f t="shared" si="1"/>
        <v>133.40435490378252</v>
      </c>
      <c r="F113" s="207">
        <f t="shared" si="2"/>
        <v>0.88936236602521679</v>
      </c>
    </row>
    <row r="114" spans="1:10" ht="26.25" customHeight="1" x14ac:dyDescent="0.4">
      <c r="A114" s="83" t="s">
        <v>101</v>
      </c>
      <c r="B114" s="84">
        <v>1</v>
      </c>
      <c r="C114" s="201"/>
      <c r="D114" s="156"/>
      <c r="E114" s="57"/>
      <c r="F114" s="208"/>
    </row>
    <row r="115" spans="1:10" ht="26.25" customHeight="1" x14ac:dyDescent="0.4">
      <c r="A115" s="83" t="s">
        <v>102</v>
      </c>
      <c r="B115" s="84">
        <v>1</v>
      </c>
      <c r="C115" s="201"/>
      <c r="D115" s="209" t="s">
        <v>71</v>
      </c>
      <c r="E115" s="237">
        <f>AVERAGE(E108:E113)</f>
        <v>131.66393939010217</v>
      </c>
      <c r="F115" s="210">
        <f>AVERAGE(F108:F113)</f>
        <v>0.87775959593401442</v>
      </c>
    </row>
    <row r="116" spans="1:10" ht="27" customHeight="1" x14ac:dyDescent="0.4">
      <c r="A116" s="83" t="s">
        <v>103</v>
      </c>
      <c r="B116" s="115">
        <f>(B115/B114)*(B113/B112)*(B111/B110)*(B109/B108)*B107</f>
        <v>900</v>
      </c>
      <c r="C116" s="211"/>
      <c r="D116" s="174" t="s">
        <v>84</v>
      </c>
      <c r="E116" s="212">
        <f>STDEV(E108:E113)/E115</f>
        <v>8.4288676012161407E-3</v>
      </c>
      <c r="F116" s="212">
        <f>STDEV(F108:F113)/F115</f>
        <v>8.4288676012161251E-3</v>
      </c>
      <c r="I116" s="57"/>
    </row>
    <row r="117" spans="1:10" ht="27" customHeight="1" x14ac:dyDescent="0.4">
      <c r="A117" s="844" t="s">
        <v>78</v>
      </c>
      <c r="B117" s="845"/>
      <c r="C117" s="213"/>
      <c r="D117" s="214" t="s">
        <v>20</v>
      </c>
      <c r="E117" s="215">
        <f>COUNT(E108:E113)</f>
        <v>6</v>
      </c>
      <c r="F117" s="215">
        <f>COUNT(F108:F113)</f>
        <v>6</v>
      </c>
      <c r="I117" s="57"/>
      <c r="J117" s="194"/>
    </row>
    <row r="118" spans="1:10" ht="19.5" customHeight="1" x14ac:dyDescent="0.3">
      <c r="A118" s="846"/>
      <c r="B118" s="847"/>
      <c r="C118" s="57"/>
      <c r="D118" s="57"/>
      <c r="E118" s="57"/>
      <c r="F118" s="156"/>
      <c r="G118" s="57"/>
      <c r="H118" s="57"/>
      <c r="I118" s="57"/>
    </row>
    <row r="119" spans="1:10" ht="18.75" x14ac:dyDescent="0.3">
      <c r="A119" s="224"/>
      <c r="B119" s="79"/>
      <c r="C119" s="57"/>
      <c r="D119" s="57"/>
      <c r="E119" s="57"/>
      <c r="F119" s="156"/>
      <c r="G119" s="57"/>
      <c r="H119" s="57"/>
      <c r="I119" s="57"/>
    </row>
    <row r="120" spans="1:10" ht="26.25" customHeight="1" x14ac:dyDescent="0.4">
      <c r="A120" s="67" t="s">
        <v>106</v>
      </c>
      <c r="B120" s="163" t="s">
        <v>123</v>
      </c>
      <c r="C120" s="848" t="str">
        <f>B20</f>
        <v>RIFAMPICIN</v>
      </c>
      <c r="D120" s="848"/>
      <c r="E120" s="164" t="s">
        <v>124</v>
      </c>
      <c r="F120" s="164"/>
      <c r="G120" s="165">
        <f>F115</f>
        <v>0.87775959593401442</v>
      </c>
      <c r="H120" s="57"/>
      <c r="I120" s="57"/>
    </row>
    <row r="121" spans="1:10" ht="19.5" customHeight="1" x14ac:dyDescent="0.3">
      <c r="A121" s="216"/>
      <c r="B121" s="216"/>
      <c r="C121" s="217"/>
      <c r="D121" s="217"/>
      <c r="E121" s="217"/>
      <c r="F121" s="217"/>
      <c r="G121" s="217"/>
      <c r="H121" s="217"/>
    </row>
    <row r="122" spans="1:10" ht="18.75" x14ac:dyDescent="0.3">
      <c r="B122" s="849" t="s">
        <v>26</v>
      </c>
      <c r="C122" s="849"/>
      <c r="E122" s="170" t="s">
        <v>27</v>
      </c>
      <c r="F122" s="218"/>
      <c r="G122" s="849" t="s">
        <v>28</v>
      </c>
      <c r="H122" s="849"/>
    </row>
    <row r="123" spans="1:10" ht="69.95" customHeight="1" x14ac:dyDescent="0.3">
      <c r="A123" s="219" t="s">
        <v>29</v>
      </c>
      <c r="B123" s="220"/>
      <c r="C123" s="220"/>
      <c r="E123" s="220"/>
      <c r="F123" s="57"/>
      <c r="G123" s="221"/>
      <c r="H123" s="221"/>
    </row>
    <row r="124" spans="1:10" ht="69.95" customHeight="1" x14ac:dyDescent="0.3">
      <c r="A124" s="219" t="s">
        <v>30</v>
      </c>
      <c r="B124" s="222"/>
      <c r="C124" s="222"/>
      <c r="E124" s="222"/>
      <c r="F124" s="57"/>
      <c r="G124" s="223"/>
      <c r="H124" s="223"/>
    </row>
    <row r="125" spans="1:10" ht="18.75" x14ac:dyDescent="0.3">
      <c r="A125" s="155"/>
      <c r="B125" s="155"/>
      <c r="C125" s="156"/>
      <c r="D125" s="156"/>
      <c r="E125" s="156"/>
      <c r="F125" s="160"/>
      <c r="G125" s="156"/>
      <c r="H125" s="156"/>
      <c r="I125" s="57"/>
    </row>
    <row r="126" spans="1:10" ht="18.75" x14ac:dyDescent="0.3">
      <c r="A126" s="155"/>
      <c r="B126" s="155"/>
      <c r="C126" s="156"/>
      <c r="D126" s="156"/>
      <c r="E126" s="156"/>
      <c r="F126" s="160"/>
      <c r="G126" s="156"/>
      <c r="H126" s="156"/>
      <c r="I126" s="57"/>
    </row>
    <row r="127" spans="1:10" ht="18.75" x14ac:dyDescent="0.3">
      <c r="A127" s="155"/>
      <c r="B127" s="155"/>
      <c r="C127" s="156"/>
      <c r="D127" s="156"/>
      <c r="E127" s="156"/>
      <c r="F127" s="160"/>
      <c r="G127" s="156"/>
      <c r="H127" s="156"/>
      <c r="I127" s="57"/>
    </row>
    <row r="128" spans="1:10" ht="18.75" x14ac:dyDescent="0.3">
      <c r="A128" s="155"/>
      <c r="B128" s="155"/>
      <c r="C128" s="156"/>
      <c r="D128" s="156"/>
      <c r="E128" s="156"/>
      <c r="F128" s="160"/>
      <c r="G128" s="156"/>
      <c r="H128" s="156"/>
      <c r="I128" s="57"/>
    </row>
    <row r="129" spans="1:9" ht="18.75" x14ac:dyDescent="0.3">
      <c r="A129" s="155"/>
      <c r="B129" s="155"/>
      <c r="C129" s="156"/>
      <c r="D129" s="156"/>
      <c r="E129" s="156"/>
      <c r="F129" s="160"/>
      <c r="G129" s="156"/>
      <c r="H129" s="156"/>
      <c r="I129" s="57"/>
    </row>
    <row r="130" spans="1:9" ht="18.75" x14ac:dyDescent="0.3">
      <c r="A130" s="155"/>
      <c r="B130" s="155"/>
      <c r="C130" s="156"/>
      <c r="D130" s="156"/>
      <c r="E130" s="156"/>
      <c r="F130" s="160"/>
      <c r="G130" s="156"/>
      <c r="H130" s="156"/>
      <c r="I130" s="57"/>
    </row>
    <row r="131" spans="1:9" ht="18.75" x14ac:dyDescent="0.3">
      <c r="A131" s="155"/>
      <c r="B131" s="155"/>
      <c r="C131" s="156"/>
      <c r="D131" s="156"/>
      <c r="E131" s="156"/>
      <c r="F131" s="160"/>
      <c r="G131" s="156"/>
      <c r="H131" s="156"/>
      <c r="I131" s="57"/>
    </row>
    <row r="132" spans="1:9" ht="18.75" x14ac:dyDescent="0.3">
      <c r="A132" s="155"/>
      <c r="B132" s="155"/>
      <c r="C132" s="156"/>
      <c r="D132" s="156"/>
      <c r="E132" s="156"/>
      <c r="F132" s="160"/>
      <c r="G132" s="156"/>
      <c r="H132" s="156"/>
      <c r="I132" s="57"/>
    </row>
    <row r="133" spans="1:9" ht="18.75" x14ac:dyDescent="0.3">
      <c r="A133" s="155"/>
      <c r="B133" s="155"/>
      <c r="C133" s="156"/>
      <c r="D133" s="156"/>
      <c r="E133" s="156"/>
      <c r="F133" s="160"/>
      <c r="G133" s="156"/>
      <c r="H133" s="156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5" zoomScale="60" zoomScaleNormal="100" workbookViewId="0">
      <selection activeCell="C19" sqref="C19"/>
    </sheetView>
  </sheetViews>
  <sheetFormatPr defaultRowHeight="13.5" x14ac:dyDescent="0.25"/>
  <cols>
    <col min="1" max="1" width="27.5703125" style="4" customWidth="1"/>
    <col min="2" max="2" width="33.710937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832" t="s">
        <v>0</v>
      </c>
      <c r="B15" s="832"/>
      <c r="C15" s="832"/>
      <c r="D15" s="832"/>
      <c r="E15" s="83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55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9.86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9.8599999999999993E-2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4035731</v>
      </c>
      <c r="C24" s="18">
        <v>8316</v>
      </c>
      <c r="D24" s="19">
        <v>1.1000000000000001</v>
      </c>
      <c r="E24" s="20">
        <v>2.68</v>
      </c>
    </row>
    <row r="25" spans="1:6" ht="16.5" customHeight="1" x14ac:dyDescent="0.3">
      <c r="A25" s="17">
        <v>2</v>
      </c>
      <c r="B25" s="18">
        <v>4037643</v>
      </c>
      <c r="C25" s="18">
        <v>8309.5</v>
      </c>
      <c r="D25" s="19">
        <v>1.1000000000000001</v>
      </c>
      <c r="E25" s="19">
        <v>2.68</v>
      </c>
    </row>
    <row r="26" spans="1:6" ht="16.5" customHeight="1" x14ac:dyDescent="0.3">
      <c r="A26" s="17">
        <v>3</v>
      </c>
      <c r="B26" s="18">
        <v>4035748</v>
      </c>
      <c r="C26" s="18">
        <v>8321</v>
      </c>
      <c r="D26" s="19">
        <v>1.1000000000000001</v>
      </c>
      <c r="E26" s="19">
        <v>2.68</v>
      </c>
    </row>
    <row r="27" spans="1:6" ht="16.5" customHeight="1" x14ac:dyDescent="0.3">
      <c r="A27" s="17">
        <v>4</v>
      </c>
      <c r="B27" s="18">
        <v>4035223</v>
      </c>
      <c r="C27" s="18">
        <v>8398.1</v>
      </c>
      <c r="D27" s="19">
        <v>1</v>
      </c>
      <c r="E27" s="19">
        <v>2.6869999999999998</v>
      </c>
    </row>
    <row r="28" spans="1:6" ht="16.5" customHeight="1" x14ac:dyDescent="0.3">
      <c r="A28" s="17">
        <v>5</v>
      </c>
      <c r="B28" s="18">
        <v>4034715</v>
      </c>
      <c r="C28" s="18">
        <v>8367.7000000000007</v>
      </c>
      <c r="D28" s="19">
        <v>1.1000000000000001</v>
      </c>
      <c r="E28" s="19">
        <v>2.68</v>
      </c>
    </row>
    <row r="29" spans="1:6" ht="16.5" customHeight="1" x14ac:dyDescent="0.3">
      <c r="A29" s="17">
        <v>6</v>
      </c>
      <c r="B29" s="21">
        <v>4036553</v>
      </c>
      <c r="C29" s="21">
        <v>8363.2000000000007</v>
      </c>
      <c r="D29" s="22">
        <v>1.1000000000000001</v>
      </c>
      <c r="E29" s="22">
        <v>2.68</v>
      </c>
    </row>
    <row r="30" spans="1:6" ht="16.5" customHeight="1" x14ac:dyDescent="0.3">
      <c r="A30" s="23" t="s">
        <v>18</v>
      </c>
      <c r="B30" s="24">
        <f>AVERAGE(B24:B29)</f>
        <v>4035935.5</v>
      </c>
      <c r="C30" s="25">
        <f>AVERAGE(C24:C29)</f>
        <v>8345.9166666666661</v>
      </c>
      <c r="D30" s="26">
        <f>AVERAGE(D24:D29)</f>
        <v>1.0833333333333333</v>
      </c>
      <c r="E30" s="26">
        <f>AVERAGE(E24:E29)</f>
        <v>2.6811666666666665</v>
      </c>
    </row>
    <row r="31" spans="1:6" ht="16.5" customHeight="1" x14ac:dyDescent="0.3">
      <c r="A31" s="27" t="s">
        <v>19</v>
      </c>
      <c r="B31" s="28">
        <f>(STDEV(B24:B29)/B30)</f>
        <v>2.56804734739417E-4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4035731</v>
      </c>
      <c r="C45" s="18">
        <v>8316</v>
      </c>
      <c r="D45" s="19">
        <v>1.1000000000000001</v>
      </c>
      <c r="E45" s="20">
        <v>2.68</v>
      </c>
    </row>
    <row r="46" spans="1:6" ht="16.5" customHeight="1" x14ac:dyDescent="0.3">
      <c r="A46" s="17">
        <v>2</v>
      </c>
      <c r="B46" s="18">
        <v>4037643</v>
      </c>
      <c r="C46" s="18">
        <v>8309.5</v>
      </c>
      <c r="D46" s="19">
        <v>1.1000000000000001</v>
      </c>
      <c r="E46" s="19">
        <v>2.68</v>
      </c>
    </row>
    <row r="47" spans="1:6" ht="16.5" customHeight="1" x14ac:dyDescent="0.3">
      <c r="A47" s="17">
        <v>3</v>
      </c>
      <c r="B47" s="18">
        <v>4035748</v>
      </c>
      <c r="C47" s="18">
        <v>8321</v>
      </c>
      <c r="D47" s="19">
        <v>1.1000000000000001</v>
      </c>
      <c r="E47" s="19">
        <v>2.68</v>
      </c>
    </row>
    <row r="48" spans="1:6" ht="16.5" customHeight="1" x14ac:dyDescent="0.3">
      <c r="A48" s="17">
        <v>4</v>
      </c>
      <c r="B48" s="18">
        <v>4035223</v>
      </c>
      <c r="C48" s="18">
        <v>8398.1</v>
      </c>
      <c r="D48" s="19">
        <v>1</v>
      </c>
      <c r="E48" s="19">
        <v>2.6869999999999998</v>
      </c>
    </row>
    <row r="49" spans="1:7" ht="16.5" customHeight="1" x14ac:dyDescent="0.3">
      <c r="A49" s="17">
        <v>5</v>
      </c>
      <c r="B49" s="18">
        <v>4034715</v>
      </c>
      <c r="C49" s="18">
        <v>8367.7000000000007</v>
      </c>
      <c r="D49" s="19">
        <v>1.1000000000000001</v>
      </c>
      <c r="E49" s="19">
        <v>2.68</v>
      </c>
    </row>
    <row r="50" spans="1:7" ht="16.5" customHeight="1" x14ac:dyDescent="0.3">
      <c r="A50" s="17">
        <v>6</v>
      </c>
      <c r="B50" s="21">
        <v>4036553</v>
      </c>
      <c r="C50" s="21">
        <v>8363.2000000000007</v>
      </c>
      <c r="D50" s="22">
        <v>1.1000000000000001</v>
      </c>
      <c r="E50" s="22">
        <v>2.68</v>
      </c>
    </row>
    <row r="51" spans="1:7" ht="16.5" customHeight="1" x14ac:dyDescent="0.3">
      <c r="A51" s="23" t="s">
        <v>18</v>
      </c>
      <c r="B51" s="24">
        <f>AVERAGE(B45:B50)</f>
        <v>4035935.5</v>
      </c>
      <c r="C51" s="25">
        <f>AVERAGE(C45:C50)</f>
        <v>8345.9166666666661</v>
      </c>
      <c r="D51" s="26">
        <f>AVERAGE(D45:D50)</f>
        <v>1.0833333333333333</v>
      </c>
      <c r="E51" s="26">
        <f>AVERAGE(E45:E50)</f>
        <v>2.6811666666666665</v>
      </c>
    </row>
    <row r="52" spans="1:7" ht="16.5" customHeight="1" x14ac:dyDescent="0.3">
      <c r="A52" s="27" t="s">
        <v>19</v>
      </c>
      <c r="B52" s="28">
        <f>(STDEV(B45:B50)/B51)</f>
        <v>2.56804734739417E-4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833" t="s">
        <v>26</v>
      </c>
      <c r="C59" s="83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4" zoomScale="50" zoomScaleNormal="40" zoomScalePageLayoutView="50" workbookViewId="0">
      <selection activeCell="D38" sqref="D3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42" t="s">
        <v>45</v>
      </c>
      <c r="B1" s="842"/>
      <c r="C1" s="842"/>
      <c r="D1" s="842"/>
      <c r="E1" s="842"/>
      <c r="F1" s="842"/>
      <c r="G1" s="842"/>
      <c r="H1" s="842"/>
      <c r="I1" s="842"/>
    </row>
    <row r="2" spans="1:9" ht="18.75" customHeight="1" x14ac:dyDescent="0.25">
      <c r="A2" s="842"/>
      <c r="B2" s="842"/>
      <c r="C2" s="842"/>
      <c r="D2" s="842"/>
      <c r="E2" s="842"/>
      <c r="F2" s="842"/>
      <c r="G2" s="842"/>
      <c r="H2" s="842"/>
      <c r="I2" s="842"/>
    </row>
    <row r="3" spans="1:9" ht="18.75" customHeight="1" x14ac:dyDescent="0.25">
      <c r="A3" s="842"/>
      <c r="B3" s="842"/>
      <c r="C3" s="842"/>
      <c r="D3" s="842"/>
      <c r="E3" s="842"/>
      <c r="F3" s="842"/>
      <c r="G3" s="842"/>
      <c r="H3" s="842"/>
      <c r="I3" s="842"/>
    </row>
    <row r="4" spans="1:9" ht="18.75" customHeight="1" x14ac:dyDescent="0.25">
      <c r="A4" s="842"/>
      <c r="B4" s="842"/>
      <c r="C4" s="842"/>
      <c r="D4" s="842"/>
      <c r="E4" s="842"/>
      <c r="F4" s="842"/>
      <c r="G4" s="842"/>
      <c r="H4" s="842"/>
      <c r="I4" s="842"/>
    </row>
    <row r="5" spans="1:9" ht="18.75" customHeight="1" x14ac:dyDescent="0.25">
      <c r="A5" s="842"/>
      <c r="B5" s="842"/>
      <c r="C5" s="842"/>
      <c r="D5" s="842"/>
      <c r="E5" s="842"/>
      <c r="F5" s="842"/>
      <c r="G5" s="842"/>
      <c r="H5" s="842"/>
      <c r="I5" s="842"/>
    </row>
    <row r="6" spans="1:9" ht="18.75" customHeight="1" x14ac:dyDescent="0.25">
      <c r="A6" s="842"/>
      <c r="B6" s="842"/>
      <c r="C6" s="842"/>
      <c r="D6" s="842"/>
      <c r="E6" s="842"/>
      <c r="F6" s="842"/>
      <c r="G6" s="842"/>
      <c r="H6" s="842"/>
      <c r="I6" s="842"/>
    </row>
    <row r="7" spans="1:9" ht="18.75" customHeight="1" x14ac:dyDescent="0.25">
      <c r="A7" s="842"/>
      <c r="B7" s="842"/>
      <c r="C7" s="842"/>
      <c r="D7" s="842"/>
      <c r="E7" s="842"/>
      <c r="F7" s="842"/>
      <c r="G7" s="842"/>
      <c r="H7" s="842"/>
      <c r="I7" s="842"/>
    </row>
    <row r="8" spans="1:9" x14ac:dyDescent="0.25">
      <c r="A8" s="843" t="s">
        <v>46</v>
      </c>
      <c r="B8" s="843"/>
      <c r="C8" s="843"/>
      <c r="D8" s="843"/>
      <c r="E8" s="843"/>
      <c r="F8" s="843"/>
      <c r="G8" s="843"/>
      <c r="H8" s="843"/>
      <c r="I8" s="843"/>
    </row>
    <row r="9" spans="1:9" x14ac:dyDescent="0.25">
      <c r="A9" s="843"/>
      <c r="B9" s="843"/>
      <c r="C9" s="843"/>
      <c r="D9" s="843"/>
      <c r="E9" s="843"/>
      <c r="F9" s="843"/>
      <c r="G9" s="843"/>
      <c r="H9" s="843"/>
      <c r="I9" s="843"/>
    </row>
    <row r="10" spans="1:9" x14ac:dyDescent="0.25">
      <c r="A10" s="843"/>
      <c r="B10" s="843"/>
      <c r="C10" s="843"/>
      <c r="D10" s="843"/>
      <c r="E10" s="843"/>
      <c r="F10" s="843"/>
      <c r="G10" s="843"/>
      <c r="H10" s="843"/>
      <c r="I10" s="843"/>
    </row>
    <row r="11" spans="1:9" x14ac:dyDescent="0.25">
      <c r="A11" s="843"/>
      <c r="B11" s="843"/>
      <c r="C11" s="843"/>
      <c r="D11" s="843"/>
      <c r="E11" s="843"/>
      <c r="F11" s="843"/>
      <c r="G11" s="843"/>
      <c r="H11" s="843"/>
      <c r="I11" s="843"/>
    </row>
    <row r="12" spans="1:9" x14ac:dyDescent="0.25">
      <c r="A12" s="843"/>
      <c r="B12" s="843"/>
      <c r="C12" s="843"/>
      <c r="D12" s="843"/>
      <c r="E12" s="843"/>
      <c r="F12" s="843"/>
      <c r="G12" s="843"/>
      <c r="H12" s="843"/>
      <c r="I12" s="843"/>
    </row>
    <row r="13" spans="1:9" x14ac:dyDescent="0.25">
      <c r="A13" s="843"/>
      <c r="B13" s="843"/>
      <c r="C13" s="843"/>
      <c r="D13" s="843"/>
      <c r="E13" s="843"/>
      <c r="F13" s="843"/>
      <c r="G13" s="843"/>
      <c r="H13" s="843"/>
      <c r="I13" s="843"/>
    </row>
    <row r="14" spans="1:9" x14ac:dyDescent="0.25">
      <c r="A14" s="843"/>
      <c r="B14" s="843"/>
      <c r="C14" s="843"/>
      <c r="D14" s="843"/>
      <c r="E14" s="843"/>
      <c r="F14" s="843"/>
      <c r="G14" s="843"/>
      <c r="H14" s="843"/>
      <c r="I14" s="843"/>
    </row>
    <row r="15" spans="1:9" ht="19.5" customHeight="1" x14ac:dyDescent="0.3">
      <c r="A15" s="239"/>
    </row>
    <row r="16" spans="1:9" ht="19.5" customHeight="1" x14ac:dyDescent="0.3">
      <c r="A16" s="876" t="s">
        <v>31</v>
      </c>
      <c r="B16" s="877"/>
      <c r="C16" s="877"/>
      <c r="D16" s="877"/>
      <c r="E16" s="877"/>
      <c r="F16" s="877"/>
      <c r="G16" s="877"/>
      <c r="H16" s="878"/>
    </row>
    <row r="17" spans="1:14" ht="20.25" customHeight="1" x14ac:dyDescent="0.25">
      <c r="A17" s="879" t="s">
        <v>47</v>
      </c>
      <c r="B17" s="879"/>
      <c r="C17" s="879"/>
      <c r="D17" s="879"/>
      <c r="E17" s="879"/>
      <c r="F17" s="879"/>
      <c r="G17" s="879"/>
      <c r="H17" s="879"/>
    </row>
    <row r="18" spans="1:14" ht="26.25" customHeight="1" x14ac:dyDescent="0.4">
      <c r="A18" s="241" t="s">
        <v>33</v>
      </c>
      <c r="B18" s="875" t="s">
        <v>5</v>
      </c>
      <c r="C18" s="875"/>
      <c r="D18" s="407"/>
      <c r="E18" s="242"/>
      <c r="F18" s="243"/>
      <c r="G18" s="243"/>
      <c r="H18" s="243"/>
    </row>
    <row r="19" spans="1:14" ht="26.25" customHeight="1" x14ac:dyDescent="0.4">
      <c r="A19" s="241" t="s">
        <v>34</v>
      </c>
      <c r="B19" s="244" t="s">
        <v>7</v>
      </c>
      <c r="C19" s="420">
        <v>29</v>
      </c>
      <c r="D19" s="243"/>
      <c r="E19" s="243"/>
      <c r="F19" s="243"/>
      <c r="G19" s="243"/>
      <c r="H19" s="243"/>
    </row>
    <row r="20" spans="1:14" ht="26.25" customHeight="1" x14ac:dyDescent="0.4">
      <c r="A20" s="241" t="s">
        <v>35</v>
      </c>
      <c r="B20" s="880" t="s">
        <v>9</v>
      </c>
      <c r="C20" s="880"/>
      <c r="D20" s="243"/>
      <c r="E20" s="243"/>
      <c r="F20" s="243"/>
      <c r="G20" s="243"/>
      <c r="H20" s="243"/>
    </row>
    <row r="21" spans="1:14" ht="26.25" customHeight="1" x14ac:dyDescent="0.4">
      <c r="A21" s="241" t="s">
        <v>36</v>
      </c>
      <c r="B21" s="880" t="s">
        <v>11</v>
      </c>
      <c r="C21" s="880"/>
      <c r="D21" s="880"/>
      <c r="E21" s="880"/>
      <c r="F21" s="880"/>
      <c r="G21" s="880"/>
      <c r="H21" s="880"/>
      <c r="I21" s="245"/>
    </row>
    <row r="22" spans="1:14" ht="26.25" customHeight="1" x14ac:dyDescent="0.4">
      <c r="A22" s="241" t="s">
        <v>37</v>
      </c>
      <c r="B22" s="246" t="s">
        <v>12</v>
      </c>
      <c r="C22" s="243"/>
      <c r="D22" s="243"/>
      <c r="E22" s="243"/>
      <c r="F22" s="243"/>
      <c r="G22" s="243"/>
      <c r="H22" s="243"/>
    </row>
    <row r="23" spans="1:14" ht="26.25" customHeight="1" x14ac:dyDescent="0.4">
      <c r="A23" s="241" t="s">
        <v>38</v>
      </c>
      <c r="B23" s="246"/>
      <c r="C23" s="243"/>
      <c r="D23" s="243"/>
      <c r="E23" s="243"/>
      <c r="F23" s="243"/>
      <c r="G23" s="243"/>
      <c r="H23" s="243"/>
    </row>
    <row r="24" spans="1:14" ht="18.75" x14ac:dyDescent="0.3">
      <c r="A24" s="241"/>
      <c r="B24" s="247"/>
    </row>
    <row r="25" spans="1:14" ht="18.75" x14ac:dyDescent="0.3">
      <c r="A25" s="248" t="s">
        <v>1</v>
      </c>
      <c r="B25" s="247"/>
    </row>
    <row r="26" spans="1:14" ht="26.25" customHeight="1" x14ac:dyDescent="0.4">
      <c r="A26" s="249" t="s">
        <v>4</v>
      </c>
      <c r="B26" s="875" t="s">
        <v>126</v>
      </c>
      <c r="C26" s="875"/>
    </row>
    <row r="27" spans="1:14" ht="26.25" customHeight="1" x14ac:dyDescent="0.4">
      <c r="A27" s="250" t="s">
        <v>48</v>
      </c>
      <c r="B27" s="873" t="s">
        <v>130</v>
      </c>
      <c r="C27" s="873"/>
    </row>
    <row r="28" spans="1:14" ht="27" customHeight="1" x14ac:dyDescent="0.4">
      <c r="A28" s="250" t="s">
        <v>6</v>
      </c>
      <c r="B28" s="251">
        <v>98.5</v>
      </c>
    </row>
    <row r="29" spans="1:14" s="14" customFormat="1" ht="27" customHeight="1" x14ac:dyDescent="0.4">
      <c r="A29" s="250" t="s">
        <v>49</v>
      </c>
      <c r="B29" s="252">
        <v>0</v>
      </c>
      <c r="C29" s="850" t="s">
        <v>50</v>
      </c>
      <c r="D29" s="851"/>
      <c r="E29" s="851"/>
      <c r="F29" s="851"/>
      <c r="G29" s="852"/>
      <c r="I29" s="253"/>
      <c r="J29" s="253"/>
      <c r="K29" s="253"/>
      <c r="L29" s="253"/>
    </row>
    <row r="30" spans="1:14" s="14" customFormat="1" ht="19.5" customHeight="1" x14ac:dyDescent="0.3">
      <c r="A30" s="250" t="s">
        <v>51</v>
      </c>
      <c r="B30" s="254">
        <f>B28-B29</f>
        <v>98.5</v>
      </c>
      <c r="C30" s="255"/>
      <c r="D30" s="255"/>
      <c r="E30" s="255"/>
      <c r="F30" s="255"/>
      <c r="G30" s="256"/>
      <c r="I30" s="253"/>
      <c r="J30" s="253"/>
      <c r="K30" s="253"/>
      <c r="L30" s="253"/>
    </row>
    <row r="31" spans="1:14" s="14" customFormat="1" ht="27" customHeight="1" x14ac:dyDescent="0.4">
      <c r="A31" s="250" t="s">
        <v>52</v>
      </c>
      <c r="B31" s="257">
        <v>1</v>
      </c>
      <c r="C31" s="853" t="s">
        <v>53</v>
      </c>
      <c r="D31" s="854"/>
      <c r="E31" s="854"/>
      <c r="F31" s="854"/>
      <c r="G31" s="854"/>
      <c r="H31" s="855"/>
      <c r="I31" s="253"/>
      <c r="J31" s="253"/>
      <c r="K31" s="253"/>
      <c r="L31" s="253"/>
    </row>
    <row r="32" spans="1:14" s="14" customFormat="1" ht="27" customHeight="1" x14ac:dyDescent="0.4">
      <c r="A32" s="250" t="s">
        <v>54</v>
      </c>
      <c r="B32" s="257">
        <v>1</v>
      </c>
      <c r="C32" s="853" t="s">
        <v>55</v>
      </c>
      <c r="D32" s="854"/>
      <c r="E32" s="854"/>
      <c r="F32" s="854"/>
      <c r="G32" s="854"/>
      <c r="H32" s="855"/>
      <c r="I32" s="253"/>
      <c r="J32" s="253"/>
      <c r="K32" s="253"/>
      <c r="L32" s="258"/>
      <c r="M32" s="258"/>
      <c r="N32" s="259"/>
    </row>
    <row r="33" spans="1:14" s="14" customFormat="1" ht="17.25" customHeight="1" x14ac:dyDescent="0.3">
      <c r="A33" s="250"/>
      <c r="B33" s="260"/>
      <c r="C33" s="261"/>
      <c r="D33" s="261"/>
      <c r="E33" s="261"/>
      <c r="F33" s="261"/>
      <c r="G33" s="261"/>
      <c r="H33" s="261"/>
      <c r="I33" s="253"/>
      <c r="J33" s="253"/>
      <c r="K33" s="253"/>
      <c r="L33" s="258"/>
      <c r="M33" s="258"/>
      <c r="N33" s="259"/>
    </row>
    <row r="34" spans="1:14" s="14" customFormat="1" ht="18.75" x14ac:dyDescent="0.3">
      <c r="A34" s="250" t="s">
        <v>56</v>
      </c>
      <c r="B34" s="262">
        <f>B31/B32</f>
        <v>1</v>
      </c>
      <c r="C34" s="240" t="s">
        <v>57</v>
      </c>
      <c r="D34" s="240"/>
      <c r="E34" s="240"/>
      <c r="F34" s="240"/>
      <c r="G34" s="240"/>
      <c r="I34" s="253"/>
      <c r="J34" s="253"/>
      <c r="K34" s="253"/>
      <c r="L34" s="258"/>
      <c r="M34" s="258"/>
      <c r="N34" s="259"/>
    </row>
    <row r="35" spans="1:14" s="14" customFormat="1" ht="19.5" customHeight="1" x14ac:dyDescent="0.3">
      <c r="A35" s="250"/>
      <c r="B35" s="254"/>
      <c r="G35" s="240"/>
      <c r="I35" s="253"/>
      <c r="J35" s="253"/>
      <c r="K35" s="253"/>
      <c r="L35" s="258"/>
      <c r="M35" s="258"/>
      <c r="N35" s="259"/>
    </row>
    <row r="36" spans="1:14" s="14" customFormat="1" ht="27" customHeight="1" x14ac:dyDescent="0.4">
      <c r="A36" s="263" t="s">
        <v>58</v>
      </c>
      <c r="B36" s="264">
        <v>100</v>
      </c>
      <c r="C36" s="240"/>
      <c r="D36" s="856" t="s">
        <v>59</v>
      </c>
      <c r="E36" s="874"/>
      <c r="F36" s="856" t="s">
        <v>60</v>
      </c>
      <c r="G36" s="857"/>
      <c r="J36" s="253"/>
      <c r="K36" s="253"/>
      <c r="L36" s="258"/>
      <c r="M36" s="258"/>
      <c r="N36" s="259"/>
    </row>
    <row r="37" spans="1:14" s="14" customFormat="1" ht="27" customHeight="1" x14ac:dyDescent="0.4">
      <c r="A37" s="265" t="s">
        <v>61</v>
      </c>
      <c r="B37" s="266">
        <v>1</v>
      </c>
      <c r="C37" s="267" t="s">
        <v>62</v>
      </c>
      <c r="D37" s="268" t="s">
        <v>63</v>
      </c>
      <c r="E37" s="269" t="s">
        <v>64</v>
      </c>
      <c r="F37" s="268" t="s">
        <v>63</v>
      </c>
      <c r="G37" s="270" t="s">
        <v>64</v>
      </c>
      <c r="I37" s="271" t="s">
        <v>65</v>
      </c>
      <c r="J37" s="253"/>
      <c r="K37" s="253"/>
      <c r="L37" s="258"/>
      <c r="M37" s="258"/>
      <c r="N37" s="259"/>
    </row>
    <row r="38" spans="1:14" s="14" customFormat="1" ht="26.25" customHeight="1" x14ac:dyDescent="0.4">
      <c r="A38" s="265" t="s">
        <v>66</v>
      </c>
      <c r="B38" s="266">
        <v>1</v>
      </c>
      <c r="C38" s="272">
        <v>1</v>
      </c>
      <c r="D38" s="273">
        <v>4029917</v>
      </c>
      <c r="E38" s="274">
        <f>IF(ISBLANK(D38),"-",$D$48/$D$45*D38)</f>
        <v>3319502.0644350862</v>
      </c>
      <c r="F38" s="273">
        <v>3300605</v>
      </c>
      <c r="G38" s="275">
        <f>IF(ISBLANK(F38),"-",$D$48/$F$45*F38)</f>
        <v>3301347.8032557326</v>
      </c>
      <c r="I38" s="276"/>
      <c r="J38" s="253"/>
      <c r="K38" s="253"/>
      <c r="L38" s="258"/>
      <c r="M38" s="258"/>
      <c r="N38" s="259"/>
    </row>
    <row r="39" spans="1:14" s="14" customFormat="1" ht="26.25" customHeight="1" x14ac:dyDescent="0.4">
      <c r="A39" s="265" t="s">
        <v>67</v>
      </c>
      <c r="B39" s="266">
        <v>1</v>
      </c>
      <c r="C39" s="277">
        <v>2</v>
      </c>
      <c r="D39" s="278">
        <v>4037888</v>
      </c>
      <c r="E39" s="279">
        <f>IF(ISBLANK(D39),"-",$D$48/$D$45*D39)</f>
        <v>3326067.8946880698</v>
      </c>
      <c r="F39" s="278">
        <v>3308864</v>
      </c>
      <c r="G39" s="280">
        <f>IF(ISBLANK(F39),"-",$D$48/$F$45*F39)</f>
        <v>3309608.6619489384</v>
      </c>
      <c r="I39" s="858">
        <f>ABS((F43/D43*D42)-F42)/D42</f>
        <v>4.3916604639904861E-3</v>
      </c>
      <c r="J39" s="253"/>
      <c r="K39" s="253"/>
      <c r="L39" s="258"/>
      <c r="M39" s="258"/>
      <c r="N39" s="259"/>
    </row>
    <row r="40" spans="1:14" ht="26.25" customHeight="1" x14ac:dyDescent="0.4">
      <c r="A40" s="265" t="s">
        <v>68</v>
      </c>
      <c r="B40" s="266">
        <v>1</v>
      </c>
      <c r="C40" s="277">
        <v>3</v>
      </c>
      <c r="D40" s="278">
        <v>4037264</v>
      </c>
      <c r="E40" s="279">
        <f>IF(ISBLANK(D40),"-",$D$48/$D$45*D40)</f>
        <v>3325553.8966855779</v>
      </c>
      <c r="F40" s="278">
        <v>3306250</v>
      </c>
      <c r="G40" s="280">
        <f>IF(ISBLANK(F40),"-",$D$48/$F$45*F40)</f>
        <v>3306994.0736665749</v>
      </c>
      <c r="I40" s="858"/>
      <c r="L40" s="258"/>
      <c r="M40" s="258"/>
      <c r="N40" s="281"/>
    </row>
    <row r="41" spans="1:14" ht="27" customHeight="1" x14ac:dyDescent="0.4">
      <c r="A41" s="265" t="s">
        <v>69</v>
      </c>
      <c r="B41" s="266">
        <v>1</v>
      </c>
      <c r="C41" s="282">
        <v>4</v>
      </c>
      <c r="D41" s="283"/>
      <c r="E41" s="284" t="str">
        <f>IF(ISBLANK(D41),"-",$D$48/$D$45*D41)</f>
        <v>-</v>
      </c>
      <c r="F41" s="283"/>
      <c r="G41" s="285" t="str">
        <f>IF(ISBLANK(F41),"-",$D$48/$F$45*F41)</f>
        <v>-</v>
      </c>
      <c r="I41" s="286"/>
      <c r="L41" s="258"/>
      <c r="M41" s="258"/>
      <c r="N41" s="281"/>
    </row>
    <row r="42" spans="1:14" ht="27" customHeight="1" x14ac:dyDescent="0.4">
      <c r="A42" s="265" t="s">
        <v>70</v>
      </c>
      <c r="B42" s="266">
        <v>1</v>
      </c>
      <c r="C42" s="287" t="s">
        <v>71</v>
      </c>
      <c r="D42" s="288">
        <f>AVERAGE(D38:D41)</f>
        <v>4035023</v>
      </c>
      <c r="E42" s="289">
        <f>AVERAGE(E38:E41)</f>
        <v>3323707.951936245</v>
      </c>
      <c r="F42" s="288">
        <f>AVERAGE(F38:F41)</f>
        <v>3305239.6666666665</v>
      </c>
      <c r="G42" s="290">
        <f>AVERAGE(G38:G41)</f>
        <v>3305983.5129570817</v>
      </c>
      <c r="H42" s="291"/>
    </row>
    <row r="43" spans="1:14" ht="26.25" customHeight="1" x14ac:dyDescent="0.4">
      <c r="A43" s="265" t="s">
        <v>72</v>
      </c>
      <c r="B43" s="266">
        <v>1</v>
      </c>
      <c r="C43" s="292" t="s">
        <v>73</v>
      </c>
      <c r="D43" s="293">
        <v>9.86</v>
      </c>
      <c r="E43" s="281"/>
      <c r="F43" s="293">
        <v>8.1199999999999992</v>
      </c>
      <c r="H43" s="291"/>
    </row>
    <row r="44" spans="1:14" ht="26.25" customHeight="1" x14ac:dyDescent="0.4">
      <c r="A44" s="265" t="s">
        <v>74</v>
      </c>
      <c r="B44" s="266">
        <v>1</v>
      </c>
      <c r="C44" s="294" t="s">
        <v>75</v>
      </c>
      <c r="D44" s="295">
        <f>D43*$B$34</f>
        <v>9.86</v>
      </c>
      <c r="E44" s="296"/>
      <c r="F44" s="295">
        <f>F43*$B$34</f>
        <v>8.1199999999999992</v>
      </c>
      <c r="H44" s="291"/>
    </row>
    <row r="45" spans="1:14" ht="19.5" customHeight="1" x14ac:dyDescent="0.3">
      <c r="A45" s="265" t="s">
        <v>76</v>
      </c>
      <c r="B45" s="297">
        <f>(B44/B43)*(B42/B41)*(B40/B39)*(B38/B37)*B36</f>
        <v>100</v>
      </c>
      <c r="C45" s="294" t="s">
        <v>77</v>
      </c>
      <c r="D45" s="298">
        <f>D44*$B$30/100</f>
        <v>9.7120999999999995</v>
      </c>
      <c r="E45" s="299"/>
      <c r="F45" s="298">
        <f>F44*$B$30/100</f>
        <v>7.9981999999999998</v>
      </c>
      <c r="H45" s="291"/>
    </row>
    <row r="46" spans="1:14" ht="19.5" customHeight="1" x14ac:dyDescent="0.3">
      <c r="A46" s="844" t="s">
        <v>78</v>
      </c>
      <c r="B46" s="845"/>
      <c r="C46" s="294" t="s">
        <v>79</v>
      </c>
      <c r="D46" s="300">
        <f>D45/$B$45</f>
        <v>9.7120999999999999E-2</v>
      </c>
      <c r="E46" s="301"/>
      <c r="F46" s="302">
        <f>F45/$B$45</f>
        <v>7.9981999999999998E-2</v>
      </c>
      <c r="H46" s="291"/>
    </row>
    <row r="47" spans="1:14" ht="27" customHeight="1" x14ac:dyDescent="0.4">
      <c r="A47" s="846"/>
      <c r="B47" s="847"/>
      <c r="C47" s="303" t="s">
        <v>80</v>
      </c>
      <c r="D47" s="304">
        <v>0.08</v>
      </c>
      <c r="E47" s="305"/>
      <c r="F47" s="301"/>
      <c r="H47" s="291"/>
    </row>
    <row r="48" spans="1:14" ht="18.75" x14ac:dyDescent="0.3">
      <c r="C48" s="306" t="s">
        <v>81</v>
      </c>
      <c r="D48" s="298">
        <f>D47*$B$45</f>
        <v>8</v>
      </c>
      <c r="F48" s="307"/>
      <c r="H48" s="291"/>
    </row>
    <row r="49" spans="1:12" ht="19.5" customHeight="1" x14ac:dyDescent="0.3">
      <c r="C49" s="308" t="s">
        <v>82</v>
      </c>
      <c r="D49" s="309">
        <f>D48/B34</f>
        <v>8</v>
      </c>
      <c r="F49" s="307"/>
      <c r="H49" s="291"/>
    </row>
    <row r="50" spans="1:12" ht="18.75" x14ac:dyDescent="0.3">
      <c r="C50" s="263" t="s">
        <v>83</v>
      </c>
      <c r="D50" s="310">
        <f>AVERAGE(E38:E41,G38:G41)</f>
        <v>3314845.7324466635</v>
      </c>
      <c r="F50" s="311"/>
      <c r="H50" s="291"/>
    </row>
    <row r="51" spans="1:12" ht="18.75" x14ac:dyDescent="0.3">
      <c r="C51" s="265" t="s">
        <v>84</v>
      </c>
      <c r="D51" s="312">
        <f>STDEV(E38:E41,G38:G41)/D50</f>
        <v>3.1163076710208687E-3</v>
      </c>
      <c r="F51" s="311"/>
      <c r="H51" s="291"/>
    </row>
    <row r="52" spans="1:12" ht="19.5" customHeight="1" x14ac:dyDescent="0.3">
      <c r="C52" s="313" t="s">
        <v>20</v>
      </c>
      <c r="D52" s="314">
        <f>COUNT(E38:E41,G38:G41)</f>
        <v>6</v>
      </c>
      <c r="F52" s="311"/>
    </row>
    <row r="54" spans="1:12" ht="18.75" x14ac:dyDescent="0.3">
      <c r="A54" s="315" t="s">
        <v>1</v>
      </c>
      <c r="B54" s="316" t="s">
        <v>85</v>
      </c>
    </row>
    <row r="55" spans="1:12" ht="18.75" x14ac:dyDescent="0.3">
      <c r="A55" s="240" t="s">
        <v>86</v>
      </c>
      <c r="B55" s="317" t="str">
        <f>B21</f>
        <v>RIFAMPICIN 150mg, ISONIAZID 75mg, PYRAZINAMIDE 400mg &amp; ETHAMBUTOL HCl 275mg</v>
      </c>
    </row>
    <row r="56" spans="1:12" ht="26.25" customHeight="1" x14ac:dyDescent="0.4">
      <c r="A56" s="318" t="s">
        <v>87</v>
      </c>
      <c r="B56" s="319">
        <v>75</v>
      </c>
      <c r="C56" s="240" t="str">
        <f>B20</f>
        <v>RIFAMPICIN, ISONIAZID, PYRAZINAMIDE &amp; ETHAMBUTOL HCl</v>
      </c>
      <c r="H56" s="320"/>
    </row>
    <row r="57" spans="1:12" ht="18.75" x14ac:dyDescent="0.3">
      <c r="A57" s="317" t="s">
        <v>88</v>
      </c>
      <c r="B57" s="408">
        <f>Rifampicin!B57</f>
        <v>1056.2924999999998</v>
      </c>
      <c r="H57" s="320"/>
    </row>
    <row r="58" spans="1:12" ht="19.5" customHeight="1" x14ac:dyDescent="0.3">
      <c r="H58" s="320"/>
    </row>
    <row r="59" spans="1:12" s="14" customFormat="1" ht="27" customHeight="1" x14ac:dyDescent="0.4">
      <c r="A59" s="263" t="s">
        <v>89</v>
      </c>
      <c r="B59" s="264">
        <v>200</v>
      </c>
      <c r="C59" s="240"/>
      <c r="D59" s="321" t="s">
        <v>90</v>
      </c>
      <c r="E59" s="322" t="s">
        <v>62</v>
      </c>
      <c r="F59" s="322" t="s">
        <v>63</v>
      </c>
      <c r="G59" s="322" t="s">
        <v>91</v>
      </c>
      <c r="H59" s="267" t="s">
        <v>92</v>
      </c>
      <c r="L59" s="253"/>
    </row>
    <row r="60" spans="1:12" s="14" customFormat="1" ht="26.25" customHeight="1" x14ac:dyDescent="0.4">
      <c r="A60" s="265" t="s">
        <v>93</v>
      </c>
      <c r="B60" s="266">
        <v>4</v>
      </c>
      <c r="C60" s="861" t="s">
        <v>94</v>
      </c>
      <c r="D60" s="864">
        <f>Rifampicin!D60</f>
        <v>1063</v>
      </c>
      <c r="E60" s="323">
        <v>1</v>
      </c>
      <c r="F60" s="324">
        <v>3141221</v>
      </c>
      <c r="G60" s="409">
        <f>IF(ISBLANK(F60),"-",(F60/$D$50*$D$47*$B$68)*($B$57/$D$60))</f>
        <v>75.331408725019543</v>
      </c>
      <c r="H60" s="325">
        <f t="shared" ref="H60:H71" si="0">IF(ISBLANK(F60),"-",G60/$B$56)</f>
        <v>1.0044187830002607</v>
      </c>
      <c r="L60" s="253"/>
    </row>
    <row r="61" spans="1:12" s="14" customFormat="1" ht="26.25" customHeight="1" x14ac:dyDescent="0.4">
      <c r="A61" s="265" t="s">
        <v>95</v>
      </c>
      <c r="B61" s="266">
        <v>20</v>
      </c>
      <c r="C61" s="862"/>
      <c r="D61" s="865"/>
      <c r="E61" s="326">
        <v>2</v>
      </c>
      <c r="F61" s="278">
        <v>3142240</v>
      </c>
      <c r="G61" s="410">
        <f>IF(ISBLANK(F61),"-",(F61/$D$50*$D$47*$B$68)*($B$57/$D$60))</f>
        <v>75.355845944015229</v>
      </c>
      <c r="H61" s="327">
        <f t="shared" si="0"/>
        <v>1.0047446125868698</v>
      </c>
      <c r="L61" s="253"/>
    </row>
    <row r="62" spans="1:12" s="14" customFormat="1" ht="26.25" customHeight="1" x14ac:dyDescent="0.4">
      <c r="A62" s="265" t="s">
        <v>96</v>
      </c>
      <c r="B62" s="266">
        <v>1</v>
      </c>
      <c r="C62" s="862"/>
      <c r="D62" s="865"/>
      <c r="E62" s="326">
        <v>3</v>
      </c>
      <c r="F62" s="328">
        <v>3130191</v>
      </c>
      <c r="G62" s="410">
        <f>IF(ISBLANK(F62),"-",(F62/$D$50*$D$47*$B$68)*($B$57/$D$60))</f>
        <v>75.066892016950632</v>
      </c>
      <c r="H62" s="327">
        <f t="shared" si="0"/>
        <v>1.0008918935593418</v>
      </c>
      <c r="L62" s="253"/>
    </row>
    <row r="63" spans="1:12" ht="27" customHeight="1" x14ac:dyDescent="0.4">
      <c r="A63" s="265" t="s">
        <v>97</v>
      </c>
      <c r="B63" s="266">
        <v>1</v>
      </c>
      <c r="C63" s="872"/>
      <c r="D63" s="866"/>
      <c r="E63" s="329">
        <v>4</v>
      </c>
      <c r="F63" s="330"/>
      <c r="G63" s="410" t="str">
        <f>IF(ISBLANK(F63),"-",(F63/$D$50*$D$47*$B$68)*($B$57/$D$60))</f>
        <v>-</v>
      </c>
      <c r="H63" s="327" t="str">
        <f t="shared" si="0"/>
        <v>-</v>
      </c>
    </row>
    <row r="64" spans="1:12" ht="26.25" customHeight="1" x14ac:dyDescent="0.4">
      <c r="A64" s="265" t="s">
        <v>98</v>
      </c>
      <c r="B64" s="266">
        <v>1</v>
      </c>
      <c r="C64" s="861" t="s">
        <v>99</v>
      </c>
      <c r="D64" s="864">
        <f>Rifampicin!D64</f>
        <v>1056.96</v>
      </c>
      <c r="E64" s="323">
        <v>1</v>
      </c>
      <c r="F64" s="324">
        <v>3149257</v>
      </c>
      <c r="G64" s="411">
        <f>IF(ISBLANK(F64),"-",(F64/$D$50*$D$47*$B$68)*($B$57/$D$64))</f>
        <v>75.955707373696583</v>
      </c>
      <c r="H64" s="331">
        <f t="shared" si="0"/>
        <v>1.0127427649826211</v>
      </c>
    </row>
    <row r="65" spans="1:8" ht="26.25" customHeight="1" x14ac:dyDescent="0.4">
      <c r="A65" s="265" t="s">
        <v>100</v>
      </c>
      <c r="B65" s="266">
        <v>1</v>
      </c>
      <c r="C65" s="862"/>
      <c r="D65" s="865"/>
      <c r="E65" s="326">
        <v>2</v>
      </c>
      <c r="F65" s="278">
        <v>3015592</v>
      </c>
      <c r="G65" s="412">
        <f>IF(ISBLANK(F65),"-",(F65/$D$50*$D$47*$B$68)*($B$57/$D$64))</f>
        <v>72.731893113347198</v>
      </c>
      <c r="H65" s="332">
        <f t="shared" si="0"/>
        <v>0.96975857484462935</v>
      </c>
    </row>
    <row r="66" spans="1:8" ht="26.25" customHeight="1" x14ac:dyDescent="0.4">
      <c r="A66" s="265" t="s">
        <v>101</v>
      </c>
      <c r="B66" s="266">
        <v>1</v>
      </c>
      <c r="C66" s="862"/>
      <c r="D66" s="865"/>
      <c r="E66" s="326">
        <v>3</v>
      </c>
      <c r="F66" s="278">
        <v>3009646</v>
      </c>
      <c r="G66" s="412">
        <f>IF(ISBLANK(F66),"-",(F66/$D$50*$D$47*$B$68)*($B$57/$D$64))</f>
        <v>72.588483846957061</v>
      </c>
      <c r="H66" s="332">
        <f t="shared" si="0"/>
        <v>0.96784645129276081</v>
      </c>
    </row>
    <row r="67" spans="1:8" ht="27" customHeight="1" x14ac:dyDescent="0.4">
      <c r="A67" s="265" t="s">
        <v>102</v>
      </c>
      <c r="B67" s="266">
        <v>1</v>
      </c>
      <c r="C67" s="872"/>
      <c r="D67" s="866"/>
      <c r="E67" s="329">
        <v>4</v>
      </c>
      <c r="F67" s="330"/>
      <c r="G67" s="413" t="str">
        <f>IF(ISBLANK(F67),"-",(F67/$D$50*$D$47*$B$68)*($B$57/$D$64))</f>
        <v>-</v>
      </c>
      <c r="H67" s="333" t="str">
        <f t="shared" si="0"/>
        <v>-</v>
      </c>
    </row>
    <row r="68" spans="1:8" ht="26.25" customHeight="1" x14ac:dyDescent="0.4">
      <c r="A68" s="265" t="s">
        <v>103</v>
      </c>
      <c r="B68" s="334">
        <f>(B67/B66)*(B65/B64)*(B63/B62)*(B61/B60)*B59</f>
        <v>1000</v>
      </c>
      <c r="C68" s="861" t="s">
        <v>104</v>
      </c>
      <c r="D68" s="864">
        <f>Rifampicin!D68</f>
        <v>1051.21</v>
      </c>
      <c r="E68" s="323">
        <v>1</v>
      </c>
      <c r="F68" s="324">
        <v>3068547</v>
      </c>
      <c r="G68" s="411">
        <f>IF(ISBLANK(F68),"-",(F68/$D$50*$D$47*$B$68)*($B$57/$D$68))</f>
        <v>74.413915595192933</v>
      </c>
      <c r="H68" s="327">
        <f t="shared" si="0"/>
        <v>0.99218554126923908</v>
      </c>
    </row>
    <row r="69" spans="1:8" ht="27" customHeight="1" x14ac:dyDescent="0.4">
      <c r="A69" s="313" t="s">
        <v>105</v>
      </c>
      <c r="B69" s="335">
        <f>(D47*B68)/B56*B57</f>
        <v>1126.7119999999998</v>
      </c>
      <c r="C69" s="862"/>
      <c r="D69" s="865"/>
      <c r="E69" s="326">
        <v>2</v>
      </c>
      <c r="F69" s="278">
        <v>3066438</v>
      </c>
      <c r="G69" s="412">
        <f>IF(ISBLANK(F69),"-",(F69/$D$50*$D$47*$B$68)*($B$57/$D$68))</f>
        <v>74.362771210573655</v>
      </c>
      <c r="H69" s="327">
        <f t="shared" si="0"/>
        <v>0.99150361614098204</v>
      </c>
    </row>
    <row r="70" spans="1:8" ht="26.25" customHeight="1" x14ac:dyDescent="0.4">
      <c r="A70" s="867" t="s">
        <v>78</v>
      </c>
      <c r="B70" s="868"/>
      <c r="C70" s="862"/>
      <c r="D70" s="865"/>
      <c r="E70" s="326">
        <v>3</v>
      </c>
      <c r="F70" s="278">
        <v>3065022</v>
      </c>
      <c r="G70" s="412">
        <f>IF(ISBLANK(F70),"-",(F70/$D$50*$D$47*$B$68)*($B$57/$D$68))</f>
        <v>74.32843244878093</v>
      </c>
      <c r="H70" s="327">
        <f t="shared" si="0"/>
        <v>0.99104576598374572</v>
      </c>
    </row>
    <row r="71" spans="1:8" ht="27" customHeight="1" x14ac:dyDescent="0.4">
      <c r="A71" s="869"/>
      <c r="B71" s="870"/>
      <c r="C71" s="863"/>
      <c r="D71" s="866"/>
      <c r="E71" s="329">
        <v>4</v>
      </c>
      <c r="F71" s="330"/>
      <c r="G71" s="413" t="str">
        <f>IF(ISBLANK(F71),"-",(F71/$D$50*$D$47*$B$68)*($B$57/$D$68))</f>
        <v>-</v>
      </c>
      <c r="H71" s="336" t="str">
        <f t="shared" si="0"/>
        <v>-</v>
      </c>
    </row>
    <row r="72" spans="1:8" ht="26.25" customHeight="1" x14ac:dyDescent="0.4">
      <c r="A72" s="337"/>
      <c r="B72" s="337"/>
      <c r="C72" s="337"/>
      <c r="D72" s="337"/>
      <c r="E72" s="337"/>
      <c r="F72" s="339" t="s">
        <v>71</v>
      </c>
      <c r="G72" s="418">
        <f>AVERAGE(G60:G71)</f>
        <v>74.459483363837094</v>
      </c>
      <c r="H72" s="340">
        <f>AVERAGE(H60:H71)</f>
        <v>0.99279311151782779</v>
      </c>
    </row>
    <row r="73" spans="1:8" ht="26.25" customHeight="1" x14ac:dyDescent="0.4">
      <c r="C73" s="337"/>
      <c r="D73" s="337"/>
      <c r="E73" s="337"/>
      <c r="F73" s="341" t="s">
        <v>84</v>
      </c>
      <c r="G73" s="414">
        <f>STDEV(G60:G71)/G72</f>
        <v>1.5521209268374275E-2</v>
      </c>
      <c r="H73" s="414">
        <f>STDEV(H60:H71)/H72</f>
        <v>1.5521209268374277E-2</v>
      </c>
    </row>
    <row r="74" spans="1:8" ht="27" customHeight="1" x14ac:dyDescent="0.4">
      <c r="A74" s="337"/>
      <c r="B74" s="337"/>
      <c r="C74" s="338"/>
      <c r="D74" s="338"/>
      <c r="E74" s="342"/>
      <c r="F74" s="343" t="s">
        <v>20</v>
      </c>
      <c r="G74" s="344">
        <f>COUNT(G60:G71)</f>
        <v>9</v>
      </c>
      <c r="H74" s="344">
        <f>COUNT(H60:H71)</f>
        <v>9</v>
      </c>
    </row>
    <row r="76" spans="1:8" ht="26.25" customHeight="1" x14ac:dyDescent="0.4">
      <c r="A76" s="249" t="s">
        <v>106</v>
      </c>
      <c r="B76" s="345" t="s">
        <v>107</v>
      </c>
      <c r="C76" s="848" t="str">
        <f>B20</f>
        <v>RIFAMPICIN, ISONIAZID, PYRAZINAMIDE &amp; ETHAMBUTOL HCl</v>
      </c>
      <c r="D76" s="848"/>
      <c r="E76" s="346" t="s">
        <v>108</v>
      </c>
      <c r="F76" s="346"/>
      <c r="G76" s="347">
        <f>H72</f>
        <v>0.99279311151782779</v>
      </c>
      <c r="H76" s="348"/>
    </row>
    <row r="77" spans="1:8" ht="18.75" x14ac:dyDescent="0.3">
      <c r="A77" s="248" t="s">
        <v>109</v>
      </c>
      <c r="B77" s="248" t="s">
        <v>110</v>
      </c>
    </row>
    <row r="78" spans="1:8" ht="18.75" x14ac:dyDescent="0.3">
      <c r="A78" s="248"/>
      <c r="B78" s="248"/>
    </row>
    <row r="79" spans="1:8" ht="26.25" customHeight="1" x14ac:dyDescent="0.4">
      <c r="A79" s="249" t="s">
        <v>4</v>
      </c>
      <c r="B79" s="871" t="str">
        <f>B26</f>
        <v>ISONIAZID</v>
      </c>
      <c r="C79" s="871"/>
    </row>
    <row r="80" spans="1:8" ht="26.25" customHeight="1" x14ac:dyDescent="0.4">
      <c r="A80" s="250" t="s">
        <v>48</v>
      </c>
      <c r="B80" s="871" t="str">
        <f>B27</f>
        <v xml:space="preserve">I8 2 </v>
      </c>
      <c r="C80" s="871"/>
    </row>
    <row r="81" spans="1:12" ht="27" customHeight="1" x14ac:dyDescent="0.4">
      <c r="A81" s="250" t="s">
        <v>6</v>
      </c>
      <c r="B81" s="349">
        <f>B28</f>
        <v>98.5</v>
      </c>
    </row>
    <row r="82" spans="1:12" s="14" customFormat="1" ht="27" customHeight="1" x14ac:dyDescent="0.4">
      <c r="A82" s="250" t="s">
        <v>49</v>
      </c>
      <c r="B82" s="252">
        <v>0</v>
      </c>
      <c r="C82" s="850" t="s">
        <v>50</v>
      </c>
      <c r="D82" s="851"/>
      <c r="E82" s="851"/>
      <c r="F82" s="851"/>
      <c r="G82" s="852"/>
      <c r="I82" s="253"/>
      <c r="J82" s="253"/>
      <c r="K82" s="253"/>
      <c r="L82" s="253"/>
    </row>
    <row r="83" spans="1:12" s="14" customFormat="1" ht="19.5" customHeight="1" x14ac:dyDescent="0.3">
      <c r="A83" s="250" t="s">
        <v>51</v>
      </c>
      <c r="B83" s="254">
        <f>B81-B82</f>
        <v>98.5</v>
      </c>
      <c r="C83" s="255"/>
      <c r="D83" s="255"/>
      <c r="E83" s="255"/>
      <c r="F83" s="255"/>
      <c r="G83" s="256"/>
      <c r="I83" s="253"/>
      <c r="J83" s="253"/>
      <c r="K83" s="253"/>
      <c r="L83" s="253"/>
    </row>
    <row r="84" spans="1:12" s="14" customFormat="1" ht="27" customHeight="1" x14ac:dyDescent="0.4">
      <c r="A84" s="250" t="s">
        <v>52</v>
      </c>
      <c r="B84" s="257">
        <v>1</v>
      </c>
      <c r="C84" s="853" t="s">
        <v>111</v>
      </c>
      <c r="D84" s="854"/>
      <c r="E84" s="854"/>
      <c r="F84" s="854"/>
      <c r="G84" s="854"/>
      <c r="H84" s="855"/>
      <c r="I84" s="253"/>
      <c r="J84" s="253"/>
      <c r="K84" s="253"/>
      <c r="L84" s="253"/>
    </row>
    <row r="85" spans="1:12" s="14" customFormat="1" ht="27" customHeight="1" x14ac:dyDescent="0.4">
      <c r="A85" s="250" t="s">
        <v>54</v>
      </c>
      <c r="B85" s="257">
        <v>1</v>
      </c>
      <c r="C85" s="853" t="s">
        <v>112</v>
      </c>
      <c r="D85" s="854"/>
      <c r="E85" s="854"/>
      <c r="F85" s="854"/>
      <c r="G85" s="854"/>
      <c r="H85" s="855"/>
      <c r="I85" s="253"/>
      <c r="J85" s="253"/>
      <c r="K85" s="253"/>
      <c r="L85" s="253"/>
    </row>
    <row r="86" spans="1:12" s="14" customFormat="1" ht="18.75" x14ac:dyDescent="0.3">
      <c r="A86" s="250"/>
      <c r="B86" s="260"/>
      <c r="C86" s="261"/>
      <c r="D86" s="261"/>
      <c r="E86" s="261"/>
      <c r="F86" s="261"/>
      <c r="G86" s="261"/>
      <c r="H86" s="261"/>
      <c r="I86" s="253"/>
      <c r="J86" s="253"/>
      <c r="K86" s="253"/>
      <c r="L86" s="253"/>
    </row>
    <row r="87" spans="1:12" s="14" customFormat="1" ht="18.75" x14ac:dyDescent="0.3">
      <c r="A87" s="250" t="s">
        <v>56</v>
      </c>
      <c r="B87" s="262">
        <f>B84/B85</f>
        <v>1</v>
      </c>
      <c r="C87" s="240" t="s">
        <v>57</v>
      </c>
      <c r="D87" s="240"/>
      <c r="E87" s="240"/>
      <c r="F87" s="240"/>
      <c r="G87" s="240"/>
      <c r="I87" s="253"/>
      <c r="J87" s="253"/>
      <c r="K87" s="253"/>
      <c r="L87" s="253"/>
    </row>
    <row r="88" spans="1:12" ht="19.5" customHeight="1" x14ac:dyDescent="0.3">
      <c r="A88" s="248"/>
      <c r="B88" s="248"/>
    </row>
    <row r="89" spans="1:12" ht="27" customHeight="1" x14ac:dyDescent="0.4">
      <c r="A89" s="263" t="s">
        <v>58</v>
      </c>
      <c r="B89" s="264">
        <v>100</v>
      </c>
      <c r="D89" s="350" t="s">
        <v>59</v>
      </c>
      <c r="E89" s="351"/>
      <c r="F89" s="856" t="s">
        <v>60</v>
      </c>
      <c r="G89" s="857"/>
    </row>
    <row r="90" spans="1:12" ht="27" customHeight="1" x14ac:dyDescent="0.4">
      <c r="A90" s="265" t="s">
        <v>61</v>
      </c>
      <c r="B90" s="266">
        <v>1</v>
      </c>
      <c r="C90" s="352" t="s">
        <v>62</v>
      </c>
      <c r="D90" s="268" t="s">
        <v>63</v>
      </c>
      <c r="E90" s="269" t="s">
        <v>64</v>
      </c>
      <c r="F90" s="268" t="s">
        <v>63</v>
      </c>
      <c r="G90" s="353" t="s">
        <v>64</v>
      </c>
      <c r="I90" s="271" t="s">
        <v>65</v>
      </c>
    </row>
    <row r="91" spans="1:12" ht="26.25" customHeight="1" x14ac:dyDescent="0.4">
      <c r="A91" s="265" t="s">
        <v>66</v>
      </c>
      <c r="B91" s="266">
        <v>1</v>
      </c>
      <c r="C91" s="354">
        <v>1</v>
      </c>
      <c r="D91" s="637">
        <v>4029917</v>
      </c>
      <c r="E91" s="274">
        <f>IF(ISBLANK(D91),"-",$D$101/$D$98*D91)</f>
        <v>3457814.6504532145</v>
      </c>
      <c r="F91" s="637">
        <v>3300605</v>
      </c>
      <c r="G91" s="275">
        <f>IF(ISBLANK(F91),"-",$D$101/$F$98*F91)</f>
        <v>3438903.9617247209</v>
      </c>
      <c r="I91" s="276"/>
    </row>
    <row r="92" spans="1:12" ht="26.25" customHeight="1" x14ac:dyDescent="0.4">
      <c r="A92" s="265" t="s">
        <v>67</v>
      </c>
      <c r="B92" s="266">
        <v>1</v>
      </c>
      <c r="C92" s="338">
        <v>2</v>
      </c>
      <c r="D92" s="642">
        <v>4037888</v>
      </c>
      <c r="E92" s="279">
        <f>IF(ISBLANK(D92),"-",$D$101/$D$98*D92)</f>
        <v>3464654.0569667388</v>
      </c>
      <c r="F92" s="642">
        <v>3308864</v>
      </c>
      <c r="G92" s="280">
        <f>IF(ISBLANK(F92),"-",$D$101/$F$98*F92)</f>
        <v>3447509.0228634775</v>
      </c>
      <c r="I92" s="858">
        <f>ABS((F96/D96*D95)-F95)/D95</f>
        <v>4.3916604639904861E-3</v>
      </c>
    </row>
    <row r="93" spans="1:12" ht="26.25" customHeight="1" x14ac:dyDescent="0.4">
      <c r="A93" s="265" t="s">
        <v>68</v>
      </c>
      <c r="B93" s="266">
        <v>1</v>
      </c>
      <c r="C93" s="338">
        <v>3</v>
      </c>
      <c r="D93" s="642">
        <v>4037264</v>
      </c>
      <c r="E93" s="279">
        <f>IF(ISBLANK(D93),"-",$D$101/$D$98*D93)</f>
        <v>3464118.6423808099</v>
      </c>
      <c r="F93" s="642">
        <v>3306250</v>
      </c>
      <c r="G93" s="280">
        <f>IF(ISBLANK(F93),"-",$D$101/$F$98*F93)</f>
        <v>3444785.4934026818</v>
      </c>
      <c r="I93" s="858"/>
    </row>
    <row r="94" spans="1:12" ht="27" customHeight="1" x14ac:dyDescent="0.4">
      <c r="A94" s="265" t="s">
        <v>69</v>
      </c>
      <c r="B94" s="266">
        <v>1</v>
      </c>
      <c r="C94" s="355">
        <v>4</v>
      </c>
      <c r="D94" s="647"/>
      <c r="E94" s="284" t="str">
        <f>IF(ISBLANK(D94),"-",$D$101/$D$98*D94)</f>
        <v>-</v>
      </c>
      <c r="F94" s="647"/>
      <c r="G94" s="285" t="str">
        <f>IF(ISBLANK(F94),"-",$D$101/$F$98*F94)</f>
        <v>-</v>
      </c>
      <c r="I94" s="286"/>
    </row>
    <row r="95" spans="1:12" ht="27" customHeight="1" x14ac:dyDescent="0.4">
      <c r="A95" s="265" t="s">
        <v>70</v>
      </c>
      <c r="B95" s="266">
        <v>1</v>
      </c>
      <c r="C95" s="356" t="s">
        <v>71</v>
      </c>
      <c r="D95" s="357">
        <f>AVERAGE(D91:D94)</f>
        <v>4035023</v>
      </c>
      <c r="E95" s="289">
        <f>AVERAGE(E91:E94)</f>
        <v>3462195.7832669211</v>
      </c>
      <c r="F95" s="358">
        <f>AVERAGE(F91:F94)</f>
        <v>3305239.6666666665</v>
      </c>
      <c r="G95" s="359">
        <f>AVERAGE(G91:G94)</f>
        <v>3443732.82599696</v>
      </c>
    </row>
    <row r="96" spans="1:12" ht="26.25" customHeight="1" x14ac:dyDescent="0.4">
      <c r="A96" s="265" t="s">
        <v>72</v>
      </c>
      <c r="B96" s="251">
        <v>1</v>
      </c>
      <c r="C96" s="360" t="s">
        <v>113</v>
      </c>
      <c r="D96" s="361">
        <v>9.86</v>
      </c>
      <c r="E96" s="281"/>
      <c r="F96" s="293">
        <v>8.1199999999999992</v>
      </c>
    </row>
    <row r="97" spans="1:10" ht="26.25" customHeight="1" x14ac:dyDescent="0.4">
      <c r="A97" s="265" t="s">
        <v>74</v>
      </c>
      <c r="B97" s="251">
        <v>1</v>
      </c>
      <c r="C97" s="362" t="s">
        <v>114</v>
      </c>
      <c r="D97" s="363">
        <f>D96*$B$87</f>
        <v>9.86</v>
      </c>
      <c r="E97" s="296"/>
      <c r="F97" s="295">
        <f>F96*$B$87</f>
        <v>8.1199999999999992</v>
      </c>
    </row>
    <row r="98" spans="1:10" ht="19.5" customHeight="1" x14ac:dyDescent="0.3">
      <c r="A98" s="265" t="s">
        <v>76</v>
      </c>
      <c r="B98" s="364">
        <f>(B97/B96)*(B95/B94)*(B93/B92)*(B91/B90)*B89</f>
        <v>100</v>
      </c>
      <c r="C98" s="362" t="s">
        <v>115</v>
      </c>
      <c r="D98" s="365">
        <f>D97*$B$83/100</f>
        <v>9.7120999999999995</v>
      </c>
      <c r="E98" s="299"/>
      <c r="F98" s="298">
        <f>F97*$B$83/100</f>
        <v>7.9981999999999998</v>
      </c>
    </row>
    <row r="99" spans="1:10" ht="19.5" customHeight="1" x14ac:dyDescent="0.3">
      <c r="A99" s="844" t="s">
        <v>78</v>
      </c>
      <c r="B99" s="859"/>
      <c r="C99" s="362" t="s">
        <v>116</v>
      </c>
      <c r="D99" s="366">
        <f>D98/$B$98</f>
        <v>9.7120999999999999E-2</v>
      </c>
      <c r="E99" s="299"/>
      <c r="F99" s="302">
        <f>F98/$B$98</f>
        <v>7.9981999999999998E-2</v>
      </c>
      <c r="G99" s="367"/>
      <c r="H99" s="291"/>
    </row>
    <row r="100" spans="1:10" ht="19.5" customHeight="1" x14ac:dyDescent="0.3">
      <c r="A100" s="846"/>
      <c r="B100" s="860"/>
      <c r="C100" s="362" t="s">
        <v>80</v>
      </c>
      <c r="D100" s="368">
        <f>$B$56/$B$116</f>
        <v>8.3333333333333329E-2</v>
      </c>
      <c r="F100" s="307"/>
      <c r="G100" s="369"/>
      <c r="H100" s="291"/>
    </row>
    <row r="101" spans="1:10" ht="18.75" x14ac:dyDescent="0.3">
      <c r="C101" s="362" t="s">
        <v>81</v>
      </c>
      <c r="D101" s="363">
        <f>D100*$B$98</f>
        <v>8.3333333333333321</v>
      </c>
      <c r="F101" s="307"/>
      <c r="G101" s="367"/>
      <c r="H101" s="291"/>
    </row>
    <row r="102" spans="1:10" ht="19.5" customHeight="1" x14ac:dyDescent="0.3">
      <c r="C102" s="370" t="s">
        <v>82</v>
      </c>
      <c r="D102" s="371">
        <f>D101/B34</f>
        <v>8.3333333333333321</v>
      </c>
      <c r="F102" s="311"/>
      <c r="G102" s="367"/>
      <c r="H102" s="291"/>
      <c r="J102" s="372"/>
    </row>
    <row r="103" spans="1:10" ht="18.75" x14ac:dyDescent="0.3">
      <c r="C103" s="373" t="s">
        <v>117</v>
      </c>
      <c r="D103" s="374">
        <f>AVERAGE(E91:E94,G91:G94)</f>
        <v>3452964.304631941</v>
      </c>
      <c r="F103" s="311"/>
      <c r="G103" s="375"/>
      <c r="H103" s="291"/>
      <c r="J103" s="376"/>
    </row>
    <row r="104" spans="1:10" ht="18.75" x14ac:dyDescent="0.3">
      <c r="C104" s="341" t="s">
        <v>84</v>
      </c>
      <c r="D104" s="377">
        <f>STDEV(E91:E94,G91:G94)/D103</f>
        <v>3.1163076710208587E-3</v>
      </c>
      <c r="F104" s="311"/>
      <c r="G104" s="367"/>
      <c r="H104" s="291"/>
      <c r="J104" s="376"/>
    </row>
    <row r="105" spans="1:10" ht="19.5" customHeight="1" x14ac:dyDescent="0.3">
      <c r="C105" s="343" t="s">
        <v>20</v>
      </c>
      <c r="D105" s="378">
        <f>COUNT(E91:E94,G91:G94)</f>
        <v>6</v>
      </c>
      <c r="F105" s="311"/>
      <c r="G105" s="367"/>
      <c r="H105" s="291"/>
      <c r="J105" s="376"/>
    </row>
    <row r="106" spans="1:10" ht="19.5" customHeight="1" x14ac:dyDescent="0.3">
      <c r="A106" s="315"/>
      <c r="B106" s="315"/>
      <c r="C106" s="315"/>
      <c r="D106" s="315"/>
      <c r="E106" s="315"/>
    </row>
    <row r="107" spans="1:10" ht="26.25" customHeight="1" x14ac:dyDescent="0.4">
      <c r="A107" s="263" t="s">
        <v>118</v>
      </c>
      <c r="B107" s="264">
        <v>900</v>
      </c>
      <c r="C107" s="379" t="s">
        <v>119</v>
      </c>
      <c r="D107" s="380" t="s">
        <v>63</v>
      </c>
      <c r="E107" s="381" t="s">
        <v>120</v>
      </c>
      <c r="F107" s="382" t="s">
        <v>121</v>
      </c>
    </row>
    <row r="108" spans="1:10" ht="26.25" customHeight="1" x14ac:dyDescent="0.4">
      <c r="A108" s="265" t="s">
        <v>122</v>
      </c>
      <c r="B108" s="266">
        <v>1</v>
      </c>
      <c r="C108" s="383">
        <v>1</v>
      </c>
      <c r="D108" s="384">
        <v>3065005</v>
      </c>
      <c r="E108" s="415">
        <f t="shared" ref="E108:E113" si="1">IF(ISBLANK(D108),"-",D108/$D$103*$D$100*$B$116)</f>
        <v>66.573342415279583</v>
      </c>
      <c r="F108" s="385">
        <f t="shared" ref="F108:F113" si="2">IF(ISBLANK(D108), "-", E108/$B$56)</f>
        <v>0.88764456553706106</v>
      </c>
    </row>
    <row r="109" spans="1:10" ht="26.25" customHeight="1" x14ac:dyDescent="0.4">
      <c r="A109" s="265" t="s">
        <v>95</v>
      </c>
      <c r="B109" s="266">
        <v>1</v>
      </c>
      <c r="C109" s="383">
        <v>2</v>
      </c>
      <c r="D109" s="384">
        <v>3072688</v>
      </c>
      <c r="E109" s="416">
        <f t="shared" si="1"/>
        <v>66.740220769401887</v>
      </c>
      <c r="F109" s="386">
        <f t="shared" si="2"/>
        <v>0.88986961025869182</v>
      </c>
    </row>
    <row r="110" spans="1:10" ht="26.25" customHeight="1" x14ac:dyDescent="0.4">
      <c r="A110" s="265" t="s">
        <v>96</v>
      </c>
      <c r="B110" s="266">
        <v>1</v>
      </c>
      <c r="C110" s="383">
        <v>3</v>
      </c>
      <c r="D110" s="384">
        <v>3066248</v>
      </c>
      <c r="E110" s="416">
        <f t="shared" si="1"/>
        <v>66.600340956757393</v>
      </c>
      <c r="F110" s="386">
        <f t="shared" si="2"/>
        <v>0.8880045460900986</v>
      </c>
    </row>
    <row r="111" spans="1:10" ht="26.25" customHeight="1" x14ac:dyDescent="0.4">
      <c r="A111" s="265" t="s">
        <v>97</v>
      </c>
      <c r="B111" s="266">
        <v>1</v>
      </c>
      <c r="C111" s="383">
        <v>4</v>
      </c>
      <c r="D111" s="384">
        <v>3065098</v>
      </c>
      <c r="E111" s="416">
        <f t="shared" si="1"/>
        <v>66.575362418785161</v>
      </c>
      <c r="F111" s="386">
        <f t="shared" si="2"/>
        <v>0.88767149891713548</v>
      </c>
    </row>
    <row r="112" spans="1:10" ht="26.25" customHeight="1" x14ac:dyDescent="0.4">
      <c r="A112" s="265" t="s">
        <v>98</v>
      </c>
      <c r="B112" s="266">
        <v>1</v>
      </c>
      <c r="C112" s="383">
        <v>5</v>
      </c>
      <c r="D112" s="384">
        <v>3063206</v>
      </c>
      <c r="E112" s="416">
        <f t="shared" si="1"/>
        <v>66.534267293703891</v>
      </c>
      <c r="F112" s="386">
        <f t="shared" si="2"/>
        <v>0.88712356391605185</v>
      </c>
    </row>
    <row r="113" spans="1:10" ht="26.25" customHeight="1" x14ac:dyDescent="0.4">
      <c r="A113" s="265" t="s">
        <v>100</v>
      </c>
      <c r="B113" s="266">
        <v>1</v>
      </c>
      <c r="C113" s="387">
        <v>6</v>
      </c>
      <c r="D113" s="388">
        <v>3066850</v>
      </c>
      <c r="E113" s="417">
        <f t="shared" si="1"/>
        <v>66.613416678374165</v>
      </c>
      <c r="F113" s="389">
        <f t="shared" si="2"/>
        <v>0.88817888904498887</v>
      </c>
    </row>
    <row r="114" spans="1:10" ht="26.25" customHeight="1" x14ac:dyDescent="0.4">
      <c r="A114" s="265" t="s">
        <v>101</v>
      </c>
      <c r="B114" s="266">
        <v>1</v>
      </c>
      <c r="C114" s="383"/>
      <c r="D114" s="338"/>
      <c r="E114" s="239"/>
      <c r="F114" s="390"/>
    </row>
    <row r="115" spans="1:10" ht="26.25" customHeight="1" x14ac:dyDescent="0.4">
      <c r="A115" s="265" t="s">
        <v>102</v>
      </c>
      <c r="B115" s="266">
        <v>1</v>
      </c>
      <c r="C115" s="383"/>
      <c r="D115" s="391" t="s">
        <v>71</v>
      </c>
      <c r="E115" s="419">
        <f>AVERAGE(E108:E113)</f>
        <v>66.606158422050342</v>
      </c>
      <c r="F115" s="392">
        <f>AVERAGE(F108:F113)</f>
        <v>0.88808211229400458</v>
      </c>
    </row>
    <row r="116" spans="1:10" ht="27" customHeight="1" x14ac:dyDescent="0.4">
      <c r="A116" s="265" t="s">
        <v>103</v>
      </c>
      <c r="B116" s="297">
        <f>(B115/B114)*(B113/B112)*(B111/B110)*(B109/B108)*B107</f>
        <v>900</v>
      </c>
      <c r="C116" s="393"/>
      <c r="D116" s="356" t="s">
        <v>84</v>
      </c>
      <c r="E116" s="394">
        <f>STDEV(E108:E113)/E115</f>
        <v>1.0669789912117764E-3</v>
      </c>
      <c r="F116" s="394">
        <f>STDEV(F108:F113)/F115</f>
        <v>1.0669789912117883E-3</v>
      </c>
      <c r="I116" s="239"/>
    </row>
    <row r="117" spans="1:10" ht="27" customHeight="1" x14ac:dyDescent="0.4">
      <c r="A117" s="844" t="s">
        <v>78</v>
      </c>
      <c r="B117" s="845"/>
      <c r="C117" s="395"/>
      <c r="D117" s="396" t="s">
        <v>20</v>
      </c>
      <c r="E117" s="397">
        <f>COUNT(E108:E113)</f>
        <v>6</v>
      </c>
      <c r="F117" s="397">
        <f>COUNT(F108:F113)</f>
        <v>6</v>
      </c>
      <c r="I117" s="239"/>
      <c r="J117" s="376"/>
    </row>
    <row r="118" spans="1:10" ht="19.5" customHeight="1" x14ac:dyDescent="0.3">
      <c r="A118" s="846"/>
      <c r="B118" s="847"/>
      <c r="C118" s="239"/>
      <c r="D118" s="239"/>
      <c r="E118" s="239"/>
      <c r="F118" s="338"/>
      <c r="G118" s="239"/>
      <c r="H118" s="239"/>
      <c r="I118" s="239"/>
    </row>
    <row r="119" spans="1:10" ht="18.75" x14ac:dyDescent="0.3">
      <c r="A119" s="406"/>
      <c r="B119" s="261"/>
      <c r="C119" s="239"/>
      <c r="D119" s="239"/>
      <c r="E119" s="239"/>
      <c r="F119" s="338"/>
      <c r="G119" s="239"/>
      <c r="H119" s="239"/>
      <c r="I119" s="239"/>
    </row>
    <row r="120" spans="1:10" ht="26.25" customHeight="1" x14ac:dyDescent="0.4">
      <c r="A120" s="249" t="s">
        <v>106</v>
      </c>
      <c r="B120" s="345" t="s">
        <v>123</v>
      </c>
      <c r="C120" s="848" t="str">
        <f>B20</f>
        <v>RIFAMPICIN, ISONIAZID, PYRAZINAMIDE &amp; ETHAMBUTOL HCl</v>
      </c>
      <c r="D120" s="848"/>
      <c r="E120" s="346" t="s">
        <v>124</v>
      </c>
      <c r="F120" s="346"/>
      <c r="G120" s="347">
        <f>F115</f>
        <v>0.88808211229400458</v>
      </c>
      <c r="H120" s="239"/>
      <c r="I120" s="239"/>
    </row>
    <row r="121" spans="1:10" ht="19.5" customHeight="1" x14ac:dyDescent="0.3">
      <c r="A121" s="398"/>
      <c r="B121" s="398"/>
      <c r="C121" s="399"/>
      <c r="D121" s="399"/>
      <c r="E121" s="399"/>
      <c r="F121" s="399"/>
      <c r="G121" s="399"/>
      <c r="H121" s="399"/>
    </row>
    <row r="122" spans="1:10" ht="18.75" x14ac:dyDescent="0.3">
      <c r="B122" s="849" t="s">
        <v>26</v>
      </c>
      <c r="C122" s="849"/>
      <c r="E122" s="352" t="s">
        <v>27</v>
      </c>
      <c r="F122" s="400"/>
      <c r="G122" s="849" t="s">
        <v>28</v>
      </c>
      <c r="H122" s="849"/>
    </row>
    <row r="123" spans="1:10" ht="69.95" customHeight="1" x14ac:dyDescent="0.3">
      <c r="A123" s="401" t="s">
        <v>29</v>
      </c>
      <c r="B123" s="402"/>
      <c r="C123" s="402"/>
      <c r="E123" s="402"/>
      <c r="F123" s="239"/>
      <c r="G123" s="403"/>
      <c r="H123" s="403"/>
    </row>
    <row r="124" spans="1:10" ht="69.95" customHeight="1" x14ac:dyDescent="0.3">
      <c r="A124" s="401" t="s">
        <v>30</v>
      </c>
      <c r="B124" s="404"/>
      <c r="C124" s="404"/>
      <c r="E124" s="404"/>
      <c r="F124" s="239"/>
      <c r="G124" s="405"/>
      <c r="H124" s="405"/>
    </row>
    <row r="125" spans="1:10" ht="18.75" x14ac:dyDescent="0.3">
      <c r="A125" s="337"/>
      <c r="B125" s="337"/>
      <c r="C125" s="338"/>
      <c r="D125" s="338"/>
      <c r="E125" s="338"/>
      <c r="F125" s="342"/>
      <c r="G125" s="338"/>
      <c r="H125" s="338"/>
      <c r="I125" s="239"/>
    </row>
    <row r="126" spans="1:10" ht="18.75" x14ac:dyDescent="0.3">
      <c r="A126" s="337"/>
      <c r="B126" s="337"/>
      <c r="C126" s="338"/>
      <c r="D126" s="338"/>
      <c r="E126" s="338"/>
      <c r="F126" s="342"/>
      <c r="G126" s="338"/>
      <c r="H126" s="338"/>
      <c r="I126" s="239"/>
    </row>
    <row r="127" spans="1:10" ht="18.75" x14ac:dyDescent="0.3">
      <c r="A127" s="337"/>
      <c r="B127" s="337"/>
      <c r="C127" s="338"/>
      <c r="D127" s="338"/>
      <c r="E127" s="338"/>
      <c r="F127" s="342"/>
      <c r="G127" s="338"/>
      <c r="H127" s="338"/>
      <c r="I127" s="239"/>
    </row>
    <row r="128" spans="1:10" ht="18.75" x14ac:dyDescent="0.3">
      <c r="A128" s="337"/>
      <c r="B128" s="337"/>
      <c r="C128" s="338"/>
      <c r="D128" s="338"/>
      <c r="E128" s="338"/>
      <c r="F128" s="342"/>
      <c r="G128" s="338"/>
      <c r="H128" s="338"/>
      <c r="I128" s="239"/>
    </row>
    <row r="129" spans="1:9" ht="18.75" x14ac:dyDescent="0.3">
      <c r="A129" s="337"/>
      <c r="B129" s="337"/>
      <c r="C129" s="338"/>
      <c r="D129" s="338"/>
      <c r="E129" s="338"/>
      <c r="F129" s="342"/>
      <c r="G129" s="338"/>
      <c r="H129" s="338"/>
      <c r="I129" s="239"/>
    </row>
    <row r="130" spans="1:9" ht="18.75" x14ac:dyDescent="0.3">
      <c r="A130" s="337"/>
      <c r="B130" s="337"/>
      <c r="C130" s="338"/>
      <c r="D130" s="338"/>
      <c r="E130" s="338"/>
      <c r="F130" s="342"/>
      <c r="G130" s="338"/>
      <c r="H130" s="338"/>
      <c r="I130" s="239"/>
    </row>
    <row r="131" spans="1:9" ht="18.75" x14ac:dyDescent="0.3">
      <c r="A131" s="337"/>
      <c r="B131" s="337"/>
      <c r="C131" s="338"/>
      <c r="D131" s="338"/>
      <c r="E131" s="338"/>
      <c r="F131" s="342"/>
      <c r="G131" s="338"/>
      <c r="H131" s="338"/>
      <c r="I131" s="239"/>
    </row>
    <row r="132" spans="1:9" ht="18.75" x14ac:dyDescent="0.3">
      <c r="A132" s="337"/>
      <c r="B132" s="337"/>
      <c r="C132" s="338"/>
      <c r="D132" s="338"/>
      <c r="E132" s="338"/>
      <c r="F132" s="342"/>
      <c r="G132" s="338"/>
      <c r="H132" s="338"/>
      <c r="I132" s="239"/>
    </row>
    <row r="133" spans="1:9" ht="18.75" x14ac:dyDescent="0.3">
      <c r="A133" s="337"/>
      <c r="B133" s="337"/>
      <c r="C133" s="338"/>
      <c r="D133" s="338"/>
      <c r="E133" s="338"/>
      <c r="F133" s="342"/>
      <c r="G133" s="338"/>
      <c r="H133" s="338"/>
      <c r="I133" s="23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60" zoomScaleNormal="100" workbookViewId="0">
      <selection activeCell="F53" sqref="F53"/>
    </sheetView>
  </sheetViews>
  <sheetFormatPr defaultRowHeight="13.5" x14ac:dyDescent="0.25"/>
  <cols>
    <col min="1" max="1" width="27.5703125" style="731" customWidth="1"/>
    <col min="2" max="2" width="20.42578125" style="731" customWidth="1"/>
    <col min="3" max="3" width="31.85546875" style="731" customWidth="1"/>
    <col min="4" max="4" width="25.85546875" style="731" customWidth="1"/>
    <col min="5" max="5" width="25.7109375" style="731" customWidth="1"/>
    <col min="6" max="6" width="23.140625" style="731" customWidth="1"/>
    <col min="7" max="7" width="28.42578125" style="731" customWidth="1"/>
    <col min="8" max="8" width="21.5703125" style="731" customWidth="1"/>
    <col min="9" max="9" width="9.140625" style="73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832" t="s">
        <v>0</v>
      </c>
      <c r="B15" s="832"/>
      <c r="C15" s="832"/>
      <c r="D15" s="832"/>
      <c r="E15" s="832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731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7</v>
      </c>
      <c r="C19" s="53"/>
      <c r="D19" s="53"/>
      <c r="E19" s="53"/>
    </row>
    <row r="20" spans="1:5" ht="16.5" customHeight="1" x14ac:dyDescent="0.3">
      <c r="A20" s="8" t="s">
        <v>8</v>
      </c>
      <c r="B20" s="12">
        <v>43.25</v>
      </c>
      <c r="C20" s="53"/>
      <c r="D20" s="53"/>
      <c r="E20" s="53"/>
    </row>
    <row r="21" spans="1:5" ht="16.5" customHeight="1" x14ac:dyDescent="0.3">
      <c r="A21" s="8" t="s">
        <v>10</v>
      </c>
      <c r="B21" s="13">
        <f>B20/100</f>
        <v>0.4325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10712237</v>
      </c>
      <c r="C24" s="18">
        <v>8316</v>
      </c>
      <c r="D24" s="19">
        <v>1.1000000000000001</v>
      </c>
      <c r="E24" s="20">
        <v>2.68</v>
      </c>
    </row>
    <row r="25" spans="1:5" ht="16.5" customHeight="1" x14ac:dyDescent="0.3">
      <c r="A25" s="17">
        <v>2</v>
      </c>
      <c r="B25" s="18">
        <v>10710060</v>
      </c>
      <c r="C25" s="18">
        <v>8309.5</v>
      </c>
      <c r="D25" s="19">
        <v>1.1000000000000001</v>
      </c>
      <c r="E25" s="19">
        <v>2.68</v>
      </c>
    </row>
    <row r="26" spans="1:5" ht="16.5" customHeight="1" x14ac:dyDescent="0.3">
      <c r="A26" s="17">
        <v>3</v>
      </c>
      <c r="B26" s="18">
        <v>10711877</v>
      </c>
      <c r="C26" s="18">
        <v>8321</v>
      </c>
      <c r="D26" s="19">
        <v>1.1000000000000001</v>
      </c>
      <c r="E26" s="19">
        <v>2.68</v>
      </c>
    </row>
    <row r="27" spans="1:5" ht="16.5" customHeight="1" x14ac:dyDescent="0.3">
      <c r="A27" s="17">
        <v>4</v>
      </c>
      <c r="B27" s="18">
        <v>10711860</v>
      </c>
      <c r="C27" s="18">
        <v>8398.1</v>
      </c>
      <c r="D27" s="19">
        <v>1</v>
      </c>
      <c r="E27" s="19">
        <v>2.6869999999999998</v>
      </c>
    </row>
    <row r="28" spans="1:5" ht="16.5" customHeight="1" x14ac:dyDescent="0.3">
      <c r="A28" s="17">
        <v>5</v>
      </c>
      <c r="B28" s="18">
        <v>10709634</v>
      </c>
      <c r="C28" s="18">
        <v>8367.7000000000007</v>
      </c>
      <c r="D28" s="19">
        <v>1.1000000000000001</v>
      </c>
      <c r="E28" s="19">
        <v>2.68</v>
      </c>
    </row>
    <row r="29" spans="1:5" ht="16.5" customHeight="1" x14ac:dyDescent="0.3">
      <c r="A29" s="17">
        <v>6</v>
      </c>
      <c r="B29" s="21">
        <v>10711142</v>
      </c>
      <c r="C29" s="21">
        <v>8363.2000000000007</v>
      </c>
      <c r="D29" s="22">
        <v>1.1000000000000001</v>
      </c>
      <c r="E29" s="22">
        <v>2.68</v>
      </c>
    </row>
    <row r="30" spans="1:5" ht="16.5" customHeight="1" x14ac:dyDescent="0.3">
      <c r="A30" s="23" t="s">
        <v>18</v>
      </c>
      <c r="B30" s="24">
        <f>AVERAGE(B24:B29)</f>
        <v>10711135</v>
      </c>
      <c r="C30" s="25">
        <f>AVERAGE(C24:C29)</f>
        <v>8345.9166666666661</v>
      </c>
      <c r="D30" s="26">
        <f>AVERAGE(D24:D29)</f>
        <v>1.0833333333333333</v>
      </c>
      <c r="E30" s="26">
        <f>AVERAGE(E24:E29)</f>
        <v>2.6811666666666665</v>
      </c>
    </row>
    <row r="31" spans="1:5" ht="16.5" customHeight="1" x14ac:dyDescent="0.3">
      <c r="A31" s="27" t="s">
        <v>19</v>
      </c>
      <c r="B31" s="28">
        <f>(STDEV(B24:B29)/B30)</f>
        <v>9.9675642676570392E-5</v>
      </c>
      <c r="C31" s="29"/>
      <c r="D31" s="29"/>
      <c r="E31" s="30"/>
    </row>
    <row r="32" spans="1:5" s="731" customFormat="1" ht="16.5" customHeight="1" x14ac:dyDescent="0.3">
      <c r="A32" s="31" t="s">
        <v>20</v>
      </c>
      <c r="B32" s="32">
        <f>COUNT(B24:B29)</f>
        <v>6</v>
      </c>
      <c r="C32" s="33"/>
      <c r="D32" s="54"/>
      <c r="E32" s="35"/>
    </row>
    <row r="33" spans="1:5" s="731" customFormat="1" ht="15.75" customHeight="1" x14ac:dyDescent="0.25">
      <c r="A33" s="53"/>
      <c r="B33" s="53"/>
      <c r="C33" s="53"/>
      <c r="D33" s="53"/>
      <c r="E33" s="53"/>
    </row>
    <row r="34" spans="1:5" s="731" customFormat="1" ht="16.5" customHeight="1" x14ac:dyDescent="0.3">
      <c r="A34" s="5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55"/>
      <c r="B35" s="40" t="s">
        <v>23</v>
      </c>
      <c r="C35" s="39"/>
      <c r="D35" s="39"/>
      <c r="E35" s="39"/>
    </row>
    <row r="36" spans="1:5" ht="16.5" customHeight="1" x14ac:dyDescent="0.3">
      <c r="A36" s="55"/>
      <c r="B36" s="40" t="s">
        <v>24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25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8</v>
      </c>
      <c r="B41" s="12"/>
      <c r="C41" s="53"/>
      <c r="D41" s="53"/>
      <c r="E41" s="53"/>
    </row>
    <row r="42" spans="1:5" ht="16.5" customHeight="1" x14ac:dyDescent="0.3">
      <c r="A42" s="8" t="s">
        <v>10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10712237</v>
      </c>
      <c r="C45" s="18">
        <v>8316</v>
      </c>
      <c r="D45" s="19">
        <v>1.1000000000000001</v>
      </c>
      <c r="E45" s="20">
        <v>2.68</v>
      </c>
    </row>
    <row r="46" spans="1:5" ht="16.5" customHeight="1" x14ac:dyDescent="0.3">
      <c r="A46" s="17">
        <v>2</v>
      </c>
      <c r="B46" s="18">
        <v>10710060</v>
      </c>
      <c r="C46" s="18">
        <v>8309.5</v>
      </c>
      <c r="D46" s="19">
        <v>1.1000000000000001</v>
      </c>
      <c r="E46" s="19">
        <v>2.68</v>
      </c>
    </row>
    <row r="47" spans="1:5" ht="16.5" customHeight="1" x14ac:dyDescent="0.3">
      <c r="A47" s="17">
        <v>3</v>
      </c>
      <c r="B47" s="18">
        <v>10711877</v>
      </c>
      <c r="C47" s="18">
        <v>8321</v>
      </c>
      <c r="D47" s="19">
        <v>1.1000000000000001</v>
      </c>
      <c r="E47" s="19">
        <v>2.68</v>
      </c>
    </row>
    <row r="48" spans="1:5" ht="16.5" customHeight="1" x14ac:dyDescent="0.3">
      <c r="A48" s="17">
        <v>4</v>
      </c>
      <c r="B48" s="18">
        <v>10711860</v>
      </c>
      <c r="C48" s="18">
        <v>8398.1</v>
      </c>
      <c r="D48" s="19">
        <v>1</v>
      </c>
      <c r="E48" s="19">
        <v>2.6869999999999998</v>
      </c>
    </row>
    <row r="49" spans="1:7" ht="16.5" customHeight="1" x14ac:dyDescent="0.3">
      <c r="A49" s="17">
        <v>5</v>
      </c>
      <c r="B49" s="18">
        <v>10709634</v>
      </c>
      <c r="C49" s="18">
        <v>8367.7000000000007</v>
      </c>
      <c r="D49" s="19">
        <v>1.1000000000000001</v>
      </c>
      <c r="E49" s="19">
        <v>2.68</v>
      </c>
    </row>
    <row r="50" spans="1:7" ht="16.5" customHeight="1" x14ac:dyDescent="0.3">
      <c r="A50" s="17">
        <v>6</v>
      </c>
      <c r="B50" s="21">
        <v>10711142</v>
      </c>
      <c r="C50" s="21">
        <v>8363.2000000000007</v>
      </c>
      <c r="D50" s="22">
        <v>1.1000000000000001</v>
      </c>
      <c r="E50" s="22">
        <v>2.68</v>
      </c>
    </row>
    <row r="51" spans="1:7" ht="16.5" customHeight="1" x14ac:dyDescent="0.3">
      <c r="A51" s="23" t="s">
        <v>18</v>
      </c>
      <c r="B51" s="24">
        <f>AVERAGE(B45:B50)</f>
        <v>10711135</v>
      </c>
      <c r="C51" s="25">
        <f>AVERAGE(C45:C50)</f>
        <v>8345.9166666666661</v>
      </c>
      <c r="D51" s="26">
        <f>AVERAGE(D45:D50)</f>
        <v>1.0833333333333333</v>
      </c>
      <c r="E51" s="26">
        <f>AVERAGE(E45:E50)</f>
        <v>2.6811666666666665</v>
      </c>
    </row>
    <row r="52" spans="1:7" ht="16.5" customHeight="1" x14ac:dyDescent="0.3">
      <c r="A52" s="27" t="s">
        <v>19</v>
      </c>
      <c r="B52" s="28">
        <f>(STDEV(B45:B50)/B51)</f>
        <v>9.9675642676570392E-5</v>
      </c>
      <c r="C52" s="29"/>
      <c r="D52" s="29"/>
      <c r="E52" s="30"/>
    </row>
    <row r="53" spans="1:7" s="731" customFormat="1" ht="16.5" customHeight="1" x14ac:dyDescent="0.3">
      <c r="A53" s="31" t="s">
        <v>20</v>
      </c>
      <c r="B53" s="32">
        <f>COUNT(B45:B50)</f>
        <v>6</v>
      </c>
      <c r="C53" s="33"/>
      <c r="D53" s="54"/>
      <c r="E53" s="35"/>
    </row>
    <row r="54" spans="1:7" s="731" customFormat="1" ht="15.75" customHeight="1" x14ac:dyDescent="0.25">
      <c r="A54" s="53"/>
      <c r="B54" s="53"/>
      <c r="C54" s="53"/>
      <c r="D54" s="53"/>
      <c r="E54" s="53"/>
    </row>
    <row r="55" spans="1:7" s="731" customFormat="1" ht="16.5" customHeight="1" x14ac:dyDescent="0.3">
      <c r="A55" s="5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55"/>
      <c r="B56" s="40" t="s">
        <v>23</v>
      </c>
      <c r="C56" s="39"/>
      <c r="D56" s="39"/>
      <c r="E56" s="39"/>
    </row>
    <row r="57" spans="1:7" ht="16.5" customHeight="1" x14ac:dyDescent="0.3">
      <c r="A57" s="5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655"/>
      <c r="D58" s="43"/>
      <c r="F58" s="44"/>
      <c r="G58" s="44"/>
    </row>
    <row r="59" spans="1:7" ht="15" customHeight="1" x14ac:dyDescent="0.3">
      <c r="B59" s="833" t="s">
        <v>26</v>
      </c>
      <c r="C59" s="833"/>
      <c r="E59" s="785" t="s">
        <v>27</v>
      </c>
      <c r="F59" s="46"/>
      <c r="G59" s="78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5" zoomScaleNormal="40" zoomScalePageLayoutView="55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42" t="s">
        <v>45</v>
      </c>
      <c r="B1" s="842"/>
      <c r="C1" s="842"/>
      <c r="D1" s="842"/>
      <c r="E1" s="842"/>
      <c r="F1" s="842"/>
      <c r="G1" s="842"/>
      <c r="H1" s="842"/>
      <c r="I1" s="842"/>
    </row>
    <row r="2" spans="1:9" ht="18.75" customHeight="1" x14ac:dyDescent="0.25">
      <c r="A2" s="842"/>
      <c r="B2" s="842"/>
      <c r="C2" s="842"/>
      <c r="D2" s="842"/>
      <c r="E2" s="842"/>
      <c r="F2" s="842"/>
      <c r="G2" s="842"/>
      <c r="H2" s="842"/>
      <c r="I2" s="842"/>
    </row>
    <row r="3" spans="1:9" ht="18.75" customHeight="1" x14ac:dyDescent="0.25">
      <c r="A3" s="842"/>
      <c r="B3" s="842"/>
      <c r="C3" s="842"/>
      <c r="D3" s="842"/>
      <c r="E3" s="842"/>
      <c r="F3" s="842"/>
      <c r="G3" s="842"/>
      <c r="H3" s="842"/>
      <c r="I3" s="842"/>
    </row>
    <row r="4" spans="1:9" ht="18.75" customHeight="1" x14ac:dyDescent="0.25">
      <c r="A4" s="842"/>
      <c r="B4" s="842"/>
      <c r="C4" s="842"/>
      <c r="D4" s="842"/>
      <c r="E4" s="842"/>
      <c r="F4" s="842"/>
      <c r="G4" s="842"/>
      <c r="H4" s="842"/>
      <c r="I4" s="842"/>
    </row>
    <row r="5" spans="1:9" ht="18.75" customHeight="1" x14ac:dyDescent="0.25">
      <c r="A5" s="842"/>
      <c r="B5" s="842"/>
      <c r="C5" s="842"/>
      <c r="D5" s="842"/>
      <c r="E5" s="842"/>
      <c r="F5" s="842"/>
      <c r="G5" s="842"/>
      <c r="H5" s="842"/>
      <c r="I5" s="842"/>
    </row>
    <row r="6" spans="1:9" ht="18.75" customHeight="1" x14ac:dyDescent="0.25">
      <c r="A6" s="842"/>
      <c r="B6" s="842"/>
      <c r="C6" s="842"/>
      <c r="D6" s="842"/>
      <c r="E6" s="842"/>
      <c r="F6" s="842"/>
      <c r="G6" s="842"/>
      <c r="H6" s="842"/>
      <c r="I6" s="842"/>
    </row>
    <row r="7" spans="1:9" ht="18.75" customHeight="1" x14ac:dyDescent="0.25">
      <c r="A7" s="842"/>
      <c r="B7" s="842"/>
      <c r="C7" s="842"/>
      <c r="D7" s="842"/>
      <c r="E7" s="842"/>
      <c r="F7" s="842"/>
      <c r="G7" s="842"/>
      <c r="H7" s="842"/>
      <c r="I7" s="842"/>
    </row>
    <row r="8" spans="1:9" x14ac:dyDescent="0.25">
      <c r="A8" s="843" t="s">
        <v>46</v>
      </c>
      <c r="B8" s="843"/>
      <c r="C8" s="843"/>
      <c r="D8" s="843"/>
      <c r="E8" s="843"/>
      <c r="F8" s="843"/>
      <c r="G8" s="843"/>
      <c r="H8" s="843"/>
      <c r="I8" s="843"/>
    </row>
    <row r="9" spans="1:9" x14ac:dyDescent="0.25">
      <c r="A9" s="843"/>
      <c r="B9" s="843"/>
      <c r="C9" s="843"/>
      <c r="D9" s="843"/>
      <c r="E9" s="843"/>
      <c r="F9" s="843"/>
      <c r="G9" s="843"/>
      <c r="H9" s="843"/>
      <c r="I9" s="843"/>
    </row>
    <row r="10" spans="1:9" x14ac:dyDescent="0.25">
      <c r="A10" s="843"/>
      <c r="B10" s="843"/>
      <c r="C10" s="843"/>
      <c r="D10" s="843"/>
      <c r="E10" s="843"/>
      <c r="F10" s="843"/>
      <c r="G10" s="843"/>
      <c r="H10" s="843"/>
      <c r="I10" s="843"/>
    </row>
    <row r="11" spans="1:9" x14ac:dyDescent="0.25">
      <c r="A11" s="843"/>
      <c r="B11" s="843"/>
      <c r="C11" s="843"/>
      <c r="D11" s="843"/>
      <c r="E11" s="843"/>
      <c r="F11" s="843"/>
      <c r="G11" s="843"/>
      <c r="H11" s="843"/>
      <c r="I11" s="843"/>
    </row>
    <row r="12" spans="1:9" x14ac:dyDescent="0.25">
      <c r="A12" s="843"/>
      <c r="B12" s="843"/>
      <c r="C12" s="843"/>
      <c r="D12" s="843"/>
      <c r="E12" s="843"/>
      <c r="F12" s="843"/>
      <c r="G12" s="843"/>
      <c r="H12" s="843"/>
      <c r="I12" s="843"/>
    </row>
    <row r="13" spans="1:9" x14ac:dyDescent="0.25">
      <c r="A13" s="843"/>
      <c r="B13" s="843"/>
      <c r="C13" s="843"/>
      <c r="D13" s="843"/>
      <c r="E13" s="843"/>
      <c r="F13" s="843"/>
      <c r="G13" s="843"/>
      <c r="H13" s="843"/>
      <c r="I13" s="843"/>
    </row>
    <row r="14" spans="1:9" x14ac:dyDescent="0.25">
      <c r="A14" s="843"/>
      <c r="B14" s="843"/>
      <c r="C14" s="843"/>
      <c r="D14" s="843"/>
      <c r="E14" s="843"/>
      <c r="F14" s="843"/>
      <c r="G14" s="843"/>
      <c r="H14" s="843"/>
      <c r="I14" s="843"/>
    </row>
    <row r="15" spans="1:9" ht="19.5" customHeight="1" x14ac:dyDescent="0.3">
      <c r="A15" s="421"/>
    </row>
    <row r="16" spans="1:9" ht="19.5" customHeight="1" x14ac:dyDescent="0.3">
      <c r="A16" s="876" t="s">
        <v>31</v>
      </c>
      <c r="B16" s="877"/>
      <c r="C16" s="877"/>
      <c r="D16" s="877"/>
      <c r="E16" s="877"/>
      <c r="F16" s="877"/>
      <c r="G16" s="877"/>
      <c r="H16" s="878"/>
    </row>
    <row r="17" spans="1:14" ht="20.25" customHeight="1" x14ac:dyDescent="0.25">
      <c r="A17" s="879" t="s">
        <v>47</v>
      </c>
      <c r="B17" s="879"/>
      <c r="C17" s="879"/>
      <c r="D17" s="879"/>
      <c r="E17" s="879"/>
      <c r="F17" s="879"/>
      <c r="G17" s="879"/>
      <c r="H17" s="879"/>
    </row>
    <row r="18" spans="1:14" ht="26.25" customHeight="1" x14ac:dyDescent="0.4">
      <c r="A18" s="423" t="s">
        <v>33</v>
      </c>
      <c r="B18" s="875" t="s">
        <v>5</v>
      </c>
      <c r="C18" s="875"/>
      <c r="D18" s="589"/>
      <c r="E18" s="424"/>
      <c r="F18" s="425"/>
      <c r="G18" s="425"/>
      <c r="H18" s="425"/>
    </row>
    <row r="19" spans="1:14" ht="26.25" customHeight="1" x14ac:dyDescent="0.4">
      <c r="A19" s="423" t="s">
        <v>34</v>
      </c>
      <c r="B19" s="426" t="s">
        <v>7</v>
      </c>
      <c r="C19" s="602">
        <v>29</v>
      </c>
      <c r="D19" s="425"/>
      <c r="E19" s="425"/>
      <c r="F19" s="425"/>
      <c r="G19" s="425"/>
      <c r="H19" s="425"/>
    </row>
    <row r="20" spans="1:14" ht="26.25" customHeight="1" x14ac:dyDescent="0.4">
      <c r="A20" s="423" t="s">
        <v>35</v>
      </c>
      <c r="B20" s="880" t="s">
        <v>9</v>
      </c>
      <c r="C20" s="880"/>
      <c r="D20" s="425"/>
      <c r="E20" s="425"/>
      <c r="F20" s="425"/>
      <c r="G20" s="425"/>
      <c r="H20" s="425"/>
    </row>
    <row r="21" spans="1:14" ht="26.25" customHeight="1" x14ac:dyDescent="0.4">
      <c r="A21" s="423" t="s">
        <v>36</v>
      </c>
      <c r="B21" s="880" t="s">
        <v>11</v>
      </c>
      <c r="C21" s="880"/>
      <c r="D21" s="880"/>
      <c r="E21" s="880"/>
      <c r="F21" s="880"/>
      <c r="G21" s="880"/>
      <c r="H21" s="880"/>
      <c r="I21" s="427"/>
    </row>
    <row r="22" spans="1:14" ht="26.25" customHeight="1" x14ac:dyDescent="0.4">
      <c r="A22" s="423" t="s">
        <v>37</v>
      </c>
      <c r="B22" s="428" t="s">
        <v>12</v>
      </c>
      <c r="C22" s="425"/>
      <c r="D22" s="425"/>
      <c r="E22" s="425"/>
      <c r="F22" s="425"/>
      <c r="G22" s="425"/>
      <c r="H22" s="425"/>
    </row>
    <row r="23" spans="1:14" ht="26.25" customHeight="1" x14ac:dyDescent="0.4">
      <c r="A23" s="423" t="s">
        <v>38</v>
      </c>
      <c r="B23" s="428"/>
      <c r="C23" s="425"/>
      <c r="D23" s="425"/>
      <c r="E23" s="425"/>
      <c r="F23" s="425"/>
      <c r="G23" s="425"/>
      <c r="H23" s="425"/>
    </row>
    <row r="24" spans="1:14" ht="18.75" x14ac:dyDescent="0.3">
      <c r="A24" s="423"/>
      <c r="B24" s="429"/>
    </row>
    <row r="25" spans="1:14" ht="18.75" x14ac:dyDescent="0.3">
      <c r="A25" s="430" t="s">
        <v>1</v>
      </c>
      <c r="B25" s="429"/>
    </row>
    <row r="26" spans="1:14" ht="26.25" customHeight="1" x14ac:dyDescent="0.4">
      <c r="A26" s="431" t="s">
        <v>4</v>
      </c>
      <c r="B26" s="875" t="s">
        <v>127</v>
      </c>
      <c r="C26" s="875"/>
    </row>
    <row r="27" spans="1:14" ht="26.25" customHeight="1" x14ac:dyDescent="0.4">
      <c r="A27" s="432" t="s">
        <v>48</v>
      </c>
      <c r="B27" s="873" t="s">
        <v>132</v>
      </c>
      <c r="C27" s="873"/>
    </row>
    <row r="28" spans="1:14" ht="27" customHeight="1" x14ac:dyDescent="0.4">
      <c r="A28" s="432" t="s">
        <v>6</v>
      </c>
      <c r="B28" s="433">
        <v>99.5</v>
      </c>
    </row>
    <row r="29" spans="1:14" s="14" customFormat="1" ht="27" customHeight="1" x14ac:dyDescent="0.4">
      <c r="A29" s="432" t="s">
        <v>49</v>
      </c>
      <c r="B29" s="434">
        <v>0</v>
      </c>
      <c r="C29" s="850" t="s">
        <v>50</v>
      </c>
      <c r="D29" s="851"/>
      <c r="E29" s="851"/>
      <c r="F29" s="851"/>
      <c r="G29" s="852"/>
      <c r="I29" s="435"/>
      <c r="J29" s="435"/>
      <c r="K29" s="435"/>
      <c r="L29" s="435"/>
    </row>
    <row r="30" spans="1:14" s="14" customFormat="1" ht="19.5" customHeight="1" x14ac:dyDescent="0.3">
      <c r="A30" s="432" t="s">
        <v>51</v>
      </c>
      <c r="B30" s="436">
        <f>B28-B29</f>
        <v>99.5</v>
      </c>
      <c r="C30" s="437"/>
      <c r="D30" s="437"/>
      <c r="E30" s="437"/>
      <c r="F30" s="437"/>
      <c r="G30" s="438"/>
      <c r="I30" s="435"/>
      <c r="J30" s="435"/>
      <c r="K30" s="435"/>
      <c r="L30" s="435"/>
    </row>
    <row r="31" spans="1:14" s="14" customFormat="1" ht="27" customHeight="1" x14ac:dyDescent="0.4">
      <c r="A31" s="432" t="s">
        <v>52</v>
      </c>
      <c r="B31" s="439">
        <v>1</v>
      </c>
      <c r="C31" s="853" t="s">
        <v>53</v>
      </c>
      <c r="D31" s="854"/>
      <c r="E31" s="854"/>
      <c r="F31" s="854"/>
      <c r="G31" s="854"/>
      <c r="H31" s="855"/>
      <c r="I31" s="435"/>
      <c r="J31" s="435"/>
      <c r="K31" s="435"/>
      <c r="L31" s="435"/>
    </row>
    <row r="32" spans="1:14" s="14" customFormat="1" ht="27" customHeight="1" x14ac:dyDescent="0.4">
      <c r="A32" s="432" t="s">
        <v>54</v>
      </c>
      <c r="B32" s="439">
        <v>1</v>
      </c>
      <c r="C32" s="853" t="s">
        <v>55</v>
      </c>
      <c r="D32" s="854"/>
      <c r="E32" s="854"/>
      <c r="F32" s="854"/>
      <c r="G32" s="854"/>
      <c r="H32" s="855"/>
      <c r="I32" s="435"/>
      <c r="J32" s="435"/>
      <c r="K32" s="435"/>
      <c r="L32" s="440"/>
      <c r="M32" s="440"/>
      <c r="N32" s="441"/>
    </row>
    <row r="33" spans="1:14" s="14" customFormat="1" ht="17.25" customHeight="1" x14ac:dyDescent="0.3">
      <c r="A33" s="432"/>
      <c r="B33" s="442"/>
      <c r="C33" s="443"/>
      <c r="D33" s="443"/>
      <c r="E33" s="443"/>
      <c r="F33" s="443"/>
      <c r="G33" s="443"/>
      <c r="H33" s="443"/>
      <c r="I33" s="435"/>
      <c r="J33" s="435"/>
      <c r="K33" s="435"/>
      <c r="L33" s="440"/>
      <c r="M33" s="440"/>
      <c r="N33" s="441"/>
    </row>
    <row r="34" spans="1:14" s="14" customFormat="1" ht="18.75" x14ac:dyDescent="0.3">
      <c r="A34" s="432" t="s">
        <v>56</v>
      </c>
      <c r="B34" s="444">
        <f>B31/B32</f>
        <v>1</v>
      </c>
      <c r="C34" s="422" t="s">
        <v>57</v>
      </c>
      <c r="D34" s="422"/>
      <c r="E34" s="422"/>
      <c r="F34" s="422"/>
      <c r="G34" s="422"/>
      <c r="I34" s="435"/>
      <c r="J34" s="435"/>
      <c r="K34" s="435"/>
      <c r="L34" s="440"/>
      <c r="M34" s="440"/>
      <c r="N34" s="441"/>
    </row>
    <row r="35" spans="1:14" s="14" customFormat="1" ht="19.5" customHeight="1" x14ac:dyDescent="0.3">
      <c r="A35" s="432"/>
      <c r="B35" s="436"/>
      <c r="G35" s="422"/>
      <c r="I35" s="435"/>
      <c r="J35" s="435"/>
      <c r="K35" s="435"/>
      <c r="L35" s="440"/>
      <c r="M35" s="440"/>
      <c r="N35" s="441"/>
    </row>
    <row r="36" spans="1:14" s="14" customFormat="1" ht="27" customHeight="1" x14ac:dyDescent="0.4">
      <c r="A36" s="445" t="s">
        <v>58</v>
      </c>
      <c r="B36" s="446">
        <v>100</v>
      </c>
      <c r="C36" s="422"/>
      <c r="D36" s="856" t="s">
        <v>59</v>
      </c>
      <c r="E36" s="874"/>
      <c r="F36" s="856" t="s">
        <v>60</v>
      </c>
      <c r="G36" s="857"/>
      <c r="J36" s="435"/>
      <c r="K36" s="435"/>
      <c r="L36" s="440"/>
      <c r="M36" s="440"/>
      <c r="N36" s="441"/>
    </row>
    <row r="37" spans="1:14" s="14" customFormat="1" ht="27" customHeight="1" x14ac:dyDescent="0.4">
      <c r="A37" s="447" t="s">
        <v>61</v>
      </c>
      <c r="B37" s="448">
        <v>1</v>
      </c>
      <c r="C37" s="449" t="s">
        <v>62</v>
      </c>
      <c r="D37" s="450" t="s">
        <v>63</v>
      </c>
      <c r="E37" s="451" t="s">
        <v>64</v>
      </c>
      <c r="F37" s="450" t="s">
        <v>63</v>
      </c>
      <c r="G37" s="452" t="s">
        <v>64</v>
      </c>
      <c r="I37" s="453" t="s">
        <v>65</v>
      </c>
      <c r="J37" s="435"/>
      <c r="K37" s="435"/>
      <c r="L37" s="440"/>
      <c r="M37" s="440"/>
      <c r="N37" s="441"/>
    </row>
    <row r="38" spans="1:14" s="14" customFormat="1" ht="26.25" customHeight="1" x14ac:dyDescent="0.4">
      <c r="A38" s="447" t="s">
        <v>66</v>
      </c>
      <c r="B38" s="448">
        <v>1</v>
      </c>
      <c r="C38" s="454">
        <v>1</v>
      </c>
      <c r="D38" s="455">
        <v>10711068</v>
      </c>
      <c r="E38" s="456">
        <f>IF(ISBLANK(D38),"-",$D$48/$D$45*D38)</f>
        <v>10702667.650390683</v>
      </c>
      <c r="F38" s="455">
        <v>10217238</v>
      </c>
      <c r="G38" s="457">
        <f>IF(ISBLANK(F38),"-",$D$48/$F$45*F38)</f>
        <v>10688670.513059122</v>
      </c>
      <c r="I38" s="458"/>
      <c r="J38" s="435"/>
      <c r="K38" s="435"/>
      <c r="L38" s="440"/>
      <c r="M38" s="440"/>
      <c r="N38" s="441"/>
    </row>
    <row r="39" spans="1:14" s="14" customFormat="1" ht="26.25" customHeight="1" x14ac:dyDescent="0.4">
      <c r="A39" s="447" t="s">
        <v>67</v>
      </c>
      <c r="B39" s="448">
        <v>1</v>
      </c>
      <c r="C39" s="459">
        <v>2</v>
      </c>
      <c r="D39" s="460">
        <v>10714601</v>
      </c>
      <c r="E39" s="461">
        <f>IF(ISBLANK(D39),"-",$D$48/$D$45*D39)</f>
        <v>10706197.879571268</v>
      </c>
      <c r="F39" s="460">
        <v>10221231</v>
      </c>
      <c r="G39" s="462">
        <f>IF(ISBLANK(F39),"-",$D$48/$F$45*F39)</f>
        <v>10692847.753655715</v>
      </c>
      <c r="I39" s="858">
        <f>ABS((F43/D43*D42)-F42)/D42</f>
        <v>1.2912287606124812E-3</v>
      </c>
      <c r="J39" s="435"/>
      <c r="K39" s="435"/>
      <c r="L39" s="440"/>
      <c r="M39" s="440"/>
      <c r="N39" s="441"/>
    </row>
    <row r="40" spans="1:14" ht="26.25" customHeight="1" x14ac:dyDescent="0.4">
      <c r="A40" s="447" t="s">
        <v>68</v>
      </c>
      <c r="B40" s="448">
        <v>1</v>
      </c>
      <c r="C40" s="459">
        <v>3</v>
      </c>
      <c r="D40" s="460">
        <v>10712043</v>
      </c>
      <c r="E40" s="461">
        <f>IF(ISBLANK(D40),"-",$D$48/$D$45*D40)</f>
        <v>10703641.885729225</v>
      </c>
      <c r="F40" s="460">
        <v>10216193</v>
      </c>
      <c r="G40" s="462">
        <f>IF(ISBLANK(F40),"-",$D$48/$F$45*F40)</f>
        <v>10687577.295823099</v>
      </c>
      <c r="I40" s="858"/>
      <c r="L40" s="440"/>
      <c r="M40" s="440"/>
      <c r="N40" s="463"/>
    </row>
    <row r="41" spans="1:14" ht="27" customHeight="1" x14ac:dyDescent="0.4">
      <c r="A41" s="447" t="s">
        <v>69</v>
      </c>
      <c r="B41" s="448">
        <v>1</v>
      </c>
      <c r="C41" s="464">
        <v>4</v>
      </c>
      <c r="D41" s="465"/>
      <c r="E41" s="466" t="str">
        <f>IF(ISBLANK(D41),"-",$D$48/$D$45*D41)</f>
        <v>-</v>
      </c>
      <c r="F41" s="465"/>
      <c r="G41" s="467" t="str">
        <f>IF(ISBLANK(F41),"-",$D$48/$F$45*F41)</f>
        <v>-</v>
      </c>
      <c r="I41" s="468"/>
      <c r="L41" s="440"/>
      <c r="M41" s="440"/>
      <c r="N41" s="463"/>
    </row>
    <row r="42" spans="1:14" ht="27" customHeight="1" x14ac:dyDescent="0.4">
      <c r="A42" s="447" t="s">
        <v>70</v>
      </c>
      <c r="B42" s="448">
        <v>1</v>
      </c>
      <c r="C42" s="469" t="s">
        <v>71</v>
      </c>
      <c r="D42" s="470">
        <f>AVERAGE(D38:D41)</f>
        <v>10712570.666666666</v>
      </c>
      <c r="E42" s="471">
        <f>AVERAGE(E38:E41)</f>
        <v>10704169.138563724</v>
      </c>
      <c r="F42" s="470">
        <f>AVERAGE(F38:F41)</f>
        <v>10218220.666666666</v>
      </c>
      <c r="G42" s="472">
        <f>AVERAGE(G38:G41)</f>
        <v>10689698.520845979</v>
      </c>
      <c r="H42" s="473"/>
    </row>
    <row r="43" spans="1:14" ht="26.25" customHeight="1" x14ac:dyDescent="0.4">
      <c r="A43" s="447" t="s">
        <v>72</v>
      </c>
      <c r="B43" s="448">
        <v>1</v>
      </c>
      <c r="C43" s="474" t="s">
        <v>73</v>
      </c>
      <c r="D43" s="475">
        <v>43.25</v>
      </c>
      <c r="E43" s="463"/>
      <c r="F43" s="475">
        <v>41.31</v>
      </c>
      <c r="H43" s="473"/>
    </row>
    <row r="44" spans="1:14" ht="26.25" customHeight="1" x14ac:dyDescent="0.4">
      <c r="A44" s="447" t="s">
        <v>74</v>
      </c>
      <c r="B44" s="448">
        <v>1</v>
      </c>
      <c r="C44" s="476" t="s">
        <v>75</v>
      </c>
      <c r="D44" s="477">
        <f>D43*$B$34</f>
        <v>43.25</v>
      </c>
      <c r="E44" s="478"/>
      <c r="F44" s="477">
        <f>F43*$B$34</f>
        <v>41.31</v>
      </c>
      <c r="H44" s="473"/>
    </row>
    <row r="45" spans="1:14" ht="19.5" customHeight="1" x14ac:dyDescent="0.3">
      <c r="A45" s="447" t="s">
        <v>76</v>
      </c>
      <c r="B45" s="479">
        <f>(B44/B43)*(B42/B41)*(B40/B39)*(B38/B37)*B36</f>
        <v>100</v>
      </c>
      <c r="C45" s="476" t="s">
        <v>77</v>
      </c>
      <c r="D45" s="480">
        <f>D44*$B$30/100</f>
        <v>43.033749999999998</v>
      </c>
      <c r="E45" s="481"/>
      <c r="F45" s="480">
        <f>F44*$B$30/100</f>
        <v>41.103450000000002</v>
      </c>
      <c r="H45" s="473"/>
    </row>
    <row r="46" spans="1:14" ht="19.5" customHeight="1" x14ac:dyDescent="0.3">
      <c r="A46" s="844" t="s">
        <v>78</v>
      </c>
      <c r="B46" s="845"/>
      <c r="C46" s="476" t="s">
        <v>79</v>
      </c>
      <c r="D46" s="482">
        <f>D45/$B$45</f>
        <v>0.43033749999999998</v>
      </c>
      <c r="E46" s="483"/>
      <c r="F46" s="484">
        <f>F45/$B$45</f>
        <v>0.41103450000000002</v>
      </c>
      <c r="H46" s="473"/>
    </row>
    <row r="47" spans="1:14" ht="27" customHeight="1" x14ac:dyDescent="0.4">
      <c r="A47" s="846"/>
      <c r="B47" s="847"/>
      <c r="C47" s="485" t="s">
        <v>80</v>
      </c>
      <c r="D47" s="486">
        <v>0.43</v>
      </c>
      <c r="E47" s="487"/>
      <c r="F47" s="483"/>
      <c r="H47" s="473"/>
    </row>
    <row r="48" spans="1:14" ht="18.75" x14ac:dyDescent="0.3">
      <c r="C48" s="488" t="s">
        <v>81</v>
      </c>
      <c r="D48" s="480">
        <f>D47*$B$45</f>
        <v>43</v>
      </c>
      <c r="F48" s="489"/>
      <c r="H48" s="473"/>
    </row>
    <row r="49" spans="1:12" ht="19.5" customHeight="1" x14ac:dyDescent="0.3">
      <c r="C49" s="490" t="s">
        <v>82</v>
      </c>
      <c r="D49" s="491">
        <f>D48/B34</f>
        <v>43</v>
      </c>
      <c r="F49" s="489"/>
      <c r="H49" s="473"/>
    </row>
    <row r="50" spans="1:12" ht="18.75" x14ac:dyDescent="0.3">
      <c r="C50" s="445" t="s">
        <v>83</v>
      </c>
      <c r="D50" s="492">
        <f>AVERAGE(E38:E41,G38:G41)</f>
        <v>10696933.829704853</v>
      </c>
      <c r="F50" s="493"/>
      <c r="H50" s="473"/>
    </row>
    <row r="51" spans="1:12" ht="18.75" x14ac:dyDescent="0.3">
      <c r="C51" s="447" t="s">
        <v>84</v>
      </c>
      <c r="D51" s="494">
        <f>STDEV(E38:E41,G38:G41)/D50</f>
        <v>7.6659815742777476E-4</v>
      </c>
      <c r="F51" s="493"/>
      <c r="H51" s="473"/>
    </row>
    <row r="52" spans="1:12" ht="19.5" customHeight="1" x14ac:dyDescent="0.3">
      <c r="C52" s="495" t="s">
        <v>20</v>
      </c>
      <c r="D52" s="496">
        <f>COUNT(E38:E41,G38:G41)</f>
        <v>6</v>
      </c>
      <c r="F52" s="493"/>
    </row>
    <row r="54" spans="1:12" ht="18.75" x14ac:dyDescent="0.3">
      <c r="A54" s="497" t="s">
        <v>1</v>
      </c>
      <c r="B54" s="498" t="s">
        <v>85</v>
      </c>
    </row>
    <row r="55" spans="1:12" ht="18.75" x14ac:dyDescent="0.3">
      <c r="A55" s="422" t="s">
        <v>86</v>
      </c>
      <c r="B55" s="499" t="str">
        <f>B21</f>
        <v>RIFAMPICIN 150mg, ISONIAZID 75mg, PYRAZINAMIDE 400mg &amp; ETHAMBUTOL HCl 275mg</v>
      </c>
    </row>
    <row r="56" spans="1:12" ht="26.25" customHeight="1" x14ac:dyDescent="0.4">
      <c r="A56" s="500" t="s">
        <v>87</v>
      </c>
      <c r="B56" s="501">
        <v>400</v>
      </c>
      <c r="C56" s="422" t="str">
        <f>B20</f>
        <v>RIFAMPICIN, ISONIAZID, PYRAZINAMIDE &amp; ETHAMBUTOL HCl</v>
      </c>
      <c r="H56" s="502"/>
    </row>
    <row r="57" spans="1:12" ht="18.75" x14ac:dyDescent="0.3">
      <c r="A57" s="499" t="s">
        <v>88</v>
      </c>
      <c r="B57" s="590">
        <f>Rifampicin!B57</f>
        <v>1056.2924999999998</v>
      </c>
      <c r="H57" s="502"/>
    </row>
    <row r="58" spans="1:12" ht="19.5" customHeight="1" x14ac:dyDescent="0.3">
      <c r="H58" s="502"/>
    </row>
    <row r="59" spans="1:12" s="14" customFormat="1" ht="27" customHeight="1" x14ac:dyDescent="0.4">
      <c r="A59" s="445" t="s">
        <v>89</v>
      </c>
      <c r="B59" s="446">
        <v>200</v>
      </c>
      <c r="C59" s="422"/>
      <c r="D59" s="503" t="s">
        <v>90</v>
      </c>
      <c r="E59" s="504" t="s">
        <v>62</v>
      </c>
      <c r="F59" s="504" t="s">
        <v>63</v>
      </c>
      <c r="G59" s="504" t="s">
        <v>91</v>
      </c>
      <c r="H59" s="449" t="s">
        <v>92</v>
      </c>
      <c r="L59" s="435"/>
    </row>
    <row r="60" spans="1:12" s="14" customFormat="1" ht="26.25" customHeight="1" x14ac:dyDescent="0.4">
      <c r="A60" s="447" t="s">
        <v>93</v>
      </c>
      <c r="B60" s="448">
        <v>4</v>
      </c>
      <c r="C60" s="861" t="s">
        <v>94</v>
      </c>
      <c r="D60" s="864">
        <f>Isoniazid!D60</f>
        <v>1063</v>
      </c>
      <c r="E60" s="505">
        <v>1</v>
      </c>
      <c r="F60" s="506">
        <v>9934447</v>
      </c>
      <c r="G60" s="591">
        <f>IF(ISBLANK(F60),"-",(F60/$D$50*$D$47*$B$68)*($B$57/$D$60))</f>
        <v>396.82934035978445</v>
      </c>
      <c r="H60" s="507">
        <f t="shared" ref="H60:H71" si="0">IF(ISBLANK(F60),"-",G60/$B$56)</f>
        <v>0.99207335089946114</v>
      </c>
      <c r="L60" s="435"/>
    </row>
    <row r="61" spans="1:12" s="14" customFormat="1" ht="26.25" customHeight="1" x14ac:dyDescent="0.4">
      <c r="A61" s="447" t="s">
        <v>95</v>
      </c>
      <c r="B61" s="448">
        <v>20</v>
      </c>
      <c r="C61" s="862"/>
      <c r="D61" s="865"/>
      <c r="E61" s="508">
        <v>2</v>
      </c>
      <c r="F61" s="460">
        <v>9925224</v>
      </c>
      <c r="G61" s="592">
        <f>IF(ISBLANK(F61),"-",(F61/$D$50*$D$47*$B$68)*($B$57/$D$60))</f>
        <v>396.46092961622344</v>
      </c>
      <c r="H61" s="509">
        <f t="shared" si="0"/>
        <v>0.99115232404055864</v>
      </c>
      <c r="L61" s="435"/>
    </row>
    <row r="62" spans="1:12" s="14" customFormat="1" ht="26.25" customHeight="1" x14ac:dyDescent="0.4">
      <c r="A62" s="447" t="s">
        <v>96</v>
      </c>
      <c r="B62" s="448">
        <v>1</v>
      </c>
      <c r="C62" s="862"/>
      <c r="D62" s="865"/>
      <c r="E62" s="508">
        <v>3</v>
      </c>
      <c r="F62" s="510">
        <v>9876738</v>
      </c>
      <c r="G62" s="592">
        <f>IF(ISBLANK(F62),"-",(F62/$D$50*$D$47*$B$68)*($B$57/$D$60))</f>
        <v>394.52416681536647</v>
      </c>
      <c r="H62" s="509">
        <f t="shared" si="0"/>
        <v>0.98631041703841615</v>
      </c>
      <c r="L62" s="435"/>
    </row>
    <row r="63" spans="1:12" ht="27" customHeight="1" x14ac:dyDescent="0.4">
      <c r="A63" s="447" t="s">
        <v>97</v>
      </c>
      <c r="B63" s="448">
        <v>1</v>
      </c>
      <c r="C63" s="872"/>
      <c r="D63" s="866"/>
      <c r="E63" s="511">
        <v>4</v>
      </c>
      <c r="F63" s="512"/>
      <c r="G63" s="592" t="str">
        <f>IF(ISBLANK(F63),"-",(F63/$D$50*$D$47*$B$68)*($B$57/$D$60))</f>
        <v>-</v>
      </c>
      <c r="H63" s="509" t="str">
        <f t="shared" si="0"/>
        <v>-</v>
      </c>
    </row>
    <row r="64" spans="1:12" ht="26.25" customHeight="1" x14ac:dyDescent="0.4">
      <c r="A64" s="447" t="s">
        <v>98</v>
      </c>
      <c r="B64" s="448">
        <v>1</v>
      </c>
      <c r="C64" s="861" t="s">
        <v>99</v>
      </c>
      <c r="D64" s="864">
        <f>Isoniazid!D64</f>
        <v>1056.96</v>
      </c>
      <c r="E64" s="505">
        <v>1</v>
      </c>
      <c r="F64" s="506">
        <v>10107342</v>
      </c>
      <c r="G64" s="593">
        <f>IF(ISBLANK(F64),"-",(F64/$D$50*$D$47*$B$68)*($B$57/$D$64))</f>
        <v>406.04274164843463</v>
      </c>
      <c r="H64" s="513">
        <f t="shared" si="0"/>
        <v>1.0151068541210866</v>
      </c>
    </row>
    <row r="65" spans="1:8" ht="26.25" customHeight="1" x14ac:dyDescent="0.4">
      <c r="A65" s="447" t="s">
        <v>100</v>
      </c>
      <c r="B65" s="448">
        <v>1</v>
      </c>
      <c r="C65" s="862"/>
      <c r="D65" s="865"/>
      <c r="E65" s="508">
        <v>2</v>
      </c>
      <c r="F65" s="460">
        <v>10147225</v>
      </c>
      <c r="G65" s="594">
        <f>IF(ISBLANK(F65),"-",(F65/$D$50*$D$47*$B$68)*($B$57/$D$64))</f>
        <v>407.64496334679654</v>
      </c>
      <c r="H65" s="514">
        <f t="shared" si="0"/>
        <v>1.0191124083669914</v>
      </c>
    </row>
    <row r="66" spans="1:8" ht="26.25" customHeight="1" x14ac:dyDescent="0.4">
      <c r="A66" s="447" t="s">
        <v>101</v>
      </c>
      <c r="B66" s="448">
        <v>1</v>
      </c>
      <c r="C66" s="862"/>
      <c r="D66" s="865"/>
      <c r="E66" s="508">
        <v>3</v>
      </c>
      <c r="F66" s="460">
        <v>10111746</v>
      </c>
      <c r="G66" s="594">
        <f>IF(ISBLANK(F66),"-",(F66/$D$50*$D$47*$B$68)*($B$57/$D$64))</f>
        <v>406.21966375458476</v>
      </c>
      <c r="H66" s="514">
        <f t="shared" si="0"/>
        <v>1.0155491593864618</v>
      </c>
    </row>
    <row r="67" spans="1:8" ht="27" customHeight="1" x14ac:dyDescent="0.4">
      <c r="A67" s="447" t="s">
        <v>102</v>
      </c>
      <c r="B67" s="448">
        <v>1</v>
      </c>
      <c r="C67" s="872"/>
      <c r="D67" s="866"/>
      <c r="E67" s="511">
        <v>4</v>
      </c>
      <c r="F67" s="512"/>
      <c r="G67" s="595" t="str">
        <f>IF(ISBLANK(F67),"-",(F67/$D$50*$D$47*$B$68)*($B$57/$D$64))</f>
        <v>-</v>
      </c>
      <c r="H67" s="515" t="str">
        <f t="shared" si="0"/>
        <v>-</v>
      </c>
    </row>
    <row r="68" spans="1:8" ht="26.25" customHeight="1" x14ac:dyDescent="0.4">
      <c r="A68" s="447" t="s">
        <v>103</v>
      </c>
      <c r="B68" s="516">
        <f>(B67/B66)*(B65/B64)*(B63/B62)*(B61/B60)*B59</f>
        <v>1000</v>
      </c>
      <c r="C68" s="861" t="s">
        <v>104</v>
      </c>
      <c r="D68" s="864">
        <f>Isoniazid!D68</f>
        <v>1051.21</v>
      </c>
      <c r="E68" s="505">
        <v>1</v>
      </c>
      <c r="F68" s="506">
        <v>9903339</v>
      </c>
      <c r="G68" s="593">
        <f>IF(ISBLANK(F68),"-",(F68/$D$50*$D$47*$B$68)*($B$57/$D$68))</f>
        <v>400.02349912168114</v>
      </c>
      <c r="H68" s="509">
        <f t="shared" si="0"/>
        <v>1.0000587478042029</v>
      </c>
    </row>
    <row r="69" spans="1:8" ht="27" customHeight="1" x14ac:dyDescent="0.4">
      <c r="A69" s="495" t="s">
        <v>105</v>
      </c>
      <c r="B69" s="517">
        <f>(D47*B68)/B56*B57</f>
        <v>1135.5144374999998</v>
      </c>
      <c r="C69" s="862"/>
      <c r="D69" s="865"/>
      <c r="E69" s="508">
        <v>2</v>
      </c>
      <c r="F69" s="460">
        <v>9895819</v>
      </c>
      <c r="G69" s="594">
        <f>IF(ISBLANK(F69),"-",(F69/$D$50*$D$47*$B$68)*($B$57/$D$68))</f>
        <v>399.71974533587263</v>
      </c>
      <c r="H69" s="509">
        <f t="shared" si="0"/>
        <v>0.99929936333968161</v>
      </c>
    </row>
    <row r="70" spans="1:8" ht="26.25" customHeight="1" x14ac:dyDescent="0.4">
      <c r="A70" s="867" t="s">
        <v>78</v>
      </c>
      <c r="B70" s="868"/>
      <c r="C70" s="862"/>
      <c r="D70" s="865"/>
      <c r="E70" s="508">
        <v>3</v>
      </c>
      <c r="F70" s="460">
        <v>9929133</v>
      </c>
      <c r="G70" s="594">
        <f>IF(ISBLANK(F70),"-",(F70/$D$50*$D$47*$B$68)*($B$57/$D$68))</f>
        <v>401.06539076412059</v>
      </c>
      <c r="H70" s="509">
        <f t="shared" si="0"/>
        <v>1.0026634769103016</v>
      </c>
    </row>
    <row r="71" spans="1:8" ht="27" customHeight="1" x14ac:dyDescent="0.4">
      <c r="A71" s="869"/>
      <c r="B71" s="870"/>
      <c r="C71" s="863"/>
      <c r="D71" s="866"/>
      <c r="E71" s="511">
        <v>4</v>
      </c>
      <c r="F71" s="512"/>
      <c r="G71" s="595" t="str">
        <f>IF(ISBLANK(F71),"-",(F71/$D$50*$D$47*$B$68)*($B$57/$D$68))</f>
        <v>-</v>
      </c>
      <c r="H71" s="518" t="str">
        <f t="shared" si="0"/>
        <v>-</v>
      </c>
    </row>
    <row r="72" spans="1:8" ht="26.25" customHeight="1" x14ac:dyDescent="0.4">
      <c r="A72" s="519"/>
      <c r="B72" s="519"/>
      <c r="C72" s="519"/>
      <c r="D72" s="519"/>
      <c r="E72" s="519"/>
      <c r="F72" s="521" t="s">
        <v>71</v>
      </c>
      <c r="G72" s="600">
        <f>AVERAGE(G60:G71)</f>
        <v>400.94782675142937</v>
      </c>
      <c r="H72" s="522">
        <f>AVERAGE(H60:H71)</f>
        <v>1.0023695668785735</v>
      </c>
    </row>
    <row r="73" spans="1:8" ht="26.25" customHeight="1" x14ac:dyDescent="0.4">
      <c r="C73" s="519"/>
      <c r="D73" s="519"/>
      <c r="E73" s="519"/>
      <c r="F73" s="523" t="s">
        <v>84</v>
      </c>
      <c r="G73" s="596">
        <f>STDEV(G60:G71)/G72</f>
        <v>1.1808668211523968E-2</v>
      </c>
      <c r="H73" s="596">
        <f>STDEV(H60:H71)/H72</f>
        <v>1.1808668211523956E-2</v>
      </c>
    </row>
    <row r="74" spans="1:8" ht="27" customHeight="1" x14ac:dyDescent="0.4">
      <c r="A74" s="519"/>
      <c r="B74" s="519"/>
      <c r="C74" s="520"/>
      <c r="D74" s="520"/>
      <c r="E74" s="524"/>
      <c r="F74" s="525" t="s">
        <v>20</v>
      </c>
      <c r="G74" s="526">
        <f>COUNT(G60:G71)</f>
        <v>9</v>
      </c>
      <c r="H74" s="526">
        <f>COUNT(H60:H71)</f>
        <v>9</v>
      </c>
    </row>
    <row r="76" spans="1:8" ht="26.25" customHeight="1" x14ac:dyDescent="0.4">
      <c r="A76" s="431" t="s">
        <v>106</v>
      </c>
      <c r="B76" s="527" t="s">
        <v>107</v>
      </c>
      <c r="C76" s="848" t="str">
        <f>B20</f>
        <v>RIFAMPICIN, ISONIAZID, PYRAZINAMIDE &amp; ETHAMBUTOL HCl</v>
      </c>
      <c r="D76" s="848"/>
      <c r="E76" s="528" t="s">
        <v>108</v>
      </c>
      <c r="F76" s="528"/>
      <c r="G76" s="529">
        <f>H72</f>
        <v>1.0023695668785735</v>
      </c>
      <c r="H76" s="530"/>
    </row>
    <row r="77" spans="1:8" ht="18.75" x14ac:dyDescent="0.3">
      <c r="A77" s="430" t="s">
        <v>109</v>
      </c>
      <c r="B77" s="430" t="s">
        <v>110</v>
      </c>
    </row>
    <row r="78" spans="1:8" ht="18.75" x14ac:dyDescent="0.3">
      <c r="A78" s="430"/>
      <c r="B78" s="430"/>
    </row>
    <row r="79" spans="1:8" ht="26.25" customHeight="1" x14ac:dyDescent="0.4">
      <c r="A79" s="431" t="s">
        <v>4</v>
      </c>
      <c r="B79" s="871" t="str">
        <f>B26</f>
        <v>PYRAZINAMIDE</v>
      </c>
      <c r="C79" s="871"/>
    </row>
    <row r="80" spans="1:8" ht="26.25" customHeight="1" x14ac:dyDescent="0.4">
      <c r="A80" s="432" t="s">
        <v>48</v>
      </c>
      <c r="B80" s="871" t="str">
        <f>B27</f>
        <v>P19 1</v>
      </c>
      <c r="C80" s="871"/>
    </row>
    <row r="81" spans="1:12" ht="27" customHeight="1" x14ac:dyDescent="0.4">
      <c r="A81" s="432" t="s">
        <v>6</v>
      </c>
      <c r="B81" s="531">
        <f>B28</f>
        <v>99.5</v>
      </c>
    </row>
    <row r="82" spans="1:12" s="14" customFormat="1" ht="27" customHeight="1" x14ac:dyDescent="0.4">
      <c r="A82" s="432" t="s">
        <v>49</v>
      </c>
      <c r="B82" s="434">
        <v>0</v>
      </c>
      <c r="C82" s="850" t="s">
        <v>50</v>
      </c>
      <c r="D82" s="851"/>
      <c r="E82" s="851"/>
      <c r="F82" s="851"/>
      <c r="G82" s="852"/>
      <c r="I82" s="435"/>
      <c r="J82" s="435"/>
      <c r="K82" s="435"/>
      <c r="L82" s="435"/>
    </row>
    <row r="83" spans="1:12" s="14" customFormat="1" ht="19.5" customHeight="1" x14ac:dyDescent="0.3">
      <c r="A83" s="432" t="s">
        <v>51</v>
      </c>
      <c r="B83" s="436">
        <f>B81-B82</f>
        <v>99.5</v>
      </c>
      <c r="C83" s="437"/>
      <c r="D83" s="437"/>
      <c r="E83" s="437"/>
      <c r="F83" s="437"/>
      <c r="G83" s="438"/>
      <c r="I83" s="435"/>
      <c r="J83" s="435"/>
      <c r="K83" s="435"/>
      <c r="L83" s="435"/>
    </row>
    <row r="84" spans="1:12" s="14" customFormat="1" ht="27" customHeight="1" x14ac:dyDescent="0.4">
      <c r="A84" s="432" t="s">
        <v>52</v>
      </c>
      <c r="B84" s="439">
        <v>1</v>
      </c>
      <c r="C84" s="853" t="s">
        <v>111</v>
      </c>
      <c r="D84" s="854"/>
      <c r="E84" s="854"/>
      <c r="F84" s="854"/>
      <c r="G84" s="854"/>
      <c r="H84" s="855"/>
      <c r="I84" s="435"/>
      <c r="J84" s="435"/>
      <c r="K84" s="435"/>
      <c r="L84" s="435"/>
    </row>
    <row r="85" spans="1:12" s="14" customFormat="1" ht="27" customHeight="1" x14ac:dyDescent="0.4">
      <c r="A85" s="432" t="s">
        <v>54</v>
      </c>
      <c r="B85" s="439">
        <v>1</v>
      </c>
      <c r="C85" s="853" t="s">
        <v>112</v>
      </c>
      <c r="D85" s="854"/>
      <c r="E85" s="854"/>
      <c r="F85" s="854"/>
      <c r="G85" s="854"/>
      <c r="H85" s="855"/>
      <c r="I85" s="435"/>
      <c r="J85" s="435"/>
      <c r="K85" s="435"/>
      <c r="L85" s="435"/>
    </row>
    <row r="86" spans="1:12" s="14" customFormat="1" ht="18.75" x14ac:dyDescent="0.3">
      <c r="A86" s="432"/>
      <c r="B86" s="442"/>
      <c r="C86" s="443"/>
      <c r="D86" s="443"/>
      <c r="E86" s="443"/>
      <c r="F86" s="443"/>
      <c r="G86" s="443"/>
      <c r="H86" s="443"/>
      <c r="I86" s="435"/>
      <c r="J86" s="435"/>
      <c r="K86" s="435"/>
      <c r="L86" s="435"/>
    </row>
    <row r="87" spans="1:12" s="14" customFormat="1" ht="18.75" x14ac:dyDescent="0.3">
      <c r="A87" s="432" t="s">
        <v>56</v>
      </c>
      <c r="B87" s="444">
        <f>B84/B85</f>
        <v>1</v>
      </c>
      <c r="C87" s="422" t="s">
        <v>57</v>
      </c>
      <c r="D87" s="422"/>
      <c r="E87" s="422"/>
      <c r="F87" s="422"/>
      <c r="G87" s="422"/>
      <c r="I87" s="435"/>
      <c r="J87" s="435"/>
      <c r="K87" s="435"/>
      <c r="L87" s="435"/>
    </row>
    <row r="88" spans="1:12" ht="19.5" customHeight="1" x14ac:dyDescent="0.3">
      <c r="A88" s="430"/>
      <c r="B88" s="430"/>
    </row>
    <row r="89" spans="1:12" ht="27" customHeight="1" x14ac:dyDescent="0.4">
      <c r="A89" s="445" t="s">
        <v>58</v>
      </c>
      <c r="B89" s="446">
        <v>100</v>
      </c>
      <c r="D89" s="532" t="s">
        <v>59</v>
      </c>
      <c r="E89" s="533"/>
      <c r="F89" s="856" t="s">
        <v>60</v>
      </c>
      <c r="G89" s="857"/>
    </row>
    <row r="90" spans="1:12" ht="27" customHeight="1" x14ac:dyDescent="0.4">
      <c r="A90" s="447" t="s">
        <v>61</v>
      </c>
      <c r="B90" s="448">
        <v>1</v>
      </c>
      <c r="C90" s="534" t="s">
        <v>62</v>
      </c>
      <c r="D90" s="450" t="s">
        <v>63</v>
      </c>
      <c r="E90" s="451" t="s">
        <v>64</v>
      </c>
      <c r="F90" s="450" t="s">
        <v>63</v>
      </c>
      <c r="G90" s="535" t="s">
        <v>64</v>
      </c>
      <c r="I90" s="453" t="s">
        <v>65</v>
      </c>
    </row>
    <row r="91" spans="1:12" ht="26.25" customHeight="1" x14ac:dyDescent="0.4">
      <c r="A91" s="447" t="s">
        <v>66</v>
      </c>
      <c r="B91" s="448">
        <v>1</v>
      </c>
      <c r="C91" s="536">
        <v>1</v>
      </c>
      <c r="D91" s="637">
        <v>10711068</v>
      </c>
      <c r="E91" s="456">
        <f>IF(ISBLANK(D91),"-",$D$101/$D$98*D91)</f>
        <v>11062188.785933521</v>
      </c>
      <c r="F91" s="637">
        <v>10217238</v>
      </c>
      <c r="G91" s="457">
        <f>IF(ISBLANK(F91),"-",$D$101/$F$98*F91)</f>
        <v>11047721.460526224</v>
      </c>
      <c r="I91" s="458"/>
    </row>
    <row r="92" spans="1:12" ht="26.25" customHeight="1" x14ac:dyDescent="0.4">
      <c r="A92" s="447" t="s">
        <v>67</v>
      </c>
      <c r="B92" s="448">
        <v>1</v>
      </c>
      <c r="C92" s="520">
        <v>2</v>
      </c>
      <c r="D92" s="642">
        <v>10714601</v>
      </c>
      <c r="E92" s="461">
        <f>IF(ISBLANK(D92),"-",$D$101/$D$98*D92)</f>
        <v>11065837.601624047</v>
      </c>
      <c r="F92" s="642">
        <v>10221231</v>
      </c>
      <c r="G92" s="462">
        <f>IF(ISBLANK(F92),"-",$D$101/$F$98*F92)</f>
        <v>11052039.021866372</v>
      </c>
      <c r="I92" s="858">
        <f>ABS((F96/D96*D95)-F95)/D95</f>
        <v>1.2912287606124812E-3</v>
      </c>
    </row>
    <row r="93" spans="1:12" ht="26.25" customHeight="1" x14ac:dyDescent="0.4">
      <c r="A93" s="447" t="s">
        <v>68</v>
      </c>
      <c r="B93" s="448">
        <v>1</v>
      </c>
      <c r="C93" s="520">
        <v>3</v>
      </c>
      <c r="D93" s="642">
        <v>10712043</v>
      </c>
      <c r="E93" s="461">
        <f>IF(ISBLANK(D93),"-",$D$101/$D$98*D93)</f>
        <v>11063195.747523746</v>
      </c>
      <c r="F93" s="642">
        <v>10216193</v>
      </c>
      <c r="G93" s="462">
        <f>IF(ISBLANK(F93),"-",$D$101/$F$98*F93)</f>
        <v>11046591.520230595</v>
      </c>
      <c r="I93" s="858"/>
    </row>
    <row r="94" spans="1:12" ht="27" customHeight="1" x14ac:dyDescent="0.4">
      <c r="A94" s="447" t="s">
        <v>69</v>
      </c>
      <c r="B94" s="448">
        <v>1</v>
      </c>
      <c r="C94" s="537">
        <v>4</v>
      </c>
      <c r="D94" s="647"/>
      <c r="E94" s="466" t="str">
        <f>IF(ISBLANK(D94),"-",$D$101/$D$98*D94)</f>
        <v>-</v>
      </c>
      <c r="F94" s="647"/>
      <c r="G94" s="467" t="str">
        <f>IF(ISBLANK(F94),"-",$D$101/$F$98*F94)</f>
        <v>-</v>
      </c>
      <c r="I94" s="468"/>
    </row>
    <row r="95" spans="1:12" ht="27" customHeight="1" x14ac:dyDescent="0.4">
      <c r="A95" s="447" t="s">
        <v>70</v>
      </c>
      <c r="B95" s="448">
        <v>1</v>
      </c>
      <c r="C95" s="538" t="s">
        <v>71</v>
      </c>
      <c r="D95" s="539">
        <f>AVERAGE(D91:D94)</f>
        <v>10712570.666666666</v>
      </c>
      <c r="E95" s="471">
        <f>AVERAGE(E91:E94)</f>
        <v>11063740.711693771</v>
      </c>
      <c r="F95" s="540">
        <f>AVERAGE(F91:F94)</f>
        <v>10218220.666666666</v>
      </c>
      <c r="G95" s="541">
        <f>AVERAGE(G91:G94)</f>
        <v>11048784.000874396</v>
      </c>
    </row>
    <row r="96" spans="1:12" ht="26.25" customHeight="1" x14ac:dyDescent="0.4">
      <c r="A96" s="447" t="s">
        <v>72</v>
      </c>
      <c r="B96" s="433">
        <v>1</v>
      </c>
      <c r="C96" s="542" t="s">
        <v>113</v>
      </c>
      <c r="D96" s="543">
        <v>43.25</v>
      </c>
      <c r="E96" s="463"/>
      <c r="F96" s="475">
        <v>41.31</v>
      </c>
    </row>
    <row r="97" spans="1:10" ht="26.25" customHeight="1" x14ac:dyDescent="0.4">
      <c r="A97" s="447" t="s">
        <v>74</v>
      </c>
      <c r="B97" s="433">
        <v>1</v>
      </c>
      <c r="C97" s="544" t="s">
        <v>114</v>
      </c>
      <c r="D97" s="545">
        <f>D96*$B$87</f>
        <v>43.25</v>
      </c>
      <c r="E97" s="478"/>
      <c r="F97" s="477">
        <f>F96*$B$87</f>
        <v>41.31</v>
      </c>
    </row>
    <row r="98" spans="1:10" ht="19.5" customHeight="1" x14ac:dyDescent="0.3">
      <c r="A98" s="447" t="s">
        <v>76</v>
      </c>
      <c r="B98" s="546">
        <f>(B97/B96)*(B95/B94)*(B93/B92)*(B91/B90)*B89</f>
        <v>100</v>
      </c>
      <c r="C98" s="544" t="s">
        <v>115</v>
      </c>
      <c r="D98" s="547">
        <f>D97*$B$83/100</f>
        <v>43.033749999999998</v>
      </c>
      <c r="E98" s="481"/>
      <c r="F98" s="480">
        <f>F97*$B$83/100</f>
        <v>41.103450000000002</v>
      </c>
    </row>
    <row r="99" spans="1:10" ht="19.5" customHeight="1" x14ac:dyDescent="0.3">
      <c r="A99" s="844" t="s">
        <v>78</v>
      </c>
      <c r="B99" s="859"/>
      <c r="C99" s="544" t="s">
        <v>116</v>
      </c>
      <c r="D99" s="548">
        <f>D98/$B$98</f>
        <v>0.43033749999999998</v>
      </c>
      <c r="E99" s="481"/>
      <c r="F99" s="484">
        <f>F98/$B$98</f>
        <v>0.41103450000000002</v>
      </c>
      <c r="G99" s="549"/>
      <c r="H99" s="473"/>
    </row>
    <row r="100" spans="1:10" ht="19.5" customHeight="1" x14ac:dyDescent="0.3">
      <c r="A100" s="846"/>
      <c r="B100" s="860"/>
      <c r="C100" s="544" t="s">
        <v>80</v>
      </c>
      <c r="D100" s="550">
        <f>$B$56/$B$116</f>
        <v>0.44444444444444442</v>
      </c>
      <c r="F100" s="489"/>
      <c r="G100" s="551"/>
      <c r="H100" s="473"/>
    </row>
    <row r="101" spans="1:10" ht="18.75" x14ac:dyDescent="0.3">
      <c r="C101" s="544" t="s">
        <v>81</v>
      </c>
      <c r="D101" s="545">
        <f>D100*$B$98</f>
        <v>44.444444444444443</v>
      </c>
      <c r="F101" s="489"/>
      <c r="G101" s="549"/>
      <c r="H101" s="473"/>
    </row>
    <row r="102" spans="1:10" ht="19.5" customHeight="1" x14ac:dyDescent="0.3">
      <c r="C102" s="552" t="s">
        <v>82</v>
      </c>
      <c r="D102" s="553">
        <f>D101/B34</f>
        <v>44.444444444444443</v>
      </c>
      <c r="F102" s="493"/>
      <c r="G102" s="549"/>
      <c r="H102" s="473"/>
      <c r="J102" s="554"/>
    </row>
    <row r="103" spans="1:10" ht="18.75" x14ac:dyDescent="0.3">
      <c r="C103" s="555" t="s">
        <v>117</v>
      </c>
      <c r="D103" s="556">
        <f>AVERAGE(E91:E94,G91:G94)</f>
        <v>11056262.356284084</v>
      </c>
      <c r="F103" s="493"/>
      <c r="G103" s="557"/>
      <c r="H103" s="473"/>
      <c r="J103" s="558"/>
    </row>
    <row r="104" spans="1:10" ht="18.75" x14ac:dyDescent="0.3">
      <c r="C104" s="523" t="s">
        <v>84</v>
      </c>
      <c r="D104" s="559">
        <f>STDEV(E91:E94,G91:G94)/D103</f>
        <v>7.6659815742765626E-4</v>
      </c>
      <c r="F104" s="493"/>
      <c r="G104" s="549"/>
      <c r="H104" s="473"/>
      <c r="J104" s="558"/>
    </row>
    <row r="105" spans="1:10" ht="19.5" customHeight="1" x14ac:dyDescent="0.3">
      <c r="C105" s="525" t="s">
        <v>20</v>
      </c>
      <c r="D105" s="560">
        <f>COUNT(E91:E94,G91:G94)</f>
        <v>6</v>
      </c>
      <c r="F105" s="493"/>
      <c r="G105" s="549"/>
      <c r="H105" s="473"/>
      <c r="J105" s="558"/>
    </row>
    <row r="106" spans="1:10" ht="19.5" customHeight="1" x14ac:dyDescent="0.3">
      <c r="A106" s="497"/>
      <c r="B106" s="497"/>
      <c r="C106" s="497"/>
      <c r="D106" s="497"/>
      <c r="E106" s="497"/>
    </row>
    <row r="107" spans="1:10" ht="26.25" customHeight="1" x14ac:dyDescent="0.4">
      <c r="A107" s="445" t="s">
        <v>118</v>
      </c>
      <c r="B107" s="446">
        <v>900</v>
      </c>
      <c r="C107" s="561" t="s">
        <v>119</v>
      </c>
      <c r="D107" s="562" t="s">
        <v>63</v>
      </c>
      <c r="E107" s="563" t="s">
        <v>120</v>
      </c>
      <c r="F107" s="564" t="s">
        <v>121</v>
      </c>
    </row>
    <row r="108" spans="1:10" ht="26.25" customHeight="1" x14ac:dyDescent="0.4">
      <c r="A108" s="447" t="s">
        <v>122</v>
      </c>
      <c r="B108" s="448">
        <v>1</v>
      </c>
      <c r="C108" s="565">
        <v>1</v>
      </c>
      <c r="D108" s="566">
        <v>9919306</v>
      </c>
      <c r="E108" s="597">
        <f t="shared" ref="E108:E113" si="1">IF(ISBLANK(D108),"-",D108/$D$103*$D$100*$B$116)</f>
        <v>358.86652036118267</v>
      </c>
      <c r="F108" s="567">
        <f t="shared" ref="F108:F113" si="2">IF(ISBLANK(D108), "-", E108/$B$56)</f>
        <v>0.89716630090295668</v>
      </c>
    </row>
    <row r="109" spans="1:10" ht="26.25" customHeight="1" x14ac:dyDescent="0.4">
      <c r="A109" s="447" t="s">
        <v>95</v>
      </c>
      <c r="B109" s="448">
        <v>1</v>
      </c>
      <c r="C109" s="565">
        <v>2</v>
      </c>
      <c r="D109" s="566">
        <v>9994078</v>
      </c>
      <c r="E109" s="598">
        <f t="shared" si="1"/>
        <v>361.57166600952206</v>
      </c>
      <c r="F109" s="568">
        <f t="shared" si="2"/>
        <v>0.90392916502380516</v>
      </c>
    </row>
    <row r="110" spans="1:10" ht="26.25" customHeight="1" x14ac:dyDescent="0.4">
      <c r="A110" s="447" t="s">
        <v>96</v>
      </c>
      <c r="B110" s="448">
        <v>1</v>
      </c>
      <c r="C110" s="565">
        <v>3</v>
      </c>
      <c r="D110" s="566">
        <v>10081225</v>
      </c>
      <c r="E110" s="598">
        <f t="shared" si="1"/>
        <v>364.72452172845198</v>
      </c>
      <c r="F110" s="568">
        <f t="shared" si="2"/>
        <v>0.91181130432112989</v>
      </c>
    </row>
    <row r="111" spans="1:10" ht="26.25" customHeight="1" x14ac:dyDescent="0.4">
      <c r="A111" s="447" t="s">
        <v>97</v>
      </c>
      <c r="B111" s="448">
        <v>1</v>
      </c>
      <c r="C111" s="565">
        <v>4</v>
      </c>
      <c r="D111" s="566">
        <v>9942460</v>
      </c>
      <c r="E111" s="598">
        <f t="shared" si="1"/>
        <v>359.70419947022953</v>
      </c>
      <c r="F111" s="568">
        <f t="shared" si="2"/>
        <v>0.89926049867557378</v>
      </c>
    </row>
    <row r="112" spans="1:10" ht="26.25" customHeight="1" x14ac:dyDescent="0.4">
      <c r="A112" s="447" t="s">
        <v>98</v>
      </c>
      <c r="B112" s="448">
        <v>1</v>
      </c>
      <c r="C112" s="565">
        <v>5</v>
      </c>
      <c r="D112" s="566">
        <v>9973540</v>
      </c>
      <c r="E112" s="598">
        <f t="shared" si="1"/>
        <v>360.82863009600368</v>
      </c>
      <c r="F112" s="568">
        <f t="shared" si="2"/>
        <v>0.90207157524000925</v>
      </c>
    </row>
    <row r="113" spans="1:10" ht="26.25" customHeight="1" x14ac:dyDescent="0.4">
      <c r="A113" s="447" t="s">
        <v>100</v>
      </c>
      <c r="B113" s="448">
        <v>1</v>
      </c>
      <c r="C113" s="569">
        <v>6</v>
      </c>
      <c r="D113" s="570">
        <v>9972505</v>
      </c>
      <c r="E113" s="599">
        <f t="shared" si="1"/>
        <v>360.7911852537361</v>
      </c>
      <c r="F113" s="571">
        <f t="shared" si="2"/>
        <v>0.90197796313434031</v>
      </c>
    </row>
    <row r="114" spans="1:10" ht="26.25" customHeight="1" x14ac:dyDescent="0.4">
      <c r="A114" s="447" t="s">
        <v>101</v>
      </c>
      <c r="B114" s="448">
        <v>1</v>
      </c>
      <c r="C114" s="565"/>
      <c r="D114" s="520"/>
      <c r="E114" s="421"/>
      <c r="F114" s="572"/>
    </row>
    <row r="115" spans="1:10" ht="26.25" customHeight="1" x14ac:dyDescent="0.4">
      <c r="A115" s="447" t="s">
        <v>102</v>
      </c>
      <c r="B115" s="448">
        <v>1</v>
      </c>
      <c r="C115" s="565"/>
      <c r="D115" s="573" t="s">
        <v>71</v>
      </c>
      <c r="E115" s="601">
        <f>AVERAGE(E108:E113)</f>
        <v>361.081120486521</v>
      </c>
      <c r="F115" s="574">
        <f>AVERAGE(F108:F113)</f>
        <v>0.90270280121630242</v>
      </c>
    </row>
    <row r="116" spans="1:10" ht="27" customHeight="1" x14ac:dyDescent="0.4">
      <c r="A116" s="447" t="s">
        <v>103</v>
      </c>
      <c r="B116" s="479">
        <f>(B115/B114)*(B113/B112)*(B111/B110)*(B109/B108)*B107</f>
        <v>900</v>
      </c>
      <c r="C116" s="575"/>
      <c r="D116" s="538" t="s">
        <v>84</v>
      </c>
      <c r="E116" s="576">
        <f>STDEV(E108:E113)/E115</f>
        <v>5.6026932869620216E-3</v>
      </c>
      <c r="F116" s="576">
        <f>STDEV(F108:F113)/F115</f>
        <v>5.6026932869619982E-3</v>
      </c>
      <c r="I116" s="421"/>
    </row>
    <row r="117" spans="1:10" ht="27" customHeight="1" x14ac:dyDescent="0.4">
      <c r="A117" s="844" t="s">
        <v>78</v>
      </c>
      <c r="B117" s="845"/>
      <c r="C117" s="577"/>
      <c r="D117" s="578" t="s">
        <v>20</v>
      </c>
      <c r="E117" s="579">
        <f>COUNT(E108:E113)</f>
        <v>6</v>
      </c>
      <c r="F117" s="579">
        <f>COUNT(F108:F113)</f>
        <v>6</v>
      </c>
      <c r="I117" s="421"/>
      <c r="J117" s="558"/>
    </row>
    <row r="118" spans="1:10" ht="19.5" customHeight="1" x14ac:dyDescent="0.3">
      <c r="A118" s="846"/>
      <c r="B118" s="847"/>
      <c r="C118" s="421"/>
      <c r="D118" s="421"/>
      <c r="E118" s="421"/>
      <c r="F118" s="520"/>
      <c r="G118" s="421"/>
      <c r="H118" s="421"/>
      <c r="I118" s="421"/>
    </row>
    <row r="119" spans="1:10" ht="18.75" x14ac:dyDescent="0.3">
      <c r="A119" s="588"/>
      <c r="B119" s="443"/>
      <c r="C119" s="421"/>
      <c r="D119" s="421"/>
      <c r="E119" s="421"/>
      <c r="F119" s="520"/>
      <c r="G119" s="421"/>
      <c r="H119" s="421"/>
      <c r="I119" s="421"/>
    </row>
    <row r="120" spans="1:10" ht="26.25" customHeight="1" x14ac:dyDescent="0.4">
      <c r="A120" s="431" t="s">
        <v>106</v>
      </c>
      <c r="B120" s="527" t="s">
        <v>123</v>
      </c>
      <c r="C120" s="848" t="str">
        <f>B20</f>
        <v>RIFAMPICIN, ISONIAZID, PYRAZINAMIDE &amp; ETHAMBUTOL HCl</v>
      </c>
      <c r="D120" s="848"/>
      <c r="E120" s="528" t="s">
        <v>124</v>
      </c>
      <c r="F120" s="528"/>
      <c r="G120" s="529">
        <f>F115</f>
        <v>0.90270280121630242</v>
      </c>
      <c r="H120" s="421"/>
      <c r="I120" s="421"/>
    </row>
    <row r="121" spans="1:10" ht="19.5" customHeight="1" x14ac:dyDescent="0.3">
      <c r="A121" s="580"/>
      <c r="B121" s="580"/>
      <c r="C121" s="581"/>
      <c r="D121" s="581"/>
      <c r="E121" s="581"/>
      <c r="F121" s="581"/>
      <c r="G121" s="581"/>
      <c r="H121" s="581"/>
    </row>
    <row r="122" spans="1:10" ht="18.75" x14ac:dyDescent="0.3">
      <c r="B122" s="849" t="s">
        <v>26</v>
      </c>
      <c r="C122" s="849"/>
      <c r="E122" s="534" t="s">
        <v>27</v>
      </c>
      <c r="F122" s="582"/>
      <c r="G122" s="849" t="s">
        <v>28</v>
      </c>
      <c r="H122" s="849"/>
    </row>
    <row r="123" spans="1:10" ht="69.95" customHeight="1" x14ac:dyDescent="0.3">
      <c r="A123" s="583" t="s">
        <v>29</v>
      </c>
      <c r="B123" s="584"/>
      <c r="C123" s="584"/>
      <c r="E123" s="584"/>
      <c r="F123" s="421"/>
      <c r="G123" s="585"/>
      <c r="H123" s="585"/>
    </row>
    <row r="124" spans="1:10" ht="69.95" customHeight="1" x14ac:dyDescent="0.3">
      <c r="A124" s="583" t="s">
        <v>30</v>
      </c>
      <c r="B124" s="586"/>
      <c r="C124" s="586"/>
      <c r="E124" s="586"/>
      <c r="F124" s="421"/>
      <c r="G124" s="587"/>
      <c r="H124" s="587"/>
    </row>
    <row r="125" spans="1:10" ht="18.75" x14ac:dyDescent="0.3">
      <c r="A125" s="519"/>
      <c r="B125" s="519"/>
      <c r="C125" s="520"/>
      <c r="D125" s="520"/>
      <c r="E125" s="520"/>
      <c r="F125" s="524"/>
      <c r="G125" s="520"/>
      <c r="H125" s="520"/>
      <c r="I125" s="421"/>
    </row>
    <row r="126" spans="1:10" ht="18.75" x14ac:dyDescent="0.3">
      <c r="A126" s="519"/>
      <c r="B126" s="519"/>
      <c r="C126" s="520"/>
      <c r="D126" s="520"/>
      <c r="E126" s="520"/>
      <c r="F126" s="524"/>
      <c r="G126" s="520"/>
      <c r="H126" s="520"/>
      <c r="I126" s="421"/>
    </row>
    <row r="127" spans="1:10" ht="18.75" x14ac:dyDescent="0.3">
      <c r="A127" s="519"/>
      <c r="B127" s="519"/>
      <c r="C127" s="520"/>
      <c r="D127" s="520"/>
      <c r="E127" s="520"/>
      <c r="F127" s="524"/>
      <c r="G127" s="520"/>
      <c r="H127" s="520"/>
      <c r="I127" s="421"/>
    </row>
    <row r="128" spans="1:10" ht="18.75" x14ac:dyDescent="0.3">
      <c r="A128" s="519"/>
      <c r="B128" s="519"/>
      <c r="C128" s="520"/>
      <c r="D128" s="520"/>
      <c r="E128" s="520"/>
      <c r="F128" s="524"/>
      <c r="G128" s="520"/>
      <c r="H128" s="520"/>
      <c r="I128" s="421"/>
    </row>
    <row r="129" spans="1:9" ht="18.75" x14ac:dyDescent="0.3">
      <c r="A129" s="519"/>
      <c r="B129" s="519"/>
      <c r="C129" s="520"/>
      <c r="D129" s="520"/>
      <c r="E129" s="520"/>
      <c r="F129" s="524"/>
      <c r="G129" s="520"/>
      <c r="H129" s="520"/>
      <c r="I129" s="421"/>
    </row>
    <row r="130" spans="1:9" ht="18.75" x14ac:dyDescent="0.3">
      <c r="A130" s="519"/>
      <c r="B130" s="519"/>
      <c r="C130" s="520"/>
      <c r="D130" s="520"/>
      <c r="E130" s="520"/>
      <c r="F130" s="524"/>
      <c r="G130" s="520"/>
      <c r="H130" s="520"/>
      <c r="I130" s="421"/>
    </row>
    <row r="131" spans="1:9" ht="18.75" x14ac:dyDescent="0.3">
      <c r="A131" s="519"/>
      <c r="B131" s="519"/>
      <c r="C131" s="520"/>
      <c r="D131" s="520"/>
      <c r="E131" s="520"/>
      <c r="F131" s="524"/>
      <c r="G131" s="520"/>
      <c r="H131" s="520"/>
      <c r="I131" s="421"/>
    </row>
    <row r="132" spans="1:9" ht="18.75" x14ac:dyDescent="0.3">
      <c r="A132" s="519"/>
      <c r="B132" s="519"/>
      <c r="C132" s="520"/>
      <c r="D132" s="520"/>
      <c r="E132" s="520"/>
      <c r="F132" s="524"/>
      <c r="G132" s="520"/>
      <c r="H132" s="520"/>
      <c r="I132" s="421"/>
    </row>
    <row r="133" spans="1:9" ht="18.75" x14ac:dyDescent="0.3">
      <c r="A133" s="519"/>
      <c r="B133" s="519"/>
      <c r="C133" s="520"/>
      <c r="D133" s="520"/>
      <c r="E133" s="520"/>
      <c r="F133" s="524"/>
      <c r="G133" s="520"/>
      <c r="H133" s="520"/>
      <c r="I133" s="42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2" zoomScale="40" zoomScaleNormal="40" zoomScalePageLayoutView="40" workbookViewId="0">
      <selection activeCell="J107" sqref="J10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42" t="s">
        <v>45</v>
      </c>
      <c r="B1" s="842"/>
      <c r="C1" s="842"/>
      <c r="D1" s="842"/>
      <c r="E1" s="842"/>
      <c r="F1" s="842"/>
      <c r="G1" s="842"/>
      <c r="H1" s="842"/>
      <c r="I1" s="842"/>
    </row>
    <row r="2" spans="1:9" ht="18.75" customHeight="1" x14ac:dyDescent="0.25">
      <c r="A2" s="842"/>
      <c r="B2" s="842"/>
      <c r="C2" s="842"/>
      <c r="D2" s="842"/>
      <c r="E2" s="842"/>
      <c r="F2" s="842"/>
      <c r="G2" s="842"/>
      <c r="H2" s="842"/>
      <c r="I2" s="842"/>
    </row>
    <row r="3" spans="1:9" ht="18.75" customHeight="1" x14ac:dyDescent="0.25">
      <c r="A3" s="842"/>
      <c r="B3" s="842"/>
      <c r="C3" s="842"/>
      <c r="D3" s="842"/>
      <c r="E3" s="842"/>
      <c r="F3" s="842"/>
      <c r="G3" s="842"/>
      <c r="H3" s="842"/>
      <c r="I3" s="842"/>
    </row>
    <row r="4" spans="1:9" ht="18.75" customHeight="1" x14ac:dyDescent="0.25">
      <c r="A4" s="842"/>
      <c r="B4" s="842"/>
      <c r="C4" s="842"/>
      <c r="D4" s="842"/>
      <c r="E4" s="842"/>
      <c r="F4" s="842"/>
      <c r="G4" s="842"/>
      <c r="H4" s="842"/>
      <c r="I4" s="842"/>
    </row>
    <row r="5" spans="1:9" ht="18.75" customHeight="1" x14ac:dyDescent="0.25">
      <c r="A5" s="842"/>
      <c r="B5" s="842"/>
      <c r="C5" s="842"/>
      <c r="D5" s="842"/>
      <c r="E5" s="842"/>
      <c r="F5" s="842"/>
      <c r="G5" s="842"/>
      <c r="H5" s="842"/>
      <c r="I5" s="842"/>
    </row>
    <row r="6" spans="1:9" ht="18.75" customHeight="1" x14ac:dyDescent="0.25">
      <c r="A6" s="842"/>
      <c r="B6" s="842"/>
      <c r="C6" s="842"/>
      <c r="D6" s="842"/>
      <c r="E6" s="842"/>
      <c r="F6" s="842"/>
      <c r="G6" s="842"/>
      <c r="H6" s="842"/>
      <c r="I6" s="842"/>
    </row>
    <row r="7" spans="1:9" ht="18.75" customHeight="1" x14ac:dyDescent="0.25">
      <c r="A7" s="842"/>
      <c r="B7" s="842"/>
      <c r="C7" s="842"/>
      <c r="D7" s="842"/>
      <c r="E7" s="842"/>
      <c r="F7" s="842"/>
      <c r="G7" s="842"/>
      <c r="H7" s="842"/>
      <c r="I7" s="842"/>
    </row>
    <row r="8" spans="1:9" x14ac:dyDescent="0.25">
      <c r="A8" s="843" t="s">
        <v>46</v>
      </c>
      <c r="B8" s="843"/>
      <c r="C8" s="843"/>
      <c r="D8" s="843"/>
      <c r="E8" s="843"/>
      <c r="F8" s="843"/>
      <c r="G8" s="843"/>
      <c r="H8" s="843"/>
      <c r="I8" s="843"/>
    </row>
    <row r="9" spans="1:9" x14ac:dyDescent="0.25">
      <c r="A9" s="843"/>
      <c r="B9" s="843"/>
      <c r="C9" s="843"/>
      <c r="D9" s="843"/>
      <c r="E9" s="843"/>
      <c r="F9" s="843"/>
      <c r="G9" s="843"/>
      <c r="H9" s="843"/>
      <c r="I9" s="843"/>
    </row>
    <row r="10" spans="1:9" x14ac:dyDescent="0.25">
      <c r="A10" s="843"/>
      <c r="B10" s="843"/>
      <c r="C10" s="843"/>
      <c r="D10" s="843"/>
      <c r="E10" s="843"/>
      <c r="F10" s="843"/>
      <c r="G10" s="843"/>
      <c r="H10" s="843"/>
      <c r="I10" s="843"/>
    </row>
    <row r="11" spans="1:9" x14ac:dyDescent="0.25">
      <c r="A11" s="843"/>
      <c r="B11" s="843"/>
      <c r="C11" s="843"/>
      <c r="D11" s="843"/>
      <c r="E11" s="843"/>
      <c r="F11" s="843"/>
      <c r="G11" s="843"/>
      <c r="H11" s="843"/>
      <c r="I11" s="843"/>
    </row>
    <row r="12" spans="1:9" x14ac:dyDescent="0.25">
      <c r="A12" s="843"/>
      <c r="B12" s="843"/>
      <c r="C12" s="843"/>
      <c r="D12" s="843"/>
      <c r="E12" s="843"/>
      <c r="F12" s="843"/>
      <c r="G12" s="843"/>
      <c r="H12" s="843"/>
      <c r="I12" s="843"/>
    </row>
    <row r="13" spans="1:9" x14ac:dyDescent="0.25">
      <c r="A13" s="843"/>
      <c r="B13" s="843"/>
      <c r="C13" s="843"/>
      <c r="D13" s="843"/>
      <c r="E13" s="843"/>
      <c r="F13" s="843"/>
      <c r="G13" s="843"/>
      <c r="H13" s="843"/>
      <c r="I13" s="843"/>
    </row>
    <row r="14" spans="1:9" x14ac:dyDescent="0.25">
      <c r="A14" s="843"/>
      <c r="B14" s="843"/>
      <c r="C14" s="843"/>
      <c r="D14" s="843"/>
      <c r="E14" s="843"/>
      <c r="F14" s="843"/>
      <c r="G14" s="843"/>
      <c r="H14" s="843"/>
      <c r="I14" s="843"/>
    </row>
    <row r="15" spans="1:9" ht="19.5" customHeight="1" x14ac:dyDescent="0.3">
      <c r="A15" s="603"/>
    </row>
    <row r="16" spans="1:9" ht="19.5" customHeight="1" x14ac:dyDescent="0.3">
      <c r="A16" s="876" t="s">
        <v>31</v>
      </c>
      <c r="B16" s="877"/>
      <c r="C16" s="877"/>
      <c r="D16" s="877"/>
      <c r="E16" s="877"/>
      <c r="F16" s="877"/>
      <c r="G16" s="877"/>
      <c r="H16" s="878"/>
    </row>
    <row r="17" spans="1:14" ht="20.25" customHeight="1" x14ac:dyDescent="0.25">
      <c r="A17" s="879" t="s">
        <v>47</v>
      </c>
      <c r="B17" s="879"/>
      <c r="C17" s="879"/>
      <c r="D17" s="879"/>
      <c r="E17" s="879"/>
      <c r="F17" s="879"/>
      <c r="G17" s="879"/>
      <c r="H17" s="879"/>
    </row>
    <row r="18" spans="1:14" ht="26.25" customHeight="1" x14ac:dyDescent="0.4">
      <c r="A18" s="605" t="s">
        <v>33</v>
      </c>
      <c r="B18" s="875" t="s">
        <v>5</v>
      </c>
      <c r="C18" s="875"/>
      <c r="D18" s="771"/>
      <c r="E18" s="606"/>
      <c r="F18" s="607"/>
      <c r="G18" s="607"/>
      <c r="H18" s="607"/>
    </row>
    <row r="19" spans="1:14" ht="26.25" customHeight="1" x14ac:dyDescent="0.4">
      <c r="A19" s="605" t="s">
        <v>34</v>
      </c>
      <c r="B19" s="608" t="s">
        <v>7</v>
      </c>
      <c r="C19" s="784">
        <v>29</v>
      </c>
      <c r="D19" s="607"/>
      <c r="E19" s="607"/>
      <c r="F19" s="607"/>
      <c r="G19" s="607"/>
      <c r="H19" s="607"/>
    </row>
    <row r="20" spans="1:14" ht="26.25" customHeight="1" x14ac:dyDescent="0.4">
      <c r="A20" s="605" t="s">
        <v>35</v>
      </c>
      <c r="B20" s="880" t="s">
        <v>141</v>
      </c>
      <c r="C20" s="880"/>
      <c r="D20" s="607"/>
      <c r="E20" s="607"/>
      <c r="F20" s="607"/>
      <c r="G20" s="607"/>
      <c r="H20" s="607"/>
    </row>
    <row r="21" spans="1:14" ht="26.25" customHeight="1" x14ac:dyDescent="0.4">
      <c r="A21" s="605" t="s">
        <v>36</v>
      </c>
      <c r="B21" s="880" t="s">
        <v>140</v>
      </c>
      <c r="C21" s="880"/>
      <c r="D21" s="880"/>
      <c r="E21" s="880"/>
      <c r="F21" s="880"/>
      <c r="G21" s="880"/>
      <c r="H21" s="880"/>
      <c r="I21" s="609"/>
    </row>
    <row r="22" spans="1:14" ht="26.25" customHeight="1" x14ac:dyDescent="0.4">
      <c r="A22" s="605" t="s">
        <v>37</v>
      </c>
      <c r="B22" s="610" t="s">
        <v>12</v>
      </c>
      <c r="C22" s="607"/>
      <c r="D22" s="607"/>
      <c r="E22" s="607"/>
      <c r="F22" s="607"/>
      <c r="G22" s="607"/>
      <c r="H22" s="607"/>
    </row>
    <row r="23" spans="1:14" ht="26.25" customHeight="1" x14ac:dyDescent="0.4">
      <c r="A23" s="605" t="s">
        <v>38</v>
      </c>
      <c r="B23" s="610"/>
      <c r="C23" s="607"/>
      <c r="D23" s="607"/>
      <c r="E23" s="607"/>
      <c r="F23" s="607"/>
      <c r="G23" s="607"/>
      <c r="H23" s="607"/>
    </row>
    <row r="24" spans="1:14" ht="18.75" x14ac:dyDescent="0.3">
      <c r="A24" s="605"/>
      <c r="B24" s="611"/>
    </row>
    <row r="25" spans="1:14" ht="18.75" x14ac:dyDescent="0.3">
      <c r="A25" s="612" t="s">
        <v>1</v>
      </c>
      <c r="B25" s="611"/>
    </row>
    <row r="26" spans="1:14" ht="26.25" customHeight="1" x14ac:dyDescent="0.4">
      <c r="A26" s="613" t="s">
        <v>4</v>
      </c>
      <c r="B26" s="875" t="s">
        <v>128</v>
      </c>
      <c r="C26" s="875"/>
    </row>
    <row r="27" spans="1:14" ht="26.25" customHeight="1" x14ac:dyDescent="0.4">
      <c r="A27" s="614" t="s">
        <v>48</v>
      </c>
      <c r="B27" s="873" t="s">
        <v>139</v>
      </c>
      <c r="C27" s="873"/>
    </row>
    <row r="28" spans="1:14" ht="27" customHeight="1" x14ac:dyDescent="0.4">
      <c r="A28" s="614" t="s">
        <v>6</v>
      </c>
      <c r="B28" s="615">
        <v>100</v>
      </c>
    </row>
    <row r="29" spans="1:14" s="14" customFormat="1" ht="27" customHeight="1" x14ac:dyDescent="0.4">
      <c r="A29" s="614" t="s">
        <v>49</v>
      </c>
      <c r="B29" s="616">
        <v>0</v>
      </c>
      <c r="C29" s="850" t="s">
        <v>50</v>
      </c>
      <c r="D29" s="851"/>
      <c r="E29" s="851"/>
      <c r="F29" s="851"/>
      <c r="G29" s="852"/>
      <c r="I29" s="617"/>
      <c r="J29" s="617"/>
      <c r="K29" s="617"/>
      <c r="L29" s="617"/>
    </row>
    <row r="30" spans="1:14" s="14" customFormat="1" ht="19.5" customHeight="1" x14ac:dyDescent="0.3">
      <c r="A30" s="614" t="s">
        <v>51</v>
      </c>
      <c r="B30" s="618">
        <f>B28-B29</f>
        <v>100</v>
      </c>
      <c r="C30" s="619"/>
      <c r="D30" s="619"/>
      <c r="E30" s="619"/>
      <c r="F30" s="619"/>
      <c r="G30" s="620"/>
      <c r="I30" s="617"/>
      <c r="J30" s="617"/>
      <c r="K30" s="617"/>
      <c r="L30" s="617"/>
    </row>
    <row r="31" spans="1:14" s="14" customFormat="1" ht="27" customHeight="1" x14ac:dyDescent="0.4">
      <c r="A31" s="614" t="s">
        <v>52</v>
      </c>
      <c r="B31" s="621">
        <v>1</v>
      </c>
      <c r="C31" s="853" t="s">
        <v>53</v>
      </c>
      <c r="D31" s="854"/>
      <c r="E31" s="854"/>
      <c r="F31" s="854"/>
      <c r="G31" s="854"/>
      <c r="H31" s="855"/>
      <c r="I31" s="617"/>
      <c r="J31" s="617"/>
      <c r="K31" s="617"/>
      <c r="L31" s="617"/>
    </row>
    <row r="32" spans="1:14" s="14" customFormat="1" ht="27" customHeight="1" x14ac:dyDescent="0.4">
      <c r="A32" s="614" t="s">
        <v>54</v>
      </c>
      <c r="B32" s="621">
        <v>1</v>
      </c>
      <c r="C32" s="853" t="s">
        <v>55</v>
      </c>
      <c r="D32" s="854"/>
      <c r="E32" s="854"/>
      <c r="F32" s="854"/>
      <c r="G32" s="854"/>
      <c r="H32" s="855"/>
      <c r="I32" s="617"/>
      <c r="J32" s="617"/>
      <c r="K32" s="617"/>
      <c r="L32" s="622"/>
      <c r="M32" s="622"/>
      <c r="N32" s="623"/>
    </row>
    <row r="33" spans="1:14" s="14" customFormat="1" ht="17.25" customHeight="1" x14ac:dyDescent="0.3">
      <c r="A33" s="614"/>
      <c r="B33" s="624"/>
      <c r="C33" s="625"/>
      <c r="D33" s="625"/>
      <c r="E33" s="625"/>
      <c r="F33" s="625"/>
      <c r="G33" s="625"/>
      <c r="H33" s="625"/>
      <c r="I33" s="617"/>
      <c r="J33" s="617"/>
      <c r="K33" s="617"/>
      <c r="L33" s="622"/>
      <c r="M33" s="622"/>
      <c r="N33" s="623"/>
    </row>
    <row r="34" spans="1:14" s="14" customFormat="1" ht="18.75" x14ac:dyDescent="0.3">
      <c r="A34" s="614" t="s">
        <v>56</v>
      </c>
      <c r="B34" s="626">
        <f>B31/B32</f>
        <v>1</v>
      </c>
      <c r="C34" s="604" t="s">
        <v>57</v>
      </c>
      <c r="D34" s="604"/>
      <c r="E34" s="604"/>
      <c r="F34" s="604"/>
      <c r="G34" s="604"/>
      <c r="I34" s="617"/>
      <c r="J34" s="617"/>
      <c r="K34" s="617"/>
      <c r="L34" s="622"/>
      <c r="M34" s="622"/>
      <c r="N34" s="623"/>
    </row>
    <row r="35" spans="1:14" s="14" customFormat="1" ht="19.5" customHeight="1" x14ac:dyDescent="0.3">
      <c r="A35" s="614"/>
      <c r="B35" s="618"/>
      <c r="G35" s="604"/>
      <c r="I35" s="617"/>
      <c r="J35" s="617"/>
      <c r="K35" s="617"/>
      <c r="L35" s="622"/>
      <c r="M35" s="622"/>
      <c r="N35" s="623"/>
    </row>
    <row r="36" spans="1:14" s="14" customFormat="1" ht="27" customHeight="1" x14ac:dyDescent="0.4">
      <c r="A36" s="627" t="s">
        <v>58</v>
      </c>
      <c r="B36" s="628">
        <v>100</v>
      </c>
      <c r="C36" s="604"/>
      <c r="D36" s="856" t="s">
        <v>59</v>
      </c>
      <c r="E36" s="874"/>
      <c r="F36" s="856" t="s">
        <v>60</v>
      </c>
      <c r="G36" s="857"/>
      <c r="J36" s="617"/>
      <c r="K36" s="617"/>
      <c r="L36" s="622"/>
      <c r="M36" s="622"/>
      <c r="N36" s="623"/>
    </row>
    <row r="37" spans="1:14" s="14" customFormat="1" ht="27" customHeight="1" x14ac:dyDescent="0.4">
      <c r="A37" s="629" t="s">
        <v>61</v>
      </c>
      <c r="B37" s="630">
        <v>1</v>
      </c>
      <c r="C37" s="631" t="s">
        <v>62</v>
      </c>
      <c r="D37" s="632" t="s">
        <v>63</v>
      </c>
      <c r="E37" s="633" t="s">
        <v>64</v>
      </c>
      <c r="F37" s="632" t="s">
        <v>63</v>
      </c>
      <c r="G37" s="634" t="s">
        <v>64</v>
      </c>
      <c r="I37" s="635" t="s">
        <v>65</v>
      </c>
      <c r="J37" s="617"/>
      <c r="K37" s="617"/>
      <c r="L37" s="622"/>
      <c r="M37" s="622"/>
      <c r="N37" s="623"/>
    </row>
    <row r="38" spans="1:14" s="14" customFormat="1" ht="26.25" customHeight="1" x14ac:dyDescent="0.4">
      <c r="A38" s="629" t="s">
        <v>66</v>
      </c>
      <c r="B38" s="630">
        <v>1</v>
      </c>
      <c r="C38" s="636">
        <v>1</v>
      </c>
      <c r="D38" s="637">
        <v>3246653</v>
      </c>
      <c r="E38" s="638">
        <f>IF(ISBLANK(D38),"-",$D$48/$D$45*D38)</f>
        <v>2928430.2465423937</v>
      </c>
      <c r="F38" s="637">
        <v>2530413</v>
      </c>
      <c r="G38" s="639">
        <f>IF(ISBLANK(F38),"-",$D$48/$F$45*F38)</f>
        <v>2885305.5872291904</v>
      </c>
      <c r="I38" s="640"/>
      <c r="J38" s="617"/>
      <c r="K38" s="617"/>
      <c r="L38" s="622"/>
      <c r="M38" s="622"/>
      <c r="N38" s="623"/>
    </row>
    <row r="39" spans="1:14" s="14" customFormat="1" ht="26.25" customHeight="1" x14ac:dyDescent="0.4">
      <c r="A39" s="629" t="s">
        <v>67</v>
      </c>
      <c r="B39" s="630">
        <v>1</v>
      </c>
      <c r="C39" s="641">
        <v>2</v>
      </c>
      <c r="D39" s="642">
        <v>3243670</v>
      </c>
      <c r="E39" s="643">
        <f>IF(ISBLANK(D39),"-",$D$48/$D$45*D39)</f>
        <v>2925739.6271797959</v>
      </c>
      <c r="F39" s="642">
        <v>2527029</v>
      </c>
      <c r="G39" s="644">
        <f>IF(ISBLANK(F39),"-",$D$48/$F$45*F39)</f>
        <v>2881446.9783352339</v>
      </c>
      <c r="I39" s="858">
        <f>ABS((F43/D43*D42)-F42)/D42</f>
        <v>1.1824715094746604E-2</v>
      </c>
      <c r="J39" s="617"/>
      <c r="K39" s="617"/>
      <c r="L39" s="622"/>
      <c r="M39" s="622"/>
      <c r="N39" s="623"/>
    </row>
    <row r="40" spans="1:14" ht="26.25" customHeight="1" x14ac:dyDescent="0.4">
      <c r="A40" s="629" t="s">
        <v>68</v>
      </c>
      <c r="B40" s="630">
        <v>1</v>
      </c>
      <c r="C40" s="641">
        <v>3</v>
      </c>
      <c r="D40" s="642">
        <v>3239308</v>
      </c>
      <c r="E40" s="643">
        <f>IF(ISBLANK(D40),"-",$D$48/$D$45*D40)</f>
        <v>2921805.1713770297</v>
      </c>
      <c r="F40" s="642">
        <v>2524038</v>
      </c>
      <c r="G40" s="644">
        <f>IF(ISBLANK(F40),"-",$D$48/$F$45*F40)</f>
        <v>2878036.4880273659</v>
      </c>
      <c r="I40" s="858"/>
      <c r="L40" s="622"/>
      <c r="M40" s="622"/>
      <c r="N40" s="645"/>
    </row>
    <row r="41" spans="1:14" ht="27" customHeight="1" x14ac:dyDescent="0.4">
      <c r="A41" s="629" t="s">
        <v>69</v>
      </c>
      <c r="B41" s="630">
        <v>1</v>
      </c>
      <c r="C41" s="646">
        <v>4</v>
      </c>
      <c r="D41" s="647"/>
      <c r="E41" s="648" t="str">
        <f>IF(ISBLANK(D41),"-",$D$48/$D$45*D41)</f>
        <v>-</v>
      </c>
      <c r="F41" s="647"/>
      <c r="G41" s="649" t="str">
        <f>IF(ISBLANK(F41),"-",$D$48/$F$45*F41)</f>
        <v>-</v>
      </c>
      <c r="I41" s="650"/>
      <c r="L41" s="622"/>
      <c r="M41" s="622"/>
      <c r="N41" s="645"/>
    </row>
    <row r="42" spans="1:14" ht="27" customHeight="1" x14ac:dyDescent="0.4">
      <c r="A42" s="629" t="s">
        <v>70</v>
      </c>
      <c r="B42" s="630">
        <v>1</v>
      </c>
      <c r="C42" s="651" t="s">
        <v>71</v>
      </c>
      <c r="D42" s="652">
        <f>AVERAGE(D38:D41)</f>
        <v>3243210.3333333335</v>
      </c>
      <c r="E42" s="653">
        <f>AVERAGE(E38:E41)</f>
        <v>2925325.0150330733</v>
      </c>
      <c r="F42" s="652">
        <f>AVERAGE(F38:F41)</f>
        <v>2527160</v>
      </c>
      <c r="G42" s="654">
        <f>AVERAGE(G38:G41)</f>
        <v>2881596.3511972632</v>
      </c>
      <c r="H42" s="655"/>
    </row>
    <row r="43" spans="1:14" ht="26.25" customHeight="1" x14ac:dyDescent="0.4">
      <c r="A43" s="629" t="s">
        <v>72</v>
      </c>
      <c r="B43" s="630">
        <v>1</v>
      </c>
      <c r="C43" s="656" t="s">
        <v>73</v>
      </c>
      <c r="D43" s="657">
        <v>33.26</v>
      </c>
      <c r="E43" s="645"/>
      <c r="F43" s="657">
        <v>26.31</v>
      </c>
      <c r="H43" s="655"/>
    </row>
    <row r="44" spans="1:14" ht="26.25" customHeight="1" x14ac:dyDescent="0.4">
      <c r="A44" s="629" t="s">
        <v>74</v>
      </c>
      <c r="B44" s="630">
        <v>1</v>
      </c>
      <c r="C44" s="658" t="s">
        <v>75</v>
      </c>
      <c r="D44" s="659">
        <f>D43*$B$34</f>
        <v>33.26</v>
      </c>
      <c r="E44" s="660"/>
      <c r="F44" s="659">
        <f>F43*$B$34</f>
        <v>26.31</v>
      </c>
      <c r="H44" s="655"/>
    </row>
    <row r="45" spans="1:14" ht="19.5" customHeight="1" x14ac:dyDescent="0.3">
      <c r="A45" s="629" t="s">
        <v>76</v>
      </c>
      <c r="B45" s="661">
        <f>(B44/B43)*(B42/B41)*(B40/B39)*(B38/B37)*B36</f>
        <v>100</v>
      </c>
      <c r="C45" s="658" t="s">
        <v>77</v>
      </c>
      <c r="D45" s="662">
        <f>D44*$B$30/100</f>
        <v>33.26</v>
      </c>
      <c r="E45" s="663"/>
      <c r="F45" s="662">
        <f>F44*$B$30/100</f>
        <v>26.31</v>
      </c>
      <c r="H45" s="655"/>
    </row>
    <row r="46" spans="1:14" ht="19.5" customHeight="1" x14ac:dyDescent="0.3">
      <c r="A46" s="844" t="s">
        <v>78</v>
      </c>
      <c r="B46" s="845"/>
      <c r="C46" s="658" t="s">
        <v>79</v>
      </c>
      <c r="D46" s="664">
        <f>D45/$B$45</f>
        <v>0.33260000000000001</v>
      </c>
      <c r="E46" s="665"/>
      <c r="F46" s="666">
        <f>F45/$B$45</f>
        <v>0.2631</v>
      </c>
      <c r="H46" s="655"/>
    </row>
    <row r="47" spans="1:14" ht="27" customHeight="1" x14ac:dyDescent="0.4">
      <c r="A47" s="846"/>
      <c r="B47" s="847"/>
      <c r="C47" s="667" t="s">
        <v>80</v>
      </c>
      <c r="D47" s="668">
        <v>0.3</v>
      </c>
      <c r="E47" s="669"/>
      <c r="F47" s="665"/>
      <c r="H47" s="655"/>
    </row>
    <row r="48" spans="1:14" ht="18.75" x14ac:dyDescent="0.3">
      <c r="C48" s="670" t="s">
        <v>81</v>
      </c>
      <c r="D48" s="662">
        <f>D47*$B$45</f>
        <v>30</v>
      </c>
      <c r="F48" s="671"/>
      <c r="H48" s="655"/>
    </row>
    <row r="49" spans="1:12" ht="19.5" customHeight="1" x14ac:dyDescent="0.3">
      <c r="C49" s="672" t="s">
        <v>82</v>
      </c>
      <c r="D49" s="673">
        <f>D48/B34</f>
        <v>30</v>
      </c>
      <c r="F49" s="671"/>
      <c r="H49" s="655"/>
    </row>
    <row r="50" spans="1:12" ht="18.75" x14ac:dyDescent="0.3">
      <c r="C50" s="627" t="s">
        <v>83</v>
      </c>
      <c r="D50" s="674">
        <f>AVERAGE(E38:E41,G38:G41)</f>
        <v>2903460.683115168</v>
      </c>
      <c r="F50" s="675"/>
      <c r="H50" s="655"/>
    </row>
    <row r="51" spans="1:12" ht="18.75" x14ac:dyDescent="0.3">
      <c r="C51" s="629" t="s">
        <v>84</v>
      </c>
      <c r="D51" s="676">
        <f>STDEV(E38:E41,G38:G41)/D50</f>
        <v>8.3188563015657128E-3</v>
      </c>
      <c r="F51" s="675"/>
      <c r="H51" s="655"/>
    </row>
    <row r="52" spans="1:12" ht="19.5" customHeight="1" x14ac:dyDescent="0.3">
      <c r="C52" s="677" t="s">
        <v>20</v>
      </c>
      <c r="D52" s="678">
        <f>COUNT(E38:E41,G38:G41)</f>
        <v>6</v>
      </c>
      <c r="F52" s="675"/>
    </row>
    <row r="54" spans="1:12" ht="18.75" x14ac:dyDescent="0.3">
      <c r="A54" s="679" t="s">
        <v>1</v>
      </c>
      <c r="B54" s="680" t="s">
        <v>85</v>
      </c>
    </row>
    <row r="55" spans="1:12" ht="18.75" x14ac:dyDescent="0.3">
      <c r="A55" s="604" t="s">
        <v>86</v>
      </c>
      <c r="B55" s="681" t="str">
        <f>B21</f>
        <v>ETHAMBUTOL HCl 275mg</v>
      </c>
    </row>
    <row r="56" spans="1:12" ht="26.25" customHeight="1" x14ac:dyDescent="0.4">
      <c r="A56" s="682" t="s">
        <v>87</v>
      </c>
      <c r="B56" s="683">
        <v>275</v>
      </c>
      <c r="C56" s="604" t="str">
        <f>B20</f>
        <v>ETHAMBUTOL HCl</v>
      </c>
      <c r="H56" s="684"/>
    </row>
    <row r="57" spans="1:12" ht="18.75" x14ac:dyDescent="0.3">
      <c r="A57" s="681" t="s">
        <v>88</v>
      </c>
      <c r="B57" s="772">
        <f>'Uniformity (2)'!C46</f>
        <v>1056.2924999999998</v>
      </c>
      <c r="H57" s="684"/>
    </row>
    <row r="58" spans="1:12" ht="19.5" customHeight="1" x14ac:dyDescent="0.3">
      <c r="H58" s="684"/>
    </row>
    <row r="59" spans="1:12" s="14" customFormat="1" ht="27" customHeight="1" x14ac:dyDescent="0.4">
      <c r="A59" s="627" t="s">
        <v>89</v>
      </c>
      <c r="B59" s="628">
        <v>200</v>
      </c>
      <c r="C59" s="604"/>
      <c r="D59" s="685" t="s">
        <v>90</v>
      </c>
      <c r="E59" s="686" t="s">
        <v>62</v>
      </c>
      <c r="F59" s="686" t="s">
        <v>63</v>
      </c>
      <c r="G59" s="686" t="s">
        <v>91</v>
      </c>
      <c r="H59" s="631" t="s">
        <v>92</v>
      </c>
      <c r="L59" s="617"/>
    </row>
    <row r="60" spans="1:12" s="14" customFormat="1" ht="26.25" customHeight="1" x14ac:dyDescent="0.4">
      <c r="A60" s="629" t="s">
        <v>93</v>
      </c>
      <c r="B60" s="630">
        <v>4</v>
      </c>
      <c r="C60" s="861" t="s">
        <v>94</v>
      </c>
      <c r="D60" s="864">
        <f>Rifampicin!D60</f>
        <v>1063</v>
      </c>
      <c r="E60" s="687">
        <v>1</v>
      </c>
      <c r="F60" s="688"/>
      <c r="G60" s="773" t="str">
        <f>IF(ISBLANK(F60),"-",(F60/$D$50*$D$47*$B$68)*($B$57/$D$60))</f>
        <v>-</v>
      </c>
      <c r="H60" s="689" t="str">
        <f t="shared" ref="H60:H71" si="0">IF(ISBLANK(F60),"-",G60/$B$56)</f>
        <v>-</v>
      </c>
      <c r="L60" s="617"/>
    </row>
    <row r="61" spans="1:12" s="14" customFormat="1" ht="26.25" customHeight="1" x14ac:dyDescent="0.4">
      <c r="A61" s="629" t="s">
        <v>95</v>
      </c>
      <c r="B61" s="630">
        <v>20</v>
      </c>
      <c r="C61" s="862"/>
      <c r="D61" s="865"/>
      <c r="E61" s="690">
        <v>2</v>
      </c>
      <c r="F61" s="642"/>
      <c r="G61" s="774" t="str">
        <f>IF(ISBLANK(F61),"-",(F61/$D$50*$D$47*$B$68)*($B$57/$D$60))</f>
        <v>-</v>
      </c>
      <c r="H61" s="691" t="str">
        <f t="shared" si="0"/>
        <v>-</v>
      </c>
      <c r="L61" s="617"/>
    </row>
    <row r="62" spans="1:12" s="14" customFormat="1" ht="26.25" customHeight="1" x14ac:dyDescent="0.4">
      <c r="A62" s="629" t="s">
        <v>96</v>
      </c>
      <c r="B62" s="630">
        <v>1</v>
      </c>
      <c r="C62" s="862"/>
      <c r="D62" s="865"/>
      <c r="E62" s="690">
        <v>3</v>
      </c>
      <c r="F62" s="692"/>
      <c r="G62" s="774" t="str">
        <f>IF(ISBLANK(F62),"-",(F62/$D$50*$D$47*$B$68)*($B$57/$D$60))</f>
        <v>-</v>
      </c>
      <c r="H62" s="691" t="str">
        <f t="shared" si="0"/>
        <v>-</v>
      </c>
      <c r="L62" s="617"/>
    </row>
    <row r="63" spans="1:12" ht="27" customHeight="1" x14ac:dyDescent="0.4">
      <c r="A63" s="629" t="s">
        <v>97</v>
      </c>
      <c r="B63" s="630">
        <v>1</v>
      </c>
      <c r="C63" s="872"/>
      <c r="D63" s="866"/>
      <c r="E63" s="693">
        <v>4</v>
      </c>
      <c r="F63" s="694"/>
      <c r="G63" s="774" t="str">
        <f>IF(ISBLANK(F63),"-",(F63/$D$50*$D$47*$B$68)*($B$57/$D$60))</f>
        <v>-</v>
      </c>
      <c r="H63" s="691" t="str">
        <f t="shared" si="0"/>
        <v>-</v>
      </c>
    </row>
    <row r="64" spans="1:12" ht="26.25" customHeight="1" x14ac:dyDescent="0.4">
      <c r="A64" s="629" t="s">
        <v>98</v>
      </c>
      <c r="B64" s="630">
        <v>1</v>
      </c>
      <c r="C64" s="861" t="s">
        <v>99</v>
      </c>
      <c r="D64" s="864">
        <f>Rifampicin!D64</f>
        <v>1056.96</v>
      </c>
      <c r="E64" s="687">
        <v>1</v>
      </c>
      <c r="F64" s="688">
        <v>2862013</v>
      </c>
      <c r="G64" s="775">
        <f>IF(ISBLANK(F64),"-",(F64/$D$50*$D$47*$B$68)*($B$57/$D$64))</f>
        <v>295.53066533743464</v>
      </c>
      <c r="H64" s="695">
        <f t="shared" si="0"/>
        <v>1.0746569648633988</v>
      </c>
    </row>
    <row r="65" spans="1:8" ht="26.25" customHeight="1" x14ac:dyDescent="0.4">
      <c r="A65" s="629" t="s">
        <v>100</v>
      </c>
      <c r="B65" s="630">
        <v>1</v>
      </c>
      <c r="C65" s="862"/>
      <c r="D65" s="865"/>
      <c r="E65" s="690">
        <v>2</v>
      </c>
      <c r="F65" s="642">
        <v>2837368</v>
      </c>
      <c r="G65" s="776">
        <f>IF(ISBLANK(F65),"-",(F65/$D$50*$D$47*$B$68)*($B$57/$D$64))</f>
        <v>292.98582950082556</v>
      </c>
      <c r="H65" s="696">
        <f t="shared" si="0"/>
        <v>1.0654030163666384</v>
      </c>
    </row>
    <row r="66" spans="1:8" ht="26.25" customHeight="1" x14ac:dyDescent="0.4">
      <c r="A66" s="629" t="s">
        <v>101</v>
      </c>
      <c r="B66" s="630">
        <v>1</v>
      </c>
      <c r="C66" s="862"/>
      <c r="D66" s="865"/>
      <c r="E66" s="690">
        <v>3</v>
      </c>
      <c r="F66" s="642">
        <v>2830315</v>
      </c>
      <c r="G66" s="776">
        <f>IF(ISBLANK(F66),"-",(F66/$D$50*$D$47*$B$68)*($B$57/$D$64))</f>
        <v>292.25753868501693</v>
      </c>
      <c r="H66" s="696">
        <f t="shared" si="0"/>
        <v>1.0627546861273343</v>
      </c>
    </row>
    <row r="67" spans="1:8" ht="27" customHeight="1" x14ac:dyDescent="0.4">
      <c r="A67" s="629" t="s">
        <v>102</v>
      </c>
      <c r="B67" s="630">
        <v>1</v>
      </c>
      <c r="C67" s="872"/>
      <c r="D67" s="866"/>
      <c r="E67" s="693">
        <v>4</v>
      </c>
      <c r="F67" s="694"/>
      <c r="G67" s="777" t="str">
        <f>IF(ISBLANK(F67),"-",(F67/$D$50*$D$47*$B$68)*($B$57/$D$64))</f>
        <v>-</v>
      </c>
      <c r="H67" s="697" t="str">
        <f t="shared" si="0"/>
        <v>-</v>
      </c>
    </row>
    <row r="68" spans="1:8" ht="26.25" customHeight="1" x14ac:dyDescent="0.4">
      <c r="A68" s="629" t="s">
        <v>103</v>
      </c>
      <c r="B68" s="698">
        <f>(B67/B66)*(B65/B64)*(B63/B62)*(B61/B60)*B59</f>
        <v>1000</v>
      </c>
      <c r="C68" s="861" t="s">
        <v>104</v>
      </c>
      <c r="D68" s="864">
        <f>Rifampicin!D68</f>
        <v>1051.21</v>
      </c>
      <c r="E68" s="687">
        <v>1</v>
      </c>
      <c r="F68" s="688">
        <v>2827164</v>
      </c>
      <c r="G68" s="775">
        <f>IF(ISBLANK(F68),"-",(F68/$D$50*$D$47*$B$68)*($B$57/$D$68))</f>
        <v>293.52900329343532</v>
      </c>
      <c r="H68" s="691">
        <f t="shared" si="0"/>
        <v>1.0673781937943103</v>
      </c>
    </row>
    <row r="69" spans="1:8" ht="27" customHeight="1" x14ac:dyDescent="0.4">
      <c r="A69" s="677" t="s">
        <v>105</v>
      </c>
      <c r="B69" s="699">
        <f>(D47*B68)/B56*B57</f>
        <v>1152.3190909090906</v>
      </c>
      <c r="C69" s="862"/>
      <c r="D69" s="865"/>
      <c r="E69" s="690">
        <v>2</v>
      </c>
      <c r="F69" s="642">
        <v>2818997</v>
      </c>
      <c r="G69" s="776">
        <f>IF(ISBLANK(F69),"-",(F69/$D$50*$D$47*$B$68)*($B$57/$D$68))</f>
        <v>292.68106827095437</v>
      </c>
      <c r="H69" s="691">
        <f t="shared" si="0"/>
        <v>1.0642947937125613</v>
      </c>
    </row>
    <row r="70" spans="1:8" ht="26.25" customHeight="1" x14ac:dyDescent="0.4">
      <c r="A70" s="867" t="s">
        <v>78</v>
      </c>
      <c r="B70" s="868"/>
      <c r="C70" s="862"/>
      <c r="D70" s="865"/>
      <c r="E70" s="690">
        <v>3</v>
      </c>
      <c r="F70" s="642">
        <v>2805701</v>
      </c>
      <c r="G70" s="776">
        <f>IF(ISBLANK(F70),"-",(F70/$D$50*$D$47*$B$68)*($B$57/$D$68))</f>
        <v>291.30061718011223</v>
      </c>
      <c r="H70" s="691">
        <f t="shared" si="0"/>
        <v>1.0592749715640444</v>
      </c>
    </row>
    <row r="71" spans="1:8" ht="27" customHeight="1" x14ac:dyDescent="0.4">
      <c r="A71" s="869"/>
      <c r="B71" s="870"/>
      <c r="C71" s="863"/>
      <c r="D71" s="866"/>
      <c r="E71" s="693">
        <v>4</v>
      </c>
      <c r="F71" s="694"/>
      <c r="G71" s="777" t="str">
        <f>IF(ISBLANK(F71),"-",(F71/$D$50*$D$47*$B$68)*($B$57/$D$68))</f>
        <v>-</v>
      </c>
      <c r="H71" s="700" t="str">
        <f t="shared" si="0"/>
        <v>-</v>
      </c>
    </row>
    <row r="72" spans="1:8" ht="26.25" customHeight="1" x14ac:dyDescent="0.4">
      <c r="A72" s="701"/>
      <c r="B72" s="701"/>
      <c r="C72" s="701"/>
      <c r="D72" s="701"/>
      <c r="E72" s="701"/>
      <c r="F72" s="703" t="s">
        <v>71</v>
      </c>
      <c r="G72" s="782">
        <f>AVERAGE(G60:G71)</f>
        <v>293.04745371129644</v>
      </c>
      <c r="H72" s="704">
        <f>AVERAGE(H60:H71)</f>
        <v>1.0656271044047145</v>
      </c>
    </row>
    <row r="73" spans="1:8" ht="26.25" customHeight="1" x14ac:dyDescent="0.4">
      <c r="C73" s="701"/>
      <c r="D73" s="701"/>
      <c r="E73" s="701"/>
      <c r="F73" s="705" t="s">
        <v>84</v>
      </c>
      <c r="G73" s="778">
        <f>STDEV(G60:G71)/G72</f>
        <v>4.8766930323895126E-3</v>
      </c>
      <c r="H73" s="778">
        <f>STDEV(H60:H71)/H72</f>
        <v>4.8766930323895672E-3</v>
      </c>
    </row>
    <row r="74" spans="1:8" ht="27" customHeight="1" x14ac:dyDescent="0.4">
      <c r="A74" s="701"/>
      <c r="B74" s="701"/>
      <c r="C74" s="702"/>
      <c r="D74" s="702"/>
      <c r="E74" s="706"/>
      <c r="F74" s="707" t="s">
        <v>20</v>
      </c>
      <c r="G74" s="708">
        <f>COUNT(G60:G71)</f>
        <v>6</v>
      </c>
      <c r="H74" s="708">
        <f>COUNT(H60:H71)</f>
        <v>6</v>
      </c>
    </row>
    <row r="76" spans="1:8" ht="26.25" customHeight="1" x14ac:dyDescent="0.4">
      <c r="A76" s="613" t="s">
        <v>106</v>
      </c>
      <c r="B76" s="709" t="s">
        <v>107</v>
      </c>
      <c r="C76" s="848" t="str">
        <f>B20</f>
        <v>ETHAMBUTOL HCl</v>
      </c>
      <c r="D76" s="848"/>
      <c r="E76" s="710" t="s">
        <v>108</v>
      </c>
      <c r="F76" s="710"/>
      <c r="G76" s="711">
        <f>H72</f>
        <v>1.0656271044047145</v>
      </c>
      <c r="H76" s="712"/>
    </row>
    <row r="77" spans="1:8" ht="18.75" x14ac:dyDescent="0.3">
      <c r="A77" s="612" t="s">
        <v>109</v>
      </c>
      <c r="B77" s="612" t="s">
        <v>110</v>
      </c>
    </row>
    <row r="78" spans="1:8" ht="18.75" x14ac:dyDescent="0.3">
      <c r="A78" s="612"/>
      <c r="B78" s="612"/>
    </row>
    <row r="79" spans="1:8" ht="26.25" customHeight="1" x14ac:dyDescent="0.4">
      <c r="A79" s="613" t="s">
        <v>4</v>
      </c>
      <c r="B79" s="871" t="str">
        <f>B26</f>
        <v>ETHAMBUTOL HYDROCHLORIDE</v>
      </c>
      <c r="C79" s="871"/>
    </row>
    <row r="80" spans="1:8" ht="26.25" customHeight="1" x14ac:dyDescent="0.4">
      <c r="A80" s="614" t="s">
        <v>48</v>
      </c>
      <c r="B80" s="871" t="str">
        <f>B27</f>
        <v>E12 3</v>
      </c>
      <c r="C80" s="871"/>
    </row>
    <row r="81" spans="1:12" ht="27" customHeight="1" x14ac:dyDescent="0.4">
      <c r="A81" s="614" t="s">
        <v>6</v>
      </c>
      <c r="B81" s="713">
        <f>B28</f>
        <v>100</v>
      </c>
    </row>
    <row r="82" spans="1:12" s="14" customFormat="1" ht="27" customHeight="1" x14ac:dyDescent="0.4">
      <c r="A82" s="614" t="s">
        <v>49</v>
      </c>
      <c r="B82" s="616">
        <v>0</v>
      </c>
      <c r="C82" s="850" t="s">
        <v>50</v>
      </c>
      <c r="D82" s="851"/>
      <c r="E82" s="851"/>
      <c r="F82" s="851"/>
      <c r="G82" s="852"/>
      <c r="I82" s="617"/>
      <c r="J82" s="617"/>
      <c r="K82" s="617"/>
      <c r="L82" s="617"/>
    </row>
    <row r="83" spans="1:12" s="14" customFormat="1" ht="19.5" customHeight="1" x14ac:dyDescent="0.3">
      <c r="A83" s="614" t="s">
        <v>51</v>
      </c>
      <c r="B83" s="618">
        <f>B81-B82</f>
        <v>100</v>
      </c>
      <c r="C83" s="619"/>
      <c r="D83" s="619"/>
      <c r="E83" s="619"/>
      <c r="F83" s="619"/>
      <c r="G83" s="620"/>
      <c r="I83" s="617"/>
      <c r="J83" s="617"/>
      <c r="K83" s="617"/>
      <c r="L83" s="617"/>
    </row>
    <row r="84" spans="1:12" s="14" customFormat="1" ht="27" customHeight="1" x14ac:dyDescent="0.4">
      <c r="A84" s="614" t="s">
        <v>52</v>
      </c>
      <c r="B84" s="621">
        <v>1</v>
      </c>
      <c r="C84" s="853" t="s">
        <v>111</v>
      </c>
      <c r="D84" s="854"/>
      <c r="E84" s="854"/>
      <c r="F84" s="854"/>
      <c r="G84" s="854"/>
      <c r="H84" s="855"/>
      <c r="I84" s="617"/>
      <c r="J84" s="617"/>
      <c r="K84" s="617"/>
      <c r="L84" s="617"/>
    </row>
    <row r="85" spans="1:12" s="14" customFormat="1" ht="27" customHeight="1" x14ac:dyDescent="0.4">
      <c r="A85" s="614" t="s">
        <v>54</v>
      </c>
      <c r="B85" s="621">
        <v>1</v>
      </c>
      <c r="C85" s="853" t="s">
        <v>112</v>
      </c>
      <c r="D85" s="854"/>
      <c r="E85" s="854"/>
      <c r="F85" s="854"/>
      <c r="G85" s="854"/>
      <c r="H85" s="855"/>
      <c r="I85" s="617"/>
      <c r="J85" s="617"/>
      <c r="K85" s="617"/>
      <c r="L85" s="617"/>
    </row>
    <row r="86" spans="1:12" s="14" customFormat="1" ht="18.75" x14ac:dyDescent="0.3">
      <c r="A86" s="614"/>
      <c r="B86" s="624"/>
      <c r="C86" s="625"/>
      <c r="D86" s="625"/>
      <c r="E86" s="625"/>
      <c r="F86" s="625"/>
      <c r="G86" s="625"/>
      <c r="H86" s="625"/>
      <c r="I86" s="617"/>
      <c r="J86" s="617"/>
      <c r="K86" s="617"/>
      <c r="L86" s="617"/>
    </row>
    <row r="87" spans="1:12" s="14" customFormat="1" ht="18.75" x14ac:dyDescent="0.3">
      <c r="A87" s="614" t="s">
        <v>56</v>
      </c>
      <c r="B87" s="626">
        <f>B84/B85</f>
        <v>1</v>
      </c>
      <c r="C87" s="604" t="s">
        <v>57</v>
      </c>
      <c r="D87" s="604"/>
      <c r="E87" s="604"/>
      <c r="F87" s="604"/>
      <c r="G87" s="604"/>
      <c r="I87" s="617"/>
      <c r="J87" s="617"/>
      <c r="K87" s="617"/>
      <c r="L87" s="617"/>
    </row>
    <row r="88" spans="1:12" ht="19.5" customHeight="1" x14ac:dyDescent="0.3">
      <c r="A88" s="612"/>
      <c r="B88" s="612"/>
    </row>
    <row r="89" spans="1:12" ht="27" customHeight="1" x14ac:dyDescent="0.4">
      <c r="A89" s="627" t="s">
        <v>58</v>
      </c>
      <c r="B89" s="628">
        <v>100</v>
      </c>
      <c r="D89" s="714" t="s">
        <v>59</v>
      </c>
      <c r="E89" s="715"/>
      <c r="F89" s="856" t="s">
        <v>60</v>
      </c>
      <c r="G89" s="857"/>
    </row>
    <row r="90" spans="1:12" ht="27" customHeight="1" x14ac:dyDescent="0.4">
      <c r="A90" s="629" t="s">
        <v>61</v>
      </c>
      <c r="B90" s="630">
        <v>1</v>
      </c>
      <c r="C90" s="716" t="s">
        <v>62</v>
      </c>
      <c r="D90" s="632" t="s">
        <v>63</v>
      </c>
      <c r="E90" s="633" t="s">
        <v>64</v>
      </c>
      <c r="F90" s="632" t="s">
        <v>63</v>
      </c>
      <c r="G90" s="717" t="s">
        <v>64</v>
      </c>
      <c r="I90" s="635" t="s">
        <v>65</v>
      </c>
    </row>
    <row r="91" spans="1:12" ht="26.25" customHeight="1" x14ac:dyDescent="0.4">
      <c r="A91" s="629" t="s">
        <v>66</v>
      </c>
      <c r="B91" s="630">
        <v>1</v>
      </c>
      <c r="C91" s="718">
        <v>1</v>
      </c>
      <c r="D91" s="637">
        <v>3246653</v>
      </c>
      <c r="E91" s="638">
        <f>IF(ISBLANK(D91),"-",$D$101/$D$98*D91)</f>
        <v>2982660.4362931787</v>
      </c>
      <c r="F91" s="637">
        <v>2530413</v>
      </c>
      <c r="G91" s="639">
        <f>IF(ISBLANK(F91),"-",$D$101/$F$98*F91)</f>
        <v>2938737.1721778796</v>
      </c>
      <c r="I91" s="640"/>
    </row>
    <row r="92" spans="1:12" ht="26.25" customHeight="1" x14ac:dyDescent="0.4">
      <c r="A92" s="629" t="s">
        <v>67</v>
      </c>
      <c r="B92" s="630">
        <v>1</v>
      </c>
      <c r="C92" s="702">
        <v>2</v>
      </c>
      <c r="D92" s="642">
        <v>3243670</v>
      </c>
      <c r="E92" s="643">
        <f>IF(ISBLANK(D92),"-",$D$101/$D$98*D92)</f>
        <v>2979919.9906460885</v>
      </c>
      <c r="F92" s="642">
        <v>2527029</v>
      </c>
      <c r="G92" s="644">
        <f>IF(ISBLANK(F92),"-",$D$101/$F$98*F92)</f>
        <v>2934807.1075636647</v>
      </c>
      <c r="I92" s="858">
        <f>ABS((F96/D96*D95)-F95)/D95</f>
        <v>1.1824715094746604E-2</v>
      </c>
    </row>
    <row r="93" spans="1:12" ht="26.25" customHeight="1" x14ac:dyDescent="0.4">
      <c r="A93" s="629" t="s">
        <v>68</v>
      </c>
      <c r="B93" s="630">
        <v>1</v>
      </c>
      <c r="C93" s="702">
        <v>3</v>
      </c>
      <c r="D93" s="642">
        <v>3239308</v>
      </c>
      <c r="E93" s="643">
        <f>IF(ISBLANK(D93),"-",$D$101/$D$98*D93)</f>
        <v>2975912.6745506786</v>
      </c>
      <c r="F93" s="642">
        <v>2524038</v>
      </c>
      <c r="G93" s="644">
        <f>IF(ISBLANK(F93),"-",$D$101/$F$98*F93)</f>
        <v>2931333.4600278735</v>
      </c>
      <c r="I93" s="858"/>
    </row>
    <row r="94" spans="1:12" ht="27" customHeight="1" x14ac:dyDescent="0.4">
      <c r="A94" s="629" t="s">
        <v>69</v>
      </c>
      <c r="B94" s="630">
        <v>1</v>
      </c>
      <c r="C94" s="719">
        <v>4</v>
      </c>
      <c r="D94" s="647"/>
      <c r="E94" s="648" t="str">
        <f>IF(ISBLANK(D94),"-",$D$101/$D$98*D94)</f>
        <v>-</v>
      </c>
      <c r="F94" s="647"/>
      <c r="G94" s="649" t="str">
        <f>IF(ISBLANK(F94),"-",$D$101/$F$98*F94)</f>
        <v>-</v>
      </c>
      <c r="I94" s="650"/>
    </row>
    <row r="95" spans="1:12" ht="27" customHeight="1" x14ac:dyDescent="0.4">
      <c r="A95" s="629" t="s">
        <v>70</v>
      </c>
      <c r="B95" s="630">
        <v>1</v>
      </c>
      <c r="C95" s="720" t="s">
        <v>71</v>
      </c>
      <c r="D95" s="721">
        <f>AVERAGE(D91:D94)</f>
        <v>3243210.3333333335</v>
      </c>
      <c r="E95" s="653">
        <f>AVERAGE(E91:E94)</f>
        <v>2979497.7004966489</v>
      </c>
      <c r="F95" s="722">
        <f>AVERAGE(F91:F94)</f>
        <v>2527160</v>
      </c>
      <c r="G95" s="723">
        <f>AVERAGE(G91:G94)</f>
        <v>2934959.2465898059</v>
      </c>
    </row>
    <row r="96" spans="1:12" ht="26.25" customHeight="1" x14ac:dyDescent="0.4">
      <c r="A96" s="629" t="s">
        <v>72</v>
      </c>
      <c r="B96" s="615">
        <v>1</v>
      </c>
      <c r="C96" s="724" t="s">
        <v>113</v>
      </c>
      <c r="D96" s="725">
        <f>D43</f>
        <v>33.26</v>
      </c>
      <c r="E96" s="645"/>
      <c r="F96" s="657">
        <f>F43</f>
        <v>26.31</v>
      </c>
    </row>
    <row r="97" spans="1:10" ht="26.25" customHeight="1" x14ac:dyDescent="0.4">
      <c r="A97" s="629" t="s">
        <v>74</v>
      </c>
      <c r="B97" s="615">
        <v>1</v>
      </c>
      <c r="C97" s="726" t="s">
        <v>114</v>
      </c>
      <c r="D97" s="727">
        <f>D96*$B$87</f>
        <v>33.26</v>
      </c>
      <c r="E97" s="660"/>
      <c r="F97" s="659">
        <f>F96*$B$87</f>
        <v>26.31</v>
      </c>
    </row>
    <row r="98" spans="1:10" ht="19.5" customHeight="1" x14ac:dyDescent="0.3">
      <c r="A98" s="629" t="s">
        <v>76</v>
      </c>
      <c r="B98" s="728">
        <f>(B97/B96)*(B95/B94)*(B93/B92)*(B91/B90)*B89</f>
        <v>100</v>
      </c>
      <c r="C98" s="726" t="s">
        <v>115</v>
      </c>
      <c r="D98" s="729">
        <f>D97*$B$83/100</f>
        <v>33.26</v>
      </c>
      <c r="E98" s="663"/>
      <c r="F98" s="662">
        <f>F97*$B$83/100</f>
        <v>26.31</v>
      </c>
    </row>
    <row r="99" spans="1:10" ht="19.5" customHeight="1" x14ac:dyDescent="0.3">
      <c r="A99" s="844" t="s">
        <v>78</v>
      </c>
      <c r="B99" s="859"/>
      <c r="C99" s="726" t="s">
        <v>116</v>
      </c>
      <c r="D99" s="730">
        <f>D98/$B$98</f>
        <v>0.33260000000000001</v>
      </c>
      <c r="E99" s="663"/>
      <c r="F99" s="666">
        <f>F98/$B$98</f>
        <v>0.2631</v>
      </c>
      <c r="G99" s="731"/>
      <c r="H99" s="655"/>
    </row>
    <row r="100" spans="1:10" ht="19.5" customHeight="1" x14ac:dyDescent="0.3">
      <c r="A100" s="846"/>
      <c r="B100" s="860"/>
      <c r="C100" s="726" t="s">
        <v>80</v>
      </c>
      <c r="D100" s="732">
        <f>$B$56/$B$116</f>
        <v>0.30555555555555558</v>
      </c>
      <c r="F100" s="671"/>
      <c r="G100" s="733"/>
      <c r="H100" s="655"/>
    </row>
    <row r="101" spans="1:10" ht="18.75" x14ac:dyDescent="0.3">
      <c r="C101" s="726" t="s">
        <v>81</v>
      </c>
      <c r="D101" s="727">
        <f>D100*$B$98</f>
        <v>30.555555555555557</v>
      </c>
      <c r="F101" s="671"/>
      <c r="G101" s="731"/>
      <c r="H101" s="655"/>
    </row>
    <row r="102" spans="1:10" ht="19.5" customHeight="1" x14ac:dyDescent="0.3">
      <c r="C102" s="734" t="s">
        <v>82</v>
      </c>
      <c r="D102" s="735">
        <f>D101/B34</f>
        <v>30.555555555555557</v>
      </c>
      <c r="F102" s="675"/>
      <c r="G102" s="731"/>
      <c r="H102" s="655"/>
      <c r="J102" s="736"/>
    </row>
    <row r="103" spans="1:10" ht="18.75" x14ac:dyDescent="0.3">
      <c r="C103" s="737" t="s">
        <v>117</v>
      </c>
      <c r="D103" s="738">
        <f>AVERAGE(E91:E94,G91:G94)</f>
        <v>2957228.4735432272</v>
      </c>
      <c r="F103" s="675"/>
      <c r="G103" s="739"/>
      <c r="H103" s="655"/>
      <c r="J103" s="740"/>
    </row>
    <row r="104" spans="1:10" ht="18.75" x14ac:dyDescent="0.3">
      <c r="C104" s="705" t="s">
        <v>84</v>
      </c>
      <c r="D104" s="741">
        <f>STDEV(E91:E94,G91:G94)/D103</f>
        <v>8.3188563015656001E-3</v>
      </c>
      <c r="F104" s="675"/>
      <c r="G104" s="731"/>
      <c r="H104" s="655"/>
      <c r="J104" s="740"/>
    </row>
    <row r="105" spans="1:10" ht="19.5" customHeight="1" x14ac:dyDescent="0.3">
      <c r="C105" s="707" t="s">
        <v>20</v>
      </c>
      <c r="D105" s="742">
        <f>COUNT(E91:E94,G91:G94)</f>
        <v>6</v>
      </c>
      <c r="F105" s="675"/>
      <c r="G105" s="731"/>
      <c r="H105" s="655"/>
      <c r="J105" s="740"/>
    </row>
    <row r="106" spans="1:10" ht="19.5" customHeight="1" x14ac:dyDescent="0.3">
      <c r="A106" s="679"/>
      <c r="B106" s="679"/>
      <c r="C106" s="679"/>
      <c r="D106" s="679"/>
      <c r="E106" s="679"/>
    </row>
    <row r="107" spans="1:10" ht="26.25" customHeight="1" x14ac:dyDescent="0.4">
      <c r="A107" s="627" t="s">
        <v>118</v>
      </c>
      <c r="B107" s="628">
        <v>900</v>
      </c>
      <c r="C107" s="743" t="s">
        <v>119</v>
      </c>
      <c r="D107" s="744" t="s">
        <v>63</v>
      </c>
      <c r="E107" s="745" t="s">
        <v>120</v>
      </c>
      <c r="F107" s="746" t="s">
        <v>121</v>
      </c>
    </row>
    <row r="108" spans="1:10" ht="26.25" customHeight="1" x14ac:dyDescent="0.4">
      <c r="A108" s="629" t="s">
        <v>122</v>
      </c>
      <c r="B108" s="630">
        <v>1</v>
      </c>
      <c r="C108" s="747">
        <v>1</v>
      </c>
      <c r="D108" s="748">
        <v>2818440</v>
      </c>
      <c r="E108" s="779">
        <f t="shared" ref="E108:E113" si="1">IF(ISBLANK(D108),"-",D108/$D$103*$D$100*$B$116)</f>
        <v>262.09371610416775</v>
      </c>
      <c r="F108" s="749">
        <f t="shared" ref="F108:F113" si="2">IF(ISBLANK(D108), "-", E108/$B$56)</f>
        <v>0.95306805856061005</v>
      </c>
    </row>
    <row r="109" spans="1:10" ht="26.25" customHeight="1" x14ac:dyDescent="0.4">
      <c r="A109" s="629" t="s">
        <v>95</v>
      </c>
      <c r="B109" s="630">
        <v>1</v>
      </c>
      <c r="C109" s="747">
        <v>2</v>
      </c>
      <c r="D109" s="748">
        <v>2810404</v>
      </c>
      <c r="E109" s="780">
        <f t="shared" si="1"/>
        <v>261.34642856119615</v>
      </c>
      <c r="F109" s="750">
        <f t="shared" si="2"/>
        <v>0.95035064931344049</v>
      </c>
    </row>
    <row r="110" spans="1:10" ht="26.25" customHeight="1" x14ac:dyDescent="0.4">
      <c r="A110" s="629" t="s">
        <v>96</v>
      </c>
      <c r="B110" s="630">
        <v>1</v>
      </c>
      <c r="C110" s="747">
        <v>3</v>
      </c>
      <c r="D110" s="748">
        <v>2828908</v>
      </c>
      <c r="E110" s="780">
        <f t="shared" si="1"/>
        <v>263.06716135053756</v>
      </c>
      <c r="F110" s="750">
        <f t="shared" si="2"/>
        <v>0.95660785945650018</v>
      </c>
    </row>
    <row r="111" spans="1:10" ht="26.25" customHeight="1" x14ac:dyDescent="0.4">
      <c r="A111" s="629" t="s">
        <v>97</v>
      </c>
      <c r="B111" s="630">
        <v>1</v>
      </c>
      <c r="C111" s="747">
        <v>4</v>
      </c>
      <c r="D111" s="748">
        <v>2810162</v>
      </c>
      <c r="E111" s="780">
        <f t="shared" si="1"/>
        <v>261.32392438182836</v>
      </c>
      <c r="F111" s="750">
        <f t="shared" si="2"/>
        <v>0.95026881593392132</v>
      </c>
    </row>
    <row r="112" spans="1:10" ht="26.25" customHeight="1" x14ac:dyDescent="0.4">
      <c r="A112" s="629" t="s">
        <v>98</v>
      </c>
      <c r="B112" s="630">
        <v>1</v>
      </c>
      <c r="C112" s="747">
        <v>5</v>
      </c>
      <c r="D112" s="748">
        <v>2807343</v>
      </c>
      <c r="E112" s="780">
        <f t="shared" si="1"/>
        <v>261.06177858993726</v>
      </c>
      <c r="F112" s="750">
        <f t="shared" si="2"/>
        <v>0.94931555850886273</v>
      </c>
    </row>
    <row r="113" spans="1:10" ht="26.25" customHeight="1" x14ac:dyDescent="0.4">
      <c r="A113" s="629" t="s">
        <v>100</v>
      </c>
      <c r="B113" s="630">
        <v>1</v>
      </c>
      <c r="C113" s="751">
        <v>6</v>
      </c>
      <c r="D113" s="752">
        <v>2824019</v>
      </c>
      <c r="E113" s="781">
        <f t="shared" si="1"/>
        <v>262.61252113182326</v>
      </c>
      <c r="F113" s="753">
        <f t="shared" si="2"/>
        <v>0.95495462229753914</v>
      </c>
    </row>
    <row r="114" spans="1:10" ht="26.25" customHeight="1" x14ac:dyDescent="0.4">
      <c r="A114" s="629" t="s">
        <v>101</v>
      </c>
      <c r="B114" s="630">
        <v>1</v>
      </c>
      <c r="C114" s="747"/>
      <c r="D114" s="702"/>
      <c r="E114" s="603"/>
      <c r="F114" s="754"/>
    </row>
    <row r="115" spans="1:10" ht="26.25" customHeight="1" x14ac:dyDescent="0.4">
      <c r="A115" s="629" t="s">
        <v>102</v>
      </c>
      <c r="B115" s="630">
        <v>1</v>
      </c>
      <c r="C115" s="747"/>
      <c r="D115" s="755" t="s">
        <v>71</v>
      </c>
      <c r="E115" s="783">
        <f>AVERAGE(E108:E113)</f>
        <v>261.91758835324839</v>
      </c>
      <c r="F115" s="756">
        <f>AVERAGE(F108:F113)</f>
        <v>0.95242759401181232</v>
      </c>
    </row>
    <row r="116" spans="1:10" ht="27" customHeight="1" x14ac:dyDescent="0.4">
      <c r="A116" s="629" t="s">
        <v>103</v>
      </c>
      <c r="B116" s="661">
        <f>(B115/B114)*(B113/B112)*(B111/B110)*(B109/B108)*B107</f>
        <v>900</v>
      </c>
      <c r="C116" s="757"/>
      <c r="D116" s="720" t="s">
        <v>84</v>
      </c>
      <c r="E116" s="758">
        <f>STDEV(E108:E113)/E115</f>
        <v>3.076527540051356E-3</v>
      </c>
      <c r="F116" s="758">
        <f>STDEV(F108:F113)/F115</f>
        <v>3.0765275400513642E-3</v>
      </c>
      <c r="I116" s="603"/>
    </row>
    <row r="117" spans="1:10" ht="27" customHeight="1" x14ac:dyDescent="0.4">
      <c r="A117" s="844" t="s">
        <v>78</v>
      </c>
      <c r="B117" s="845"/>
      <c r="C117" s="759"/>
      <c r="D117" s="760" t="s">
        <v>20</v>
      </c>
      <c r="E117" s="761">
        <f>COUNT(E108:E113)</f>
        <v>6</v>
      </c>
      <c r="F117" s="761">
        <f>COUNT(F108:F113)</f>
        <v>6</v>
      </c>
      <c r="I117" s="603"/>
      <c r="J117" s="740"/>
    </row>
    <row r="118" spans="1:10" ht="19.5" customHeight="1" x14ac:dyDescent="0.3">
      <c r="A118" s="846"/>
      <c r="B118" s="847"/>
      <c r="C118" s="603"/>
      <c r="D118" s="603"/>
      <c r="E118" s="603"/>
      <c r="F118" s="702"/>
      <c r="G118" s="603"/>
      <c r="H118" s="603"/>
      <c r="I118" s="603"/>
    </row>
    <row r="119" spans="1:10" ht="18.75" x14ac:dyDescent="0.3">
      <c r="A119" s="770"/>
      <c r="B119" s="625"/>
      <c r="C119" s="603"/>
      <c r="D119" s="603"/>
      <c r="E119" s="603"/>
      <c r="F119" s="702"/>
      <c r="G119" s="603"/>
      <c r="H119" s="603"/>
      <c r="I119" s="603"/>
    </row>
    <row r="120" spans="1:10" ht="26.25" customHeight="1" x14ac:dyDescent="0.4">
      <c r="A120" s="613" t="s">
        <v>106</v>
      </c>
      <c r="B120" s="709" t="s">
        <v>123</v>
      </c>
      <c r="C120" s="848" t="str">
        <f>B20</f>
        <v>ETHAMBUTOL HCl</v>
      </c>
      <c r="D120" s="848"/>
      <c r="E120" s="710" t="s">
        <v>124</v>
      </c>
      <c r="F120" s="710"/>
      <c r="G120" s="711">
        <f>F115</f>
        <v>0.95242759401181232</v>
      </c>
      <c r="H120" s="603"/>
      <c r="I120" s="603"/>
    </row>
    <row r="121" spans="1:10" ht="19.5" customHeight="1" x14ac:dyDescent="0.3">
      <c r="A121" s="762"/>
      <c r="B121" s="762"/>
      <c r="C121" s="763"/>
      <c r="D121" s="763"/>
      <c r="E121" s="763"/>
      <c r="F121" s="763"/>
      <c r="G121" s="763"/>
      <c r="H121" s="763"/>
    </row>
    <row r="122" spans="1:10" ht="18.75" x14ac:dyDescent="0.3">
      <c r="B122" s="849" t="s">
        <v>26</v>
      </c>
      <c r="C122" s="849"/>
      <c r="E122" s="716" t="s">
        <v>27</v>
      </c>
      <c r="F122" s="764"/>
      <c r="G122" s="849" t="s">
        <v>28</v>
      </c>
      <c r="H122" s="849"/>
    </row>
    <row r="123" spans="1:10" ht="69.95" customHeight="1" x14ac:dyDescent="0.3">
      <c r="A123" s="765" t="s">
        <v>29</v>
      </c>
      <c r="B123" s="766"/>
      <c r="C123" s="766"/>
      <c r="E123" s="766"/>
      <c r="F123" s="603"/>
      <c r="G123" s="767"/>
      <c r="H123" s="767"/>
    </row>
    <row r="124" spans="1:10" ht="69.95" customHeight="1" x14ac:dyDescent="0.3">
      <c r="A124" s="765" t="s">
        <v>30</v>
      </c>
      <c r="B124" s="768"/>
      <c r="C124" s="768"/>
      <c r="E124" s="768"/>
      <c r="F124" s="603"/>
      <c r="G124" s="769"/>
      <c r="H124" s="769"/>
    </row>
    <row r="125" spans="1:10" ht="18.75" x14ac:dyDescent="0.3">
      <c r="A125" s="701"/>
      <c r="B125" s="701"/>
      <c r="C125" s="702"/>
      <c r="D125" s="702"/>
      <c r="E125" s="702"/>
      <c r="F125" s="706"/>
      <c r="G125" s="702"/>
      <c r="H125" s="702"/>
      <c r="I125" s="603"/>
    </row>
    <row r="126" spans="1:10" ht="18.75" x14ac:dyDescent="0.3">
      <c r="A126" s="701"/>
      <c r="B126" s="701"/>
      <c r="C126" s="702"/>
      <c r="D126" s="702"/>
      <c r="E126" s="702"/>
      <c r="F126" s="706"/>
      <c r="G126" s="702"/>
      <c r="H126" s="702"/>
      <c r="I126" s="603"/>
    </row>
    <row r="127" spans="1:10" ht="18.75" x14ac:dyDescent="0.3">
      <c r="A127" s="701"/>
      <c r="B127" s="701"/>
      <c r="C127" s="702"/>
      <c r="D127" s="702"/>
      <c r="E127" s="702"/>
      <c r="F127" s="706"/>
      <c r="G127" s="702"/>
      <c r="H127" s="702"/>
      <c r="I127" s="603"/>
    </row>
    <row r="128" spans="1:10" ht="18.75" x14ac:dyDescent="0.3">
      <c r="A128" s="701"/>
      <c r="B128" s="701"/>
      <c r="C128" s="702"/>
      <c r="D128" s="702"/>
      <c r="E128" s="702"/>
      <c r="F128" s="706"/>
      <c r="G128" s="702"/>
      <c r="H128" s="702"/>
      <c r="I128" s="603"/>
    </row>
    <row r="129" spans="1:9" ht="18.75" x14ac:dyDescent="0.3">
      <c r="A129" s="701"/>
      <c r="B129" s="701"/>
      <c r="C129" s="702"/>
      <c r="D129" s="702"/>
      <c r="E129" s="702"/>
      <c r="F129" s="706"/>
      <c r="G129" s="702"/>
      <c r="H129" s="702"/>
      <c r="I129" s="603"/>
    </row>
    <row r="130" spans="1:9" ht="18.75" x14ac:dyDescent="0.3">
      <c r="A130" s="701"/>
      <c r="B130" s="701"/>
      <c r="C130" s="702"/>
      <c r="D130" s="702"/>
      <c r="E130" s="702"/>
      <c r="F130" s="706"/>
      <c r="G130" s="702"/>
      <c r="H130" s="702"/>
      <c r="I130" s="603"/>
    </row>
    <row r="131" spans="1:9" ht="18.75" x14ac:dyDescent="0.3">
      <c r="A131" s="701"/>
      <c r="B131" s="701"/>
      <c r="C131" s="702"/>
      <c r="D131" s="702"/>
      <c r="E131" s="702"/>
      <c r="F131" s="706"/>
      <c r="G131" s="702"/>
      <c r="H131" s="702"/>
      <c r="I131" s="603"/>
    </row>
    <row r="132" spans="1:9" ht="18.75" x14ac:dyDescent="0.3">
      <c r="A132" s="701"/>
      <c r="B132" s="701"/>
      <c r="C132" s="702"/>
      <c r="D132" s="702"/>
      <c r="E132" s="702"/>
      <c r="F132" s="706"/>
      <c r="G132" s="702"/>
      <c r="H132" s="702"/>
      <c r="I132" s="603"/>
    </row>
    <row r="133" spans="1:9" ht="18.75" x14ac:dyDescent="0.3">
      <c r="A133" s="701"/>
      <c r="B133" s="701"/>
      <c r="C133" s="702"/>
      <c r="D133" s="702"/>
      <c r="E133" s="702"/>
      <c r="F133" s="706"/>
      <c r="G133" s="702"/>
      <c r="H133" s="702"/>
      <c r="I133" s="60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G37" sqref="G37"/>
    </sheetView>
  </sheetViews>
  <sheetFormatPr defaultRowHeight="13.5" x14ac:dyDescent="0.25"/>
  <cols>
    <col min="1" max="1" width="27.5703125" style="731" customWidth="1"/>
    <col min="2" max="2" width="20.42578125" style="731" customWidth="1"/>
    <col min="3" max="3" width="31.85546875" style="731" customWidth="1"/>
    <col min="4" max="4" width="25.85546875" style="731" customWidth="1"/>
    <col min="5" max="5" width="25.7109375" style="731" customWidth="1"/>
    <col min="6" max="6" width="23.140625" style="731" customWidth="1"/>
    <col min="7" max="7" width="28.42578125" style="731" customWidth="1"/>
    <col min="8" max="8" width="21.5703125" style="731" customWidth="1"/>
    <col min="9" max="9" width="9.140625" style="73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832" t="s">
        <v>0</v>
      </c>
      <c r="B15" s="832"/>
      <c r="C15" s="832"/>
      <c r="D15" s="832"/>
      <c r="E15" s="832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731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7</v>
      </c>
      <c r="C19" s="53"/>
      <c r="D19" s="53"/>
      <c r="E19" s="53"/>
    </row>
    <row r="20" spans="1:5" ht="16.5" customHeight="1" x14ac:dyDescent="0.3">
      <c r="A20" s="8" t="s">
        <v>8</v>
      </c>
      <c r="B20" s="12">
        <v>43.25</v>
      </c>
      <c r="C20" s="53"/>
      <c r="D20" s="53"/>
      <c r="E20" s="53"/>
    </row>
    <row r="21" spans="1:5" ht="16.5" customHeight="1" x14ac:dyDescent="0.3">
      <c r="A21" s="8" t="s">
        <v>10</v>
      </c>
      <c r="B21" s="13">
        <f>B20/100</f>
        <v>0.4325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4326118</v>
      </c>
      <c r="C24" s="18">
        <v>49706.400000000001</v>
      </c>
      <c r="D24" s="19">
        <v>1.1000000000000001</v>
      </c>
      <c r="E24" s="20">
        <v>6.367</v>
      </c>
    </row>
    <row r="25" spans="1:5" ht="16.5" customHeight="1" x14ac:dyDescent="0.3">
      <c r="A25" s="17">
        <v>2</v>
      </c>
      <c r="B25" s="18">
        <v>4293979</v>
      </c>
      <c r="C25" s="18">
        <v>49827.5</v>
      </c>
      <c r="D25" s="19">
        <v>1.1000000000000001</v>
      </c>
      <c r="E25" s="19">
        <v>6.36</v>
      </c>
    </row>
    <row r="26" spans="1:5" ht="16.5" customHeight="1" x14ac:dyDescent="0.3">
      <c r="A26" s="17">
        <v>3</v>
      </c>
      <c r="B26" s="18">
        <v>4299448</v>
      </c>
      <c r="C26" s="18">
        <v>49721.4</v>
      </c>
      <c r="D26" s="19">
        <v>1.1000000000000001</v>
      </c>
      <c r="E26" s="19">
        <v>6.36</v>
      </c>
    </row>
    <row r="27" spans="1:5" ht="16.5" customHeight="1" x14ac:dyDescent="0.3">
      <c r="A27" s="17">
        <v>4</v>
      </c>
      <c r="B27" s="18">
        <v>4292853</v>
      </c>
      <c r="C27" s="18">
        <v>49863.1</v>
      </c>
      <c r="D27" s="19">
        <v>1.1000000000000001</v>
      </c>
      <c r="E27" s="19">
        <v>6.36</v>
      </c>
    </row>
    <row r="28" spans="1:5" ht="16.5" customHeight="1" x14ac:dyDescent="0.3">
      <c r="A28" s="17">
        <v>5</v>
      </c>
      <c r="B28" s="18">
        <v>4286665</v>
      </c>
      <c r="C28" s="18">
        <v>49368.2</v>
      </c>
      <c r="D28" s="19">
        <v>1.2</v>
      </c>
      <c r="E28" s="19">
        <v>6.3529999999999998</v>
      </c>
    </row>
    <row r="29" spans="1:5" ht="16.5" customHeight="1" x14ac:dyDescent="0.3">
      <c r="A29" s="17">
        <v>6</v>
      </c>
      <c r="B29" s="21">
        <v>4275204</v>
      </c>
      <c r="C29" s="21">
        <v>49887.3</v>
      </c>
      <c r="D29" s="22">
        <v>1.1000000000000001</v>
      </c>
      <c r="E29" s="22">
        <v>6.3529999999999998</v>
      </c>
    </row>
    <row r="30" spans="1:5" ht="16.5" customHeight="1" x14ac:dyDescent="0.3">
      <c r="A30" s="23" t="s">
        <v>18</v>
      </c>
      <c r="B30" s="24">
        <f>AVERAGE(B24:B29)</f>
        <v>4295711.166666667</v>
      </c>
      <c r="C30" s="25">
        <f>AVERAGE(C24:C29)</f>
        <v>49728.98333333333</v>
      </c>
      <c r="D30" s="26">
        <f>AVERAGE(D24:D29)</f>
        <v>1.1166666666666669</v>
      </c>
      <c r="E30" s="26">
        <f>AVERAGE(E24:E29)</f>
        <v>6.3588333333333331</v>
      </c>
    </row>
    <row r="31" spans="1:5" ht="16.5" customHeight="1" x14ac:dyDescent="0.3">
      <c r="A31" s="27" t="s">
        <v>19</v>
      </c>
      <c r="B31" s="28">
        <f>(STDEV(B24:B29)/B30)</f>
        <v>3.9671268725873926E-3</v>
      </c>
      <c r="C31" s="29"/>
      <c r="D31" s="29"/>
      <c r="E31" s="30"/>
    </row>
    <row r="32" spans="1:5" s="731" customFormat="1" ht="16.5" customHeight="1" x14ac:dyDescent="0.3">
      <c r="A32" s="31" t="s">
        <v>20</v>
      </c>
      <c r="B32" s="32">
        <f>COUNT(B24:B29)</f>
        <v>6</v>
      </c>
      <c r="C32" s="33"/>
      <c r="D32" s="54"/>
      <c r="E32" s="35"/>
    </row>
    <row r="33" spans="1:5" s="731" customFormat="1" ht="15.75" customHeight="1" x14ac:dyDescent="0.25">
      <c r="A33" s="53"/>
      <c r="B33" s="53"/>
      <c r="C33" s="53"/>
      <c r="D33" s="53"/>
      <c r="E33" s="53"/>
    </row>
    <row r="34" spans="1:5" s="731" customFormat="1" ht="16.5" customHeight="1" x14ac:dyDescent="0.3">
      <c r="A34" s="5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55"/>
      <c r="B35" s="40" t="s">
        <v>23</v>
      </c>
      <c r="C35" s="39"/>
      <c r="D35" s="39"/>
      <c r="E35" s="39"/>
    </row>
    <row r="36" spans="1:5" ht="16.5" customHeight="1" x14ac:dyDescent="0.3">
      <c r="A36" s="55"/>
      <c r="B36" s="40" t="s">
        <v>24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25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8</v>
      </c>
      <c r="B41" s="12"/>
      <c r="C41" s="53"/>
      <c r="D41" s="53"/>
      <c r="E41" s="53"/>
    </row>
    <row r="42" spans="1:5" ht="16.5" customHeight="1" x14ac:dyDescent="0.3">
      <c r="A42" s="8" t="s">
        <v>10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4326118</v>
      </c>
      <c r="C45" s="18">
        <v>49706.400000000001</v>
      </c>
      <c r="D45" s="19">
        <v>1.1000000000000001</v>
      </c>
      <c r="E45" s="20">
        <v>6.367</v>
      </c>
    </row>
    <row r="46" spans="1:5" ht="16.5" customHeight="1" x14ac:dyDescent="0.3">
      <c r="A46" s="17">
        <v>2</v>
      </c>
      <c r="B46" s="18">
        <v>4293979</v>
      </c>
      <c r="C46" s="18">
        <v>49827.5</v>
      </c>
      <c r="D46" s="19">
        <v>1.1000000000000001</v>
      </c>
      <c r="E46" s="19">
        <v>6.36</v>
      </c>
    </row>
    <row r="47" spans="1:5" ht="16.5" customHeight="1" x14ac:dyDescent="0.3">
      <c r="A47" s="17">
        <v>3</v>
      </c>
      <c r="B47" s="18">
        <v>4299448</v>
      </c>
      <c r="C47" s="18">
        <v>49721.4</v>
      </c>
      <c r="D47" s="19">
        <v>1.1000000000000001</v>
      </c>
      <c r="E47" s="19">
        <v>6.36</v>
      </c>
    </row>
    <row r="48" spans="1:5" ht="16.5" customHeight="1" x14ac:dyDescent="0.3">
      <c r="A48" s="17">
        <v>4</v>
      </c>
      <c r="B48" s="18">
        <v>4292853</v>
      </c>
      <c r="C48" s="18">
        <v>49863.1</v>
      </c>
      <c r="D48" s="19">
        <v>1.1000000000000001</v>
      </c>
      <c r="E48" s="19">
        <v>6.36</v>
      </c>
    </row>
    <row r="49" spans="1:7" ht="16.5" customHeight="1" x14ac:dyDescent="0.3">
      <c r="A49" s="17">
        <v>5</v>
      </c>
      <c r="B49" s="18">
        <v>4286665</v>
      </c>
      <c r="C49" s="18">
        <v>49368.2</v>
      </c>
      <c r="D49" s="19">
        <v>1.2</v>
      </c>
      <c r="E49" s="19">
        <v>6.3529999999999998</v>
      </c>
    </row>
    <row r="50" spans="1:7" ht="16.5" customHeight="1" x14ac:dyDescent="0.3">
      <c r="A50" s="17">
        <v>6</v>
      </c>
      <c r="B50" s="21">
        <v>4275204</v>
      </c>
      <c r="C50" s="21">
        <v>49887.3</v>
      </c>
      <c r="D50" s="22">
        <v>1.1000000000000001</v>
      </c>
      <c r="E50" s="22">
        <v>6.3529999999999998</v>
      </c>
    </row>
    <row r="51" spans="1:7" ht="16.5" customHeight="1" x14ac:dyDescent="0.3">
      <c r="A51" s="23" t="s">
        <v>18</v>
      </c>
      <c r="B51" s="24">
        <f>AVERAGE(B45:B50)</f>
        <v>4295711.166666667</v>
      </c>
      <c r="C51" s="25">
        <f>AVERAGE(C45:C50)</f>
        <v>49728.98333333333</v>
      </c>
      <c r="D51" s="26">
        <f>AVERAGE(D45:D50)</f>
        <v>1.1166666666666669</v>
      </c>
      <c r="E51" s="26">
        <f>AVERAGE(E45:E50)</f>
        <v>6.3588333333333331</v>
      </c>
    </row>
    <row r="52" spans="1:7" ht="16.5" customHeight="1" x14ac:dyDescent="0.3">
      <c r="A52" s="27" t="s">
        <v>19</v>
      </c>
      <c r="B52" s="28">
        <f>(STDEV(B45:B50)/B51)</f>
        <v>3.9671268725873926E-3</v>
      </c>
      <c r="C52" s="29"/>
      <c r="D52" s="29"/>
      <c r="E52" s="30"/>
    </row>
    <row r="53" spans="1:7" s="731" customFormat="1" ht="16.5" customHeight="1" x14ac:dyDescent="0.3">
      <c r="A53" s="31" t="s">
        <v>20</v>
      </c>
      <c r="B53" s="32">
        <f>COUNT(B45:B50)</f>
        <v>6</v>
      </c>
      <c r="C53" s="33"/>
      <c r="D53" s="54"/>
      <c r="E53" s="35"/>
    </row>
    <row r="54" spans="1:7" s="731" customFormat="1" ht="15.75" customHeight="1" x14ac:dyDescent="0.25">
      <c r="A54" s="53"/>
      <c r="B54" s="53"/>
      <c r="C54" s="53"/>
      <c r="D54" s="53"/>
      <c r="E54" s="53"/>
    </row>
    <row r="55" spans="1:7" s="731" customFormat="1" ht="16.5" customHeight="1" x14ac:dyDescent="0.3">
      <c r="A55" s="5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55"/>
      <c r="B56" s="40" t="s">
        <v>23</v>
      </c>
      <c r="C56" s="39"/>
      <c r="D56" s="39"/>
      <c r="E56" s="39"/>
    </row>
    <row r="57" spans="1:7" ht="16.5" customHeight="1" x14ac:dyDescent="0.3">
      <c r="A57" s="5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655"/>
      <c r="D58" s="43"/>
      <c r="F58" s="44"/>
      <c r="G58" s="44"/>
    </row>
    <row r="59" spans="1:7" ht="15" customHeight="1" x14ac:dyDescent="0.3">
      <c r="B59" s="833" t="s">
        <v>26</v>
      </c>
      <c r="C59" s="833"/>
      <c r="E59" s="786" t="s">
        <v>27</v>
      </c>
      <c r="F59" s="46"/>
      <c r="G59" s="786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SST E</vt:lpstr>
      <vt:lpstr>Uniformity (2)</vt:lpstr>
      <vt:lpstr>Rifampicin</vt:lpstr>
      <vt:lpstr>SST I</vt:lpstr>
      <vt:lpstr>Isoniazid</vt:lpstr>
      <vt:lpstr>SST P</vt:lpstr>
      <vt:lpstr>Pyrazinamide</vt:lpstr>
      <vt:lpstr>Ethambutol hydrochloride</vt:lpstr>
      <vt:lpstr>SST R</vt:lpstr>
      <vt:lpstr>'Ethambutol hydrochloride'!Print_Area</vt:lpstr>
      <vt:lpstr>Isoniazid!Print_Area</vt:lpstr>
      <vt:lpstr>Pyrazinamide!Print_Area</vt:lpstr>
      <vt:lpstr>Rifampicin!Print_Area</vt:lpstr>
      <vt:lpstr>'SST I'!Print_Area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HPLC_NQCL2</cp:lastModifiedBy>
  <cp:lastPrinted>2016-06-14T14:12:49Z</cp:lastPrinted>
  <dcterms:created xsi:type="dcterms:W3CDTF">2005-07-05T10:19:27Z</dcterms:created>
  <dcterms:modified xsi:type="dcterms:W3CDTF">2016-06-15T06:07:37Z</dcterms:modified>
</cp:coreProperties>
</file>