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 activeTab="6"/>
  </bookViews>
  <sheets>
    <sheet name="Uniformity" sheetId="14" r:id="rId1"/>
    <sheet name="Rifampicin" sheetId="3" r:id="rId2"/>
    <sheet name="SST I" sheetId="1" r:id="rId3"/>
    <sheet name="Isoniazid" sheetId="4" r:id="rId4"/>
    <sheet name="SST P" sheetId="7" r:id="rId5"/>
    <sheet name="Pyrazinamide" sheetId="5" r:id="rId6"/>
    <sheet name="Ethambutol hydrochloride" sheetId="6" r:id="rId7"/>
    <sheet name="SST E" sheetId="15" r:id="rId8"/>
    <sheet name="SST R" sheetId="8" r:id="rId9"/>
  </sheets>
  <definedNames>
    <definedName name="_xlnm.Print_Area" localSheetId="6">'Ethambutol hydrochloride'!$A$1:$I$125</definedName>
    <definedName name="_xlnm.Print_Area" localSheetId="3">Isoniazid!$A$1:$I$125</definedName>
    <definedName name="_xlnm.Print_Area" localSheetId="5">Pyrazinamide!$A$1:$I$125</definedName>
    <definedName name="_xlnm.Print_Area" localSheetId="1">Rifampicin!$A$1:$I$125</definedName>
    <definedName name="_xlnm.Print_Area" localSheetId="7">'SST E'!$A$1:$F$61</definedName>
    <definedName name="_xlnm.Print_Area" localSheetId="4">'SST P'!$A$1:$E$61</definedName>
    <definedName name="_xlnm.Print_Area" localSheetId="8">'SST R'!$A$1:$F$61</definedName>
    <definedName name="_xlnm.Print_Area" localSheetId="0">Uniformity!$A$1:$F$54</definedName>
  </definedNames>
  <calcPr calcId="145621"/>
  <fileRecoveryPr repairLoad="1"/>
</workbook>
</file>

<file path=xl/calcChain.xml><?xml version="1.0" encoding="utf-8"?>
<calcChain xmlns="http://schemas.openxmlformats.org/spreadsheetml/2006/main">
  <c r="G76" i="6" l="1"/>
  <c r="B42" i="7"/>
  <c r="C51" i="1"/>
  <c r="B53" i="8"/>
  <c r="B52" i="8"/>
  <c r="B51" i="8"/>
  <c r="B42" i="8"/>
  <c r="F96" i="6" l="1"/>
  <c r="D96" i="6"/>
  <c r="B53" i="15"/>
  <c r="E51" i="15"/>
  <c r="D51" i="15"/>
  <c r="C51" i="15"/>
  <c r="B51" i="15"/>
  <c r="B52" i="15" s="1"/>
  <c r="B32" i="15"/>
  <c r="E30" i="15"/>
  <c r="D30" i="15"/>
  <c r="C30" i="15"/>
  <c r="B30" i="15"/>
  <c r="B31" i="15" s="1"/>
  <c r="B21" i="15"/>
  <c r="B19" i="15"/>
  <c r="B57" i="3" l="1"/>
  <c r="C46" i="14"/>
  <c r="D50" i="14" s="1"/>
  <c r="C45" i="14"/>
  <c r="D41" i="14"/>
  <c r="D37" i="14"/>
  <c r="D33" i="14"/>
  <c r="D29" i="14"/>
  <c r="D27" i="14"/>
  <c r="D25" i="14"/>
  <c r="C19" i="14"/>
  <c r="D31" i="14" l="1"/>
  <c r="D35" i="14"/>
  <c r="D39" i="14"/>
  <c r="D43" i="14"/>
  <c r="C49" i="14"/>
  <c r="D24" i="14"/>
  <c r="D28" i="14"/>
  <c r="D32" i="14"/>
  <c r="D36" i="14"/>
  <c r="D40" i="14"/>
  <c r="D49" i="14"/>
  <c r="C50" i="14"/>
  <c r="D26" i="14"/>
  <c r="D30" i="14"/>
  <c r="D34" i="14"/>
  <c r="D38" i="14"/>
  <c r="D42" i="14"/>
  <c r="B49" i="14"/>
  <c r="D68" i="4"/>
  <c r="D60" i="4"/>
  <c r="D64" i="4"/>
  <c r="B57" i="4" l="1"/>
  <c r="B57" i="5" s="1"/>
  <c r="B19" i="8"/>
  <c r="B19" i="7"/>
  <c r="B19" i="6"/>
  <c r="B19" i="5"/>
  <c r="B19" i="4"/>
  <c r="B42" i="1"/>
  <c r="D68" i="5"/>
  <c r="D64" i="5"/>
  <c r="D60" i="5"/>
  <c r="E51" i="8"/>
  <c r="D51" i="8"/>
  <c r="C51" i="8"/>
  <c r="B32" i="8"/>
  <c r="E30" i="8"/>
  <c r="D30" i="8"/>
  <c r="C30" i="8"/>
  <c r="B30" i="8"/>
  <c r="B31" i="8" s="1"/>
  <c r="B21" i="8"/>
  <c r="B57" i="6" l="1"/>
  <c r="B21" i="7"/>
  <c r="B21" i="1"/>
  <c r="B53" i="7"/>
  <c r="E51" i="7"/>
  <c r="D51" i="7"/>
  <c r="C51" i="7"/>
  <c r="B51" i="7"/>
  <c r="B52" i="7" s="1"/>
  <c r="B32" i="7"/>
  <c r="E30" i="7"/>
  <c r="D30" i="7"/>
  <c r="C30" i="7"/>
  <c r="B30" i="7"/>
  <c r="B31" i="7" s="1"/>
  <c r="C120" i="6" l="1"/>
  <c r="B116" i="6"/>
  <c r="D100" i="6" s="1"/>
  <c r="B98" i="6"/>
  <c r="D97" i="6"/>
  <c r="F95" i="6"/>
  <c r="D95" i="6"/>
  <c r="B87" i="6"/>
  <c r="F97" i="6" s="1"/>
  <c r="B81" i="6"/>
  <c r="B83" i="6" s="1"/>
  <c r="B80" i="6"/>
  <c r="B79" i="6"/>
  <c r="C76" i="6"/>
  <c r="B68" i="6"/>
  <c r="C56" i="6"/>
  <c r="B55" i="6"/>
  <c r="B45" i="6"/>
  <c r="D48" i="6" s="1"/>
  <c r="D49" i="6" s="1"/>
  <c r="F42" i="6"/>
  <c r="D42" i="6"/>
  <c r="B34" i="6"/>
  <c r="D44" i="6" s="1"/>
  <c r="D45" i="6" s="1"/>
  <c r="B30" i="6"/>
  <c r="C120" i="5"/>
  <c r="B116" i="5"/>
  <c r="D100" i="5"/>
  <c r="D101" i="5" s="1"/>
  <c r="B98" i="5"/>
  <c r="D97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B51" i="1"/>
  <c r="B52" i="1" s="1"/>
  <c r="B32" i="1"/>
  <c r="E30" i="1"/>
  <c r="D30" i="1"/>
  <c r="C30" i="1"/>
  <c r="B30" i="1"/>
  <c r="B31" i="1" s="1"/>
  <c r="D101" i="6" l="1"/>
  <c r="I92" i="6"/>
  <c r="I39" i="6"/>
  <c r="D46" i="6"/>
  <c r="E38" i="6"/>
  <c r="I92" i="5"/>
  <c r="D101" i="4"/>
  <c r="I92" i="3"/>
  <c r="I92" i="4"/>
  <c r="F98" i="5"/>
  <c r="F99" i="5" s="1"/>
  <c r="D97" i="4"/>
  <c r="D98" i="4" s="1"/>
  <c r="E91" i="4" s="1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D102" i="6"/>
  <c r="B69" i="3"/>
  <c r="D49" i="4"/>
  <c r="D46" i="5"/>
  <c r="E38" i="5"/>
  <c r="G91" i="5"/>
  <c r="D44" i="3"/>
  <c r="D45" i="3" s="1"/>
  <c r="E39" i="3" s="1"/>
  <c r="D49" i="3"/>
  <c r="D98" i="5"/>
  <c r="D99" i="5" s="1"/>
  <c r="D102" i="5"/>
  <c r="G94" i="5"/>
  <c r="G92" i="5"/>
  <c r="B69" i="4"/>
  <c r="D102" i="4"/>
  <c r="F44" i="4"/>
  <c r="F45" i="4" s="1"/>
  <c r="F46" i="4" s="1"/>
  <c r="D98" i="6"/>
  <c r="E92" i="6" s="1"/>
  <c r="B69" i="6"/>
  <c r="D49" i="5"/>
  <c r="E40" i="5"/>
  <c r="E41" i="5"/>
  <c r="E39" i="5"/>
  <c r="B69" i="5"/>
  <c r="F98" i="6"/>
  <c r="F44" i="5"/>
  <c r="F45" i="5" s="1"/>
  <c r="F46" i="5" s="1"/>
  <c r="E39" i="6"/>
  <c r="F44" i="6"/>
  <c r="F45" i="6" s="1"/>
  <c r="G39" i="6" s="1"/>
  <c r="G92" i="6"/>
  <c r="E41" i="6"/>
  <c r="E40" i="6"/>
  <c r="E91" i="6" l="1"/>
  <c r="E42" i="6"/>
  <c r="E40" i="4"/>
  <c r="G93" i="4"/>
  <c r="G91" i="4"/>
  <c r="G95" i="4" s="1"/>
  <c r="G93" i="5"/>
  <c r="G95" i="5" s="1"/>
  <c r="G92" i="4"/>
  <c r="E94" i="4"/>
  <c r="E91" i="3"/>
  <c r="G91" i="3"/>
  <c r="E92" i="3"/>
  <c r="D102" i="3"/>
  <c r="G92" i="3"/>
  <c r="F99" i="4"/>
  <c r="E38" i="4"/>
  <c r="E92" i="4"/>
  <c r="E39" i="4"/>
  <c r="E41" i="4"/>
  <c r="G39" i="3"/>
  <c r="F46" i="3"/>
  <c r="E93" i="3"/>
  <c r="E94" i="3"/>
  <c r="E93" i="5"/>
  <c r="E94" i="5"/>
  <c r="E92" i="5"/>
  <c r="G93" i="3"/>
  <c r="G40" i="3"/>
  <c r="G41" i="3"/>
  <c r="G94" i="3"/>
  <c r="D99" i="6"/>
  <c r="E93" i="6"/>
  <c r="G40" i="6"/>
  <c r="E38" i="3"/>
  <c r="E41" i="3"/>
  <c r="D46" i="3"/>
  <c r="E40" i="3"/>
  <c r="G41" i="5"/>
  <c r="E42" i="5"/>
  <c r="G39" i="4"/>
  <c r="G38" i="4"/>
  <c r="G91" i="6"/>
  <c r="F99" i="6"/>
  <c r="G39" i="5"/>
  <c r="G38" i="6"/>
  <c r="G93" i="6"/>
  <c r="G94" i="6"/>
  <c r="E94" i="6"/>
  <c r="G38" i="5"/>
  <c r="E91" i="5"/>
  <c r="G41" i="4"/>
  <c r="E95" i="6"/>
  <c r="G40" i="5"/>
  <c r="D99" i="4"/>
  <c r="E93" i="4"/>
  <c r="G41" i="6"/>
  <c r="F46" i="6"/>
  <c r="G40" i="4"/>
  <c r="D105" i="6" l="1"/>
  <c r="D103" i="6"/>
  <c r="E112" i="6" s="1"/>
  <c r="F112" i="6" s="1"/>
  <c r="G42" i="6"/>
  <c r="D50" i="6"/>
  <c r="G95" i="6"/>
  <c r="D105" i="3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95" i="5"/>
  <c r="D103" i="5"/>
  <c r="D105" i="5"/>
  <c r="D52" i="6"/>
  <c r="D104" i="6" l="1"/>
  <c r="E113" i="6"/>
  <c r="F113" i="6" s="1"/>
  <c r="E109" i="6"/>
  <c r="F109" i="6" s="1"/>
  <c r="E108" i="6"/>
  <c r="E110" i="6"/>
  <c r="F110" i="6" s="1"/>
  <c r="E111" i="6"/>
  <c r="F111" i="6" s="1"/>
  <c r="D51" i="6"/>
  <c r="G64" i="6"/>
  <c r="H64" i="6" s="1"/>
  <c r="G67" i="6"/>
  <c r="H67" i="6" s="1"/>
  <c r="G71" i="6"/>
  <c r="H71" i="6" s="1"/>
  <c r="G69" i="6"/>
  <c r="H69" i="6" s="1"/>
  <c r="G60" i="6"/>
  <c r="G65" i="6"/>
  <c r="H65" i="6" s="1"/>
  <c r="G66" i="6"/>
  <c r="H66" i="6" s="1"/>
  <c r="G63" i="6"/>
  <c r="H63" i="6" s="1"/>
  <c r="G68" i="6"/>
  <c r="H68" i="6" s="1"/>
  <c r="G70" i="6"/>
  <c r="H70" i="6" s="1"/>
  <c r="G61" i="6"/>
  <c r="H61" i="6" s="1"/>
  <c r="G62" i="6"/>
  <c r="H62" i="6" s="1"/>
  <c r="E112" i="4"/>
  <c r="F112" i="4" s="1"/>
  <c r="E110" i="4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7" i="6" l="1"/>
  <c r="F108" i="6"/>
  <c r="F115" i="6" s="1"/>
  <c r="E115" i="6"/>
  <c r="E116" i="6" s="1"/>
  <c r="G74" i="6"/>
  <c r="G72" i="6"/>
  <c r="G73" i="6" s="1"/>
  <c r="H60" i="6"/>
  <c r="E115" i="4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F117" i="6"/>
  <c r="G74" i="3"/>
  <c r="G72" i="3"/>
  <c r="G73" i="3" s="1"/>
  <c r="H60" i="3"/>
  <c r="H74" i="5"/>
  <c r="H72" i="5"/>
  <c r="H72" i="6" l="1"/>
  <c r="H74" i="6"/>
  <c r="F115" i="3"/>
  <c r="F116" i="3" s="1"/>
  <c r="G76" i="5"/>
  <c r="H73" i="5"/>
  <c r="H74" i="3"/>
  <c r="H72" i="3"/>
  <c r="G120" i="4"/>
  <c r="F116" i="4"/>
  <c r="F117" i="5"/>
  <c r="F115" i="5"/>
  <c r="G120" i="6"/>
  <c r="F116" i="6"/>
  <c r="G76" i="4"/>
  <c r="H73" i="4"/>
  <c r="H73" i="6" l="1"/>
  <c r="G120" i="3"/>
  <c r="G120" i="5"/>
  <c r="F116" i="5"/>
  <c r="G76" i="3"/>
  <c r="H73" i="3"/>
</calcChain>
</file>

<file path=xl/sharedStrings.xml><?xml version="1.0" encoding="utf-8"?>
<sst xmlns="http://schemas.openxmlformats.org/spreadsheetml/2006/main" count="851" uniqueCount="145">
  <si>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</si>
  <si>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</si>
  <si>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</si>
  <si>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</si>
  <si>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</si>
  <si>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</si>
  <si>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</si>
  <si>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Weight (mg):</t>
  </si>
  <si>
    <t>RIFAMPICIN, ISONIAZID, PYRAZINAMIDE &amp; ETHAMBUTOL HCl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</si>
  <si>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</si>
  <si>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</si>
  <si>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</si>
  <si>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</si>
  <si>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</si>
  <si>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</si>
  <si>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</si>
  <si>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</si>
  <si>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</si>
  <si>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</si>
  <si>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</si>
  <si>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</si>
  <si>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</si>
  <si>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</si>
  <si>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</si>
  <si>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</si>
  <si>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</si>
  <si>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</si>
  <si>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</si>
  <si>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</si>
  <si>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</si>
  <si>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</si>
  <si>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</si>
  <si>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</si>
  <si>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</si>
  <si>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</si>
  <si>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</si>
  <si>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</si>
  <si>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</si>
  <si>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</si>
  <si>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</si>
  <si>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</si>
  <si>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</si>
  <si>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</si>
  <si>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</si>
  <si>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</si>
  <si>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</si>
  <si>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</si>
  <si>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</si>
  <si>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</si>
  <si>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</si>
  <si>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</si>
  <si>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</si>
  <si>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</si>
  <si>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</si>
  <si>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</si>
  <si>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</si>
  <si>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</si>
  <si>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</si>
  <si>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</si>
  <si>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</si>
  <si>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</si>
  <si>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</si>
  <si>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</si>
  <si>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</si>
  <si>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</si>
  <si>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</si>
  <si>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</si>
  <si>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</si>
  <si>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</si>
  <si>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</si>
  <si>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</si>
  <si>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</si>
  <si>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</si>
  <si>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</si>
  <si>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</si>
  <si>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</si>
  <si>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</si>
  <si>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</si>
  <si>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</si>
  <si>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</si>
  <si>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</si>
  <si>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</si>
  <si>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</si>
  <si>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</si>
  <si>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</si>
  <si>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</si>
  <si>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</si>
  <si>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</si>
  <si>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</si>
  <si>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</si>
  <si>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</si>
  <si>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</si>
  <si>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</si>
  <si>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</si>
  <si>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</si>
  <si>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</si>
  <si>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</si>
  <si>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</si>
  <si>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</si>
  <si>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</si>
  <si>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</si>
  <si>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</si>
  <si>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</si>
  <si>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</si>
  <si>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</si>
  <si>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</si>
  <si>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</si>
  <si>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</si>
  <si>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</si>
  <si>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</si>
  <si>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</si>
  <si>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</si>
  <si>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</si>
  <si>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</si>
  <si>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</si>
  <si>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</si>
  <si>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</si>
  <si>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</si>
  <si>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</si>
  <si>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</si>
  <si>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</si>
  <si>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</si>
  <si>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</si>
  <si>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</si>
  <si>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</si>
  <si>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</si>
  <si>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</si>
  <si>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</si>
  <si>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</si>
  <si>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</si>
  <si>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P19 1</t>
  </si>
  <si>
    <t>Isoniazid</t>
  </si>
  <si>
    <t>Pyrazinamide</t>
  </si>
  <si>
    <t>Rifampicin</t>
  </si>
  <si>
    <t xml:space="preserve"> ISONIAZID</t>
  </si>
  <si>
    <t>ETHAMBUTOL HCl</t>
  </si>
  <si>
    <t>NDQD2016061087</t>
  </si>
  <si>
    <t>2016-06-09 15:07:00</t>
  </si>
  <si>
    <t>E12 3</t>
  </si>
  <si>
    <t>Ethambutol HCl</t>
  </si>
  <si>
    <t>RIFAMPICIN, ISONIAZID, PYRAZINAMIDE &amp; ETHAMBUTOL HCl TABLETS</t>
  </si>
  <si>
    <t>RIFAMPICIN 150 mg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</si>
  <si>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50000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</si>
  <si>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6000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</si>
  <si>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8000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</si>
</sst>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1" fillId="2" borderId="0"/>
    <xf numFmtId="0" fontId="23" fillId="2" borderId="0"/>
  </cellStyleXfs>
  <cellXfs count="88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0" applyFont="1" applyFill="1"/>
    <xf numFmtId="0" fontId="24" fillId="3" borderId="0" xfId="0" applyFont="1" applyFill="1" applyAlignment="1" applyProtection="1">
      <alignment horizontal="left"/>
      <protection locked="0"/>
    </xf>
    <xf numFmtId="2" fontId="22" fillId="2" borderId="0" xfId="0" applyNumberFormat="1" applyFont="1" applyFill="1" applyAlignment="1">
      <alignment horizontal="center"/>
    </xf>
    <xf numFmtId="0" fontId="1" fillId="2" borderId="0" xfId="1" applyFont="1" applyFill="1"/>
    <xf numFmtId="0" fontId="21" fillId="2" borderId="0" xfId="1" applyFill="1"/>
    <xf numFmtId="0" fontId="25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6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2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7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protection locked="0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25" fillId="2" borderId="18" xfId="1" applyFont="1" applyFill="1" applyBorder="1" applyAlignment="1">
      <alignment horizontal="center" wrapText="1"/>
    </xf>
    <xf numFmtId="0" fontId="25" fillId="2" borderId="19" xfId="1" applyFont="1" applyFill="1" applyBorder="1" applyAlignment="1">
      <alignment horizontal="center" wrapText="1"/>
    </xf>
    <xf numFmtId="0" fontId="25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 wrapText="1"/>
      <protection locked="0"/>
    </xf>
    <xf numFmtId="0" fontId="2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5" sqref="C45"/>
    </sheetView>
  </sheetViews>
  <sheetFormatPr defaultColWidth="9.109375" defaultRowHeight="13.8" x14ac:dyDescent="0.3"/>
  <cols>
    <col min="1" max="1" width="15.5546875" style="786" customWidth="1"/>
    <col min="2" max="2" width="18.44140625" style="786" customWidth="1"/>
    <col min="3" max="3" width="14.33203125" style="786" customWidth="1"/>
    <col min="4" max="4" width="15" style="786" customWidth="1"/>
    <col min="5" max="5" width="9.109375" style="786" customWidth="1"/>
    <col min="6" max="6" width="27.88671875" style="786" customWidth="1"/>
    <col min="7" max="7" width="12.33203125" style="786" customWidth="1"/>
    <col min="8" max="8" width="9.109375" style="786" customWidth="1"/>
    <col min="9" max="16384" width="9.109375" style="787"/>
  </cols>
  <sheetData>
    <row r="10" spans="1:7" ht="13.5" customHeight="1" thickBot="1" x14ac:dyDescent="0.35"/>
    <row r="11" spans="1:7" ht="13.5" customHeight="1" thickBot="1" x14ac:dyDescent="0.35">
      <c r="A11" s="835" t="s">
        <v>30</v>
      </c>
      <c r="B11" s="836"/>
      <c r="C11" s="836"/>
      <c r="D11" s="836"/>
      <c r="E11" s="836"/>
      <c r="F11" s="837"/>
      <c r="G11" s="788"/>
    </row>
    <row r="12" spans="1:7" ht="16.5" customHeight="1" x14ac:dyDescent="0.3">
      <c r="A12" s="838" t="s">
        <v>31</v>
      </c>
      <c r="B12" s="838"/>
      <c r="C12" s="838"/>
      <c r="D12" s="838"/>
      <c r="E12" s="838"/>
      <c r="F12" s="838"/>
      <c r="G12" s="789"/>
    </row>
    <row r="14" spans="1:7" ht="16.5" customHeight="1" x14ac:dyDescent="0.3">
      <c r="A14" s="839" t="s">
        <v>32</v>
      </c>
      <c r="B14" s="839"/>
      <c r="C14" s="790" t="s">
        <v>5</v>
      </c>
    </row>
    <row r="15" spans="1:7" ht="16.5" customHeight="1" x14ac:dyDescent="0.3">
      <c r="A15" s="839" t="s">
        <v>33</v>
      </c>
      <c r="B15" s="839"/>
      <c r="C15" s="790" t="s">
        <v>136</v>
      </c>
    </row>
    <row r="16" spans="1:7" ht="16.5" customHeight="1" x14ac:dyDescent="0.3">
      <c r="A16" s="839" t="s">
        <v>34</v>
      </c>
      <c r="B16" s="839"/>
      <c r="C16" s="790" t="s">
        <v>8</v>
      </c>
    </row>
    <row r="17" spans="1:5" ht="16.5" customHeight="1" x14ac:dyDescent="0.3">
      <c r="A17" s="839" t="s">
        <v>35</v>
      </c>
      <c r="B17" s="839"/>
      <c r="C17" s="790" t="s">
        <v>10</v>
      </c>
    </row>
    <row r="18" spans="1:5" ht="16.5" customHeight="1" x14ac:dyDescent="0.3">
      <c r="A18" s="839" t="s">
        <v>36</v>
      </c>
      <c r="B18" s="839"/>
      <c r="C18" s="791" t="s">
        <v>137</v>
      </c>
    </row>
    <row r="19" spans="1:5" ht="16.5" customHeight="1" x14ac:dyDescent="0.3">
      <c r="A19" s="839" t="s">
        <v>37</v>
      </c>
      <c r="B19" s="839"/>
      <c r="C19" s="791" t="e">
        <f>#REF!</f>
        <v>#REF!</v>
      </c>
    </row>
    <row r="20" spans="1:5" ht="16.5" customHeight="1" x14ac:dyDescent="0.3">
      <c r="A20" s="792"/>
      <c r="B20" s="792"/>
      <c r="C20" s="793"/>
    </row>
    <row r="21" spans="1:5" ht="16.5" customHeight="1" x14ac:dyDescent="0.3">
      <c r="A21" s="838" t="s">
        <v>1</v>
      </c>
      <c r="B21" s="838"/>
      <c r="C21" s="794" t="s">
        <v>38</v>
      </c>
      <c r="D21" s="795"/>
    </row>
    <row r="22" spans="1:5" ht="15.75" customHeight="1" thickBot="1" x14ac:dyDescent="0.35">
      <c r="A22" s="840"/>
      <c r="B22" s="840"/>
      <c r="C22" s="796"/>
      <c r="D22" s="840"/>
      <c r="E22" s="840"/>
    </row>
    <row r="23" spans="1:5" ht="33.75" customHeight="1" thickBot="1" x14ac:dyDescent="0.35">
      <c r="C23" s="797" t="s">
        <v>39</v>
      </c>
      <c r="D23" s="798" t="s">
        <v>40</v>
      </c>
      <c r="E23" s="799"/>
    </row>
    <row r="24" spans="1:5" ht="15.75" customHeight="1" x14ac:dyDescent="0.3">
      <c r="C24" s="800">
        <v>1261.56</v>
      </c>
      <c r="D24" s="801">
        <f t="shared" ref="D24:D43" si="0">(C24-$C$46)/$C$46</f>
        <v>3.9387702076337221E-3</v>
      </c>
      <c r="E24" s="802"/>
    </row>
    <row r="25" spans="1:5" ht="15.75" customHeight="1" x14ac:dyDescent="0.3">
      <c r="C25" s="800">
        <v>1242.8800000000001</v>
      </c>
      <c r="D25" s="803">
        <f t="shared" si="0"/>
        <v>-1.0926615685608322E-2</v>
      </c>
      <c r="E25" s="802"/>
    </row>
    <row r="26" spans="1:5" ht="15.75" customHeight="1" x14ac:dyDescent="0.3">
      <c r="C26" s="800">
        <v>1249.31</v>
      </c>
      <c r="D26" s="803">
        <f t="shared" si="0"/>
        <v>-5.8096761088660982E-3</v>
      </c>
      <c r="E26" s="802"/>
    </row>
    <row r="27" spans="1:5" ht="15.75" customHeight="1" x14ac:dyDescent="0.3">
      <c r="C27" s="800">
        <v>1258.76</v>
      </c>
      <c r="D27" s="803">
        <f t="shared" si="0"/>
        <v>1.7105539067195136E-3</v>
      </c>
      <c r="E27" s="802"/>
    </row>
    <row r="28" spans="1:5" ht="15.75" customHeight="1" x14ac:dyDescent="0.3">
      <c r="C28" s="800">
        <v>1258.79</v>
      </c>
      <c r="D28" s="803">
        <f t="shared" si="0"/>
        <v>1.734427652800716E-3</v>
      </c>
      <c r="E28" s="802"/>
    </row>
    <row r="29" spans="1:5" ht="15.75" customHeight="1" x14ac:dyDescent="0.3">
      <c r="C29" s="800">
        <v>1259.82</v>
      </c>
      <c r="D29" s="803">
        <f t="shared" si="0"/>
        <v>2.55409293492272E-3</v>
      </c>
      <c r="E29" s="802"/>
    </row>
    <row r="30" spans="1:5" ht="15.75" customHeight="1" x14ac:dyDescent="0.3">
      <c r="C30" s="800">
        <v>1260.2</v>
      </c>
      <c r="D30" s="803">
        <f t="shared" si="0"/>
        <v>2.8564937186183114E-3</v>
      </c>
      <c r="E30" s="802"/>
    </row>
    <row r="31" spans="1:5" ht="15.75" customHeight="1" x14ac:dyDescent="0.3">
      <c r="C31" s="800">
        <v>1244.19</v>
      </c>
      <c r="D31" s="803">
        <f t="shared" si="0"/>
        <v>-9.8841287733949165E-3</v>
      </c>
      <c r="E31" s="802"/>
    </row>
    <row r="32" spans="1:5" ht="15.75" customHeight="1" x14ac:dyDescent="0.3">
      <c r="C32" s="800">
        <v>1253.6400000000001</v>
      </c>
      <c r="D32" s="803">
        <f t="shared" si="0"/>
        <v>-2.3638987578093042E-3</v>
      </c>
      <c r="E32" s="802"/>
    </row>
    <row r="33" spans="1:7" ht="15.75" customHeight="1" x14ac:dyDescent="0.3">
      <c r="C33" s="800">
        <v>1261.43</v>
      </c>
      <c r="D33" s="803">
        <f t="shared" si="0"/>
        <v>3.8353173079485122E-3</v>
      </c>
      <c r="E33" s="802"/>
    </row>
    <row r="34" spans="1:7" ht="15.75" customHeight="1" x14ac:dyDescent="0.3">
      <c r="C34" s="800">
        <v>1256.92</v>
      </c>
      <c r="D34" s="803">
        <f t="shared" si="0"/>
        <v>2.4629748040450364E-4</v>
      </c>
      <c r="E34" s="802"/>
    </row>
    <row r="35" spans="1:7" ht="15.75" customHeight="1" x14ac:dyDescent="0.3">
      <c r="C35" s="800">
        <v>1256.6500000000001</v>
      </c>
      <c r="D35" s="803">
        <f t="shared" si="0"/>
        <v>3.1433765673501654E-5</v>
      </c>
      <c r="E35" s="802"/>
    </row>
    <row r="36" spans="1:7" ht="15.75" customHeight="1" x14ac:dyDescent="0.3">
      <c r="C36" s="800">
        <v>1248.31</v>
      </c>
      <c r="D36" s="803">
        <f t="shared" si="0"/>
        <v>-6.6054676449068999E-3</v>
      </c>
      <c r="E36" s="802"/>
    </row>
    <row r="37" spans="1:7" ht="15.75" customHeight="1" x14ac:dyDescent="0.3">
      <c r="C37" s="800">
        <v>1264.4000000000001</v>
      </c>
      <c r="D37" s="803">
        <f t="shared" si="0"/>
        <v>6.198818169989715E-3</v>
      </c>
      <c r="E37" s="802"/>
    </row>
    <row r="38" spans="1:7" ht="15.75" customHeight="1" x14ac:dyDescent="0.3">
      <c r="C38" s="800">
        <v>1254.27</v>
      </c>
      <c r="D38" s="803">
        <f t="shared" si="0"/>
        <v>-1.8625500901036931E-3</v>
      </c>
      <c r="E38" s="802"/>
    </row>
    <row r="39" spans="1:7" ht="15.75" customHeight="1" x14ac:dyDescent="0.3">
      <c r="C39" s="800">
        <v>1261.97</v>
      </c>
      <c r="D39" s="803">
        <f t="shared" si="0"/>
        <v>4.2650447374105163E-3</v>
      </c>
      <c r="E39" s="802"/>
    </row>
    <row r="40" spans="1:7" ht="15.75" customHeight="1" x14ac:dyDescent="0.3">
      <c r="C40" s="800">
        <v>1275.8699999999999</v>
      </c>
      <c r="D40" s="803">
        <f t="shared" si="0"/>
        <v>1.5326547088377551E-2</v>
      </c>
      <c r="E40" s="802"/>
    </row>
    <row r="41" spans="1:7" ht="15.75" customHeight="1" x14ac:dyDescent="0.3">
      <c r="C41" s="800">
        <v>1252.24</v>
      </c>
      <c r="D41" s="803">
        <f t="shared" si="0"/>
        <v>-3.478006908266499E-3</v>
      </c>
      <c r="E41" s="802"/>
    </row>
    <row r="42" spans="1:7" ht="15.75" customHeight="1" x14ac:dyDescent="0.3">
      <c r="C42" s="800">
        <v>1254.3699999999999</v>
      </c>
      <c r="D42" s="803">
        <f t="shared" si="0"/>
        <v>-1.7829709364996853E-3</v>
      </c>
      <c r="E42" s="802"/>
    </row>
    <row r="43" spans="1:7" ht="16.5" customHeight="1" thickBot="1" x14ac:dyDescent="0.35">
      <c r="C43" s="804">
        <v>1256.6300000000001</v>
      </c>
      <c r="D43" s="805">
        <f t="shared" si="0"/>
        <v>1.5517934952700096E-5</v>
      </c>
      <c r="E43" s="802"/>
    </row>
    <row r="44" spans="1:7" ht="16.5" customHeight="1" thickBot="1" x14ac:dyDescent="0.35">
      <c r="C44" s="806"/>
      <c r="D44" s="802"/>
      <c r="E44" s="807"/>
    </row>
    <row r="45" spans="1:7" ht="16.5" customHeight="1" thickBot="1" x14ac:dyDescent="0.35">
      <c r="B45" s="808" t="s">
        <v>41</v>
      </c>
      <c r="C45" s="809">
        <f>SUM(C24:C44)</f>
        <v>25132.210000000003</v>
      </c>
      <c r="D45" s="810"/>
      <c r="E45" s="806"/>
    </row>
    <row r="46" spans="1:7" ht="17.25" customHeight="1" thickBot="1" x14ac:dyDescent="0.35">
      <c r="B46" s="808" t="s">
        <v>42</v>
      </c>
      <c r="C46" s="811">
        <f>AVERAGE(C24:C44)</f>
        <v>1256.6105000000002</v>
      </c>
      <c r="E46" s="812"/>
    </row>
    <row r="47" spans="1:7" ht="17.25" customHeight="1" thickBot="1" x14ac:dyDescent="0.35">
      <c r="A47" s="790"/>
      <c r="B47" s="813"/>
      <c r="D47" s="814"/>
      <c r="E47" s="812"/>
    </row>
    <row r="48" spans="1:7" ht="33.75" customHeight="1" thickBot="1" x14ac:dyDescent="0.35">
      <c r="B48" s="815" t="s">
        <v>42</v>
      </c>
      <c r="C48" s="798" t="s">
        <v>43</v>
      </c>
      <c r="D48" s="816"/>
      <c r="G48" s="814"/>
    </row>
    <row r="49" spans="1:6" ht="17.25" customHeight="1" thickBot="1" x14ac:dyDescent="0.35">
      <c r="B49" s="833">
        <f>C46</f>
        <v>1256.6105000000002</v>
      </c>
      <c r="C49" s="817">
        <f>-IF(C46&lt;=80,10%,IF(C46&lt;250,7.5%,5%))</f>
        <v>-0.05</v>
      </c>
      <c r="D49" s="818">
        <f>IF(C46&lt;=80,C46*0.9,IF(C46&lt;250,C46*0.925,C46*0.95))</f>
        <v>1193.7799750000001</v>
      </c>
    </row>
    <row r="50" spans="1:6" ht="17.25" customHeight="1" thickBot="1" x14ac:dyDescent="0.35">
      <c r="B50" s="834"/>
      <c r="C50" s="819">
        <f>IF(C46&lt;=80, 10%, IF(C46&lt;250, 7.5%, 5%))</f>
        <v>0.05</v>
      </c>
      <c r="D50" s="818">
        <f>IF(C46&lt;=80, C46*1.1, IF(C46&lt;250, C46*1.075, C46*1.05))</f>
        <v>1319.4410250000003</v>
      </c>
    </row>
    <row r="51" spans="1:6" ht="16.5" customHeight="1" thickBot="1" x14ac:dyDescent="0.35">
      <c r="A51" s="820"/>
      <c r="B51" s="821"/>
      <c r="C51" s="790"/>
      <c r="D51" s="822"/>
      <c r="E51" s="790"/>
      <c r="F51" s="795"/>
    </row>
    <row r="52" spans="1:6" ht="16.5" customHeight="1" x14ac:dyDescent="0.3">
      <c r="A52" s="790"/>
      <c r="B52" s="823" t="s">
        <v>25</v>
      </c>
      <c r="C52" s="823"/>
      <c r="D52" s="824" t="s">
        <v>26</v>
      </c>
      <c r="E52" s="825"/>
      <c r="F52" s="824" t="s">
        <v>27</v>
      </c>
    </row>
    <row r="53" spans="1:6" ht="34.5" customHeight="1" x14ac:dyDescent="0.3">
      <c r="A53" s="792" t="s">
        <v>28</v>
      </c>
      <c r="B53" s="826"/>
      <c r="C53" s="790"/>
      <c r="D53" s="826"/>
      <c r="E53" s="790"/>
      <c r="F53" s="826"/>
    </row>
    <row r="54" spans="1:6" ht="34.5" customHeight="1" x14ac:dyDescent="0.3">
      <c r="A54" s="792" t="s">
        <v>29</v>
      </c>
      <c r="B54" s="827"/>
      <c r="C54" s="828"/>
      <c r="D54" s="827"/>
      <c r="E54" s="790"/>
      <c r="F54" s="829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61" zoomScale="70" zoomScaleNormal="70" zoomScalePageLayoutView="70" workbookViewId="0">
      <selection activeCell="F71" sqref="F7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841" t="s">
        <v>44</v>
      </c>
      <c r="B1" s="841"/>
      <c r="C1" s="841"/>
      <c r="D1" s="841"/>
      <c r="E1" s="841"/>
      <c r="F1" s="841"/>
      <c r="G1" s="841"/>
      <c r="H1" s="841"/>
      <c r="I1" s="841"/>
    </row>
    <row r="2" spans="1:9" ht="18.75" customHeight="1" x14ac:dyDescent="0.3">
      <c r="A2" s="841"/>
      <c r="B2" s="841"/>
      <c r="C2" s="841"/>
      <c r="D2" s="841"/>
      <c r="E2" s="841"/>
      <c r="F2" s="841"/>
      <c r="G2" s="841"/>
      <c r="H2" s="841"/>
      <c r="I2" s="841"/>
    </row>
    <row r="3" spans="1:9" ht="18.75" customHeight="1" x14ac:dyDescent="0.3">
      <c r="A3" s="841"/>
      <c r="B3" s="841"/>
      <c r="C3" s="841"/>
      <c r="D3" s="841"/>
      <c r="E3" s="841"/>
      <c r="F3" s="841"/>
      <c r="G3" s="841"/>
      <c r="H3" s="841"/>
      <c r="I3" s="841"/>
    </row>
    <row r="4" spans="1:9" ht="18.75" customHeight="1" x14ac:dyDescent="0.3">
      <c r="A4" s="841"/>
      <c r="B4" s="841"/>
      <c r="C4" s="841"/>
      <c r="D4" s="841"/>
      <c r="E4" s="841"/>
      <c r="F4" s="841"/>
      <c r="G4" s="841"/>
      <c r="H4" s="841"/>
      <c r="I4" s="841"/>
    </row>
    <row r="5" spans="1:9" ht="18.75" customHeight="1" x14ac:dyDescent="0.3">
      <c r="A5" s="841"/>
      <c r="B5" s="841"/>
      <c r="C5" s="841"/>
      <c r="D5" s="841"/>
      <c r="E5" s="841"/>
      <c r="F5" s="841"/>
      <c r="G5" s="841"/>
      <c r="H5" s="841"/>
      <c r="I5" s="841"/>
    </row>
    <row r="6" spans="1:9" ht="18.75" customHeight="1" x14ac:dyDescent="0.3">
      <c r="A6" s="841"/>
      <c r="B6" s="841"/>
      <c r="C6" s="841"/>
      <c r="D6" s="841"/>
      <c r="E6" s="841"/>
      <c r="F6" s="841"/>
      <c r="G6" s="841"/>
      <c r="H6" s="841"/>
      <c r="I6" s="841"/>
    </row>
    <row r="7" spans="1:9" ht="18.75" customHeight="1" x14ac:dyDescent="0.3">
      <c r="A7" s="841"/>
      <c r="B7" s="841"/>
      <c r="C7" s="841"/>
      <c r="D7" s="841"/>
      <c r="E7" s="841"/>
      <c r="F7" s="841"/>
      <c r="G7" s="841"/>
      <c r="H7" s="841"/>
      <c r="I7" s="841"/>
    </row>
    <row r="8" spans="1:9" x14ac:dyDescent="0.3">
      <c r="A8" s="842" t="s">
        <v>45</v>
      </c>
      <c r="B8" s="842"/>
      <c r="C8" s="842"/>
      <c r="D8" s="842"/>
      <c r="E8" s="842"/>
      <c r="F8" s="842"/>
      <c r="G8" s="842"/>
      <c r="H8" s="842"/>
      <c r="I8" s="842"/>
    </row>
    <row r="9" spans="1:9" x14ac:dyDescent="0.3">
      <c r="A9" s="842"/>
      <c r="B9" s="842"/>
      <c r="C9" s="842"/>
      <c r="D9" s="842"/>
      <c r="E9" s="842"/>
      <c r="F9" s="842"/>
      <c r="G9" s="842"/>
      <c r="H9" s="842"/>
      <c r="I9" s="842"/>
    </row>
    <row r="10" spans="1:9" x14ac:dyDescent="0.3">
      <c r="A10" s="842"/>
      <c r="B10" s="842"/>
      <c r="C10" s="842"/>
      <c r="D10" s="842"/>
      <c r="E10" s="842"/>
      <c r="F10" s="842"/>
      <c r="G10" s="842"/>
      <c r="H10" s="842"/>
      <c r="I10" s="842"/>
    </row>
    <row r="11" spans="1:9" x14ac:dyDescent="0.3">
      <c r="A11" s="842"/>
      <c r="B11" s="842"/>
      <c r="C11" s="842"/>
      <c r="D11" s="842"/>
      <c r="E11" s="842"/>
      <c r="F11" s="842"/>
      <c r="G11" s="842"/>
      <c r="H11" s="842"/>
      <c r="I11" s="842"/>
    </row>
    <row r="12" spans="1:9" x14ac:dyDescent="0.3">
      <c r="A12" s="842"/>
      <c r="B12" s="842"/>
      <c r="C12" s="842"/>
      <c r="D12" s="842"/>
      <c r="E12" s="842"/>
      <c r="F12" s="842"/>
      <c r="G12" s="842"/>
      <c r="H12" s="842"/>
      <c r="I12" s="842"/>
    </row>
    <row r="13" spans="1:9" x14ac:dyDescent="0.3">
      <c r="A13" s="842"/>
      <c r="B13" s="842"/>
      <c r="C13" s="842"/>
      <c r="D13" s="842"/>
      <c r="E13" s="842"/>
      <c r="F13" s="842"/>
      <c r="G13" s="842"/>
      <c r="H13" s="842"/>
      <c r="I13" s="842"/>
    </row>
    <row r="14" spans="1:9" x14ac:dyDescent="0.3">
      <c r="A14" s="842"/>
      <c r="B14" s="842"/>
      <c r="C14" s="842"/>
      <c r="D14" s="842"/>
      <c r="E14" s="842"/>
      <c r="F14" s="842"/>
      <c r="G14" s="842"/>
      <c r="H14" s="842"/>
      <c r="I14" s="842"/>
    </row>
    <row r="15" spans="1:9" ht="19.5" customHeight="1" x14ac:dyDescent="0.35">
      <c r="A15" s="57"/>
    </row>
    <row r="16" spans="1:9" ht="19.5" customHeight="1" x14ac:dyDescent="0.35">
      <c r="A16" s="875" t="s">
        <v>30</v>
      </c>
      <c r="B16" s="876"/>
      <c r="C16" s="876"/>
      <c r="D16" s="876"/>
      <c r="E16" s="876"/>
      <c r="F16" s="876"/>
      <c r="G16" s="876"/>
      <c r="H16" s="877"/>
    </row>
    <row r="17" spans="1:14" ht="20.25" customHeight="1" x14ac:dyDescent="0.3">
      <c r="A17" s="878" t="s">
        <v>46</v>
      </c>
      <c r="B17" s="878"/>
      <c r="C17" s="878"/>
      <c r="D17" s="878"/>
      <c r="E17" s="878"/>
      <c r="F17" s="878"/>
      <c r="G17" s="878"/>
      <c r="H17" s="878"/>
    </row>
    <row r="18" spans="1:14" ht="26.25" customHeight="1" x14ac:dyDescent="0.5">
      <c r="A18" s="59" t="s">
        <v>32</v>
      </c>
      <c r="B18" s="832" t="s">
        <v>140</v>
      </c>
      <c r="C18" s="832"/>
      <c r="D18" s="224"/>
      <c r="E18" s="60"/>
      <c r="F18" s="61"/>
      <c r="G18" s="61"/>
      <c r="H18" s="61"/>
    </row>
    <row r="19" spans="1:14" ht="26.25" customHeight="1" x14ac:dyDescent="0.5">
      <c r="A19" s="59" t="s">
        <v>33</v>
      </c>
      <c r="B19" s="831" t="s">
        <v>136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5">
      <c r="A20" s="59" t="s">
        <v>34</v>
      </c>
      <c r="B20" s="879" t="s">
        <v>124</v>
      </c>
      <c r="C20" s="879"/>
      <c r="D20" s="61"/>
      <c r="E20" s="61"/>
      <c r="F20" s="61"/>
      <c r="G20" s="61"/>
      <c r="H20" s="61"/>
    </row>
    <row r="21" spans="1:14" ht="26.25" customHeight="1" x14ac:dyDescent="0.5">
      <c r="A21" s="59" t="s">
        <v>35</v>
      </c>
      <c r="B21" s="879" t="s">
        <v>141</v>
      </c>
      <c r="C21" s="879"/>
      <c r="D21" s="879"/>
      <c r="E21" s="879"/>
      <c r="F21" s="879"/>
      <c r="G21" s="879"/>
      <c r="H21" s="879"/>
      <c r="I21" s="62"/>
    </row>
    <row r="22" spans="1:14" ht="26.25" customHeight="1" x14ac:dyDescent="0.5">
      <c r="A22" s="59" t="s">
        <v>36</v>
      </c>
      <c r="B22" s="63">
        <v>42531</v>
      </c>
      <c r="C22" s="61"/>
      <c r="D22" s="61"/>
      <c r="E22" s="61"/>
      <c r="F22" s="61"/>
      <c r="G22" s="61"/>
      <c r="H22" s="61"/>
    </row>
    <row r="23" spans="1:14" ht="26.25" customHeight="1" x14ac:dyDescent="0.5">
      <c r="A23" s="59" t="s">
        <v>37</v>
      </c>
      <c r="B23" s="63">
        <v>42535</v>
      </c>
      <c r="C23" s="61"/>
      <c r="D23" s="61"/>
      <c r="E23" s="61"/>
      <c r="F23" s="61"/>
      <c r="G23" s="61"/>
      <c r="H23" s="61"/>
    </row>
    <row r="24" spans="1:14" ht="18" x14ac:dyDescent="0.35">
      <c r="A24" s="59"/>
      <c r="B24" s="64"/>
    </row>
    <row r="25" spans="1:14" ht="18" x14ac:dyDescent="0.35">
      <c r="A25" s="65" t="s">
        <v>1</v>
      </c>
      <c r="B25" s="64"/>
    </row>
    <row r="26" spans="1:14" ht="26.25" customHeight="1" x14ac:dyDescent="0.45">
      <c r="A26" s="66" t="s">
        <v>4</v>
      </c>
      <c r="B26" s="874" t="s">
        <v>124</v>
      </c>
      <c r="C26" s="874"/>
    </row>
    <row r="27" spans="1:14" ht="26.25" customHeight="1" x14ac:dyDescent="0.5">
      <c r="A27" s="67" t="s">
        <v>47</v>
      </c>
      <c r="B27" s="872" t="s">
        <v>128</v>
      </c>
      <c r="C27" s="872"/>
    </row>
    <row r="28" spans="1:14" ht="27" customHeight="1" x14ac:dyDescent="0.45">
      <c r="A28" s="67" t="s">
        <v>6</v>
      </c>
      <c r="B28" s="68">
        <v>99.6</v>
      </c>
    </row>
    <row r="29" spans="1:14" s="14" customFormat="1" ht="27" customHeight="1" x14ac:dyDescent="0.5">
      <c r="A29" s="67" t="s">
        <v>48</v>
      </c>
      <c r="B29" s="69">
        <v>0</v>
      </c>
      <c r="C29" s="849" t="s">
        <v>49</v>
      </c>
      <c r="D29" s="850"/>
      <c r="E29" s="850"/>
      <c r="F29" s="850"/>
      <c r="G29" s="851"/>
      <c r="I29" s="70"/>
      <c r="J29" s="70"/>
      <c r="K29" s="70"/>
      <c r="L29" s="70"/>
    </row>
    <row r="30" spans="1:14" s="14" customFormat="1" ht="19.5" customHeight="1" x14ac:dyDescent="0.35">
      <c r="A30" s="67" t="s">
        <v>50</v>
      </c>
      <c r="B30" s="71">
        <f>B28-B29</f>
        <v>99.6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5">
      <c r="A31" s="67" t="s">
        <v>51</v>
      </c>
      <c r="B31" s="74">
        <v>1</v>
      </c>
      <c r="C31" s="852" t="s">
        <v>52</v>
      </c>
      <c r="D31" s="853"/>
      <c r="E31" s="853"/>
      <c r="F31" s="853"/>
      <c r="G31" s="853"/>
      <c r="H31" s="854"/>
      <c r="I31" s="70"/>
      <c r="J31" s="70"/>
      <c r="K31" s="70"/>
      <c r="L31" s="70"/>
    </row>
    <row r="32" spans="1:14" s="14" customFormat="1" ht="27" customHeight="1" x14ac:dyDescent="0.45">
      <c r="A32" s="67" t="s">
        <v>53</v>
      </c>
      <c r="B32" s="74">
        <v>1</v>
      </c>
      <c r="C32" s="852" t="s">
        <v>54</v>
      </c>
      <c r="D32" s="853"/>
      <c r="E32" s="853"/>
      <c r="F32" s="853"/>
      <c r="G32" s="853"/>
      <c r="H32" s="854"/>
      <c r="I32" s="70"/>
      <c r="J32" s="70"/>
      <c r="K32" s="70"/>
      <c r="L32" s="75"/>
      <c r="M32" s="75"/>
      <c r="N32" s="76"/>
    </row>
    <row r="33" spans="1:14" s="14" customFormat="1" ht="17.25" customHeight="1" x14ac:dyDescent="0.35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" x14ac:dyDescent="0.35">
      <c r="A34" s="67" t="s">
        <v>55</v>
      </c>
      <c r="B34" s="79">
        <f>B31/B32</f>
        <v>1</v>
      </c>
      <c r="C34" s="58" t="s">
        <v>56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5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5">
      <c r="A36" s="80" t="s">
        <v>57</v>
      </c>
      <c r="B36" s="81">
        <v>100</v>
      </c>
      <c r="C36" s="58"/>
      <c r="D36" s="855" t="s">
        <v>58</v>
      </c>
      <c r="E36" s="873"/>
      <c r="F36" s="855" t="s">
        <v>59</v>
      </c>
      <c r="G36" s="856"/>
      <c r="J36" s="70"/>
      <c r="K36" s="70"/>
      <c r="L36" s="75"/>
      <c r="M36" s="75"/>
      <c r="N36" s="76"/>
    </row>
    <row r="37" spans="1:14" s="14" customFormat="1" ht="27" customHeight="1" x14ac:dyDescent="0.45">
      <c r="A37" s="82" t="s">
        <v>60</v>
      </c>
      <c r="B37" s="83">
        <v>1</v>
      </c>
      <c r="C37" s="84" t="s">
        <v>61</v>
      </c>
      <c r="D37" s="85" t="s">
        <v>62</v>
      </c>
      <c r="E37" s="86" t="s">
        <v>63</v>
      </c>
      <c r="F37" s="85" t="s">
        <v>62</v>
      </c>
      <c r="G37" s="87" t="s">
        <v>63</v>
      </c>
      <c r="I37" s="88" t="s">
        <v>64</v>
      </c>
      <c r="J37" s="70"/>
      <c r="K37" s="70"/>
      <c r="L37" s="75"/>
      <c r="M37" s="75"/>
      <c r="N37" s="76"/>
    </row>
    <row r="38" spans="1:14" s="14" customFormat="1" ht="26.25" customHeight="1" x14ac:dyDescent="0.45">
      <c r="A38" s="82" t="s">
        <v>65</v>
      </c>
      <c r="B38" s="83">
        <v>1</v>
      </c>
      <c r="C38" s="89">
        <v>1</v>
      </c>
      <c r="D38" s="90">
        <v>52277988</v>
      </c>
      <c r="E38" s="91">
        <f>IF(ISBLANK(D38),"-",$D$48/$D$45*D38)</f>
        <v>50990105.412542708</v>
      </c>
      <c r="F38" s="90">
        <v>56898385</v>
      </c>
      <c r="G38" s="92">
        <f>IF(ISBLANK(F38),"-",$D$48/$F$45*F38)</f>
        <v>51552751.332458995</v>
      </c>
      <c r="I38" s="93"/>
      <c r="J38" s="70"/>
      <c r="K38" s="70"/>
      <c r="L38" s="75"/>
      <c r="M38" s="75"/>
      <c r="N38" s="76"/>
    </row>
    <row r="39" spans="1:14" s="14" customFormat="1" ht="26.25" customHeight="1" x14ac:dyDescent="0.45">
      <c r="A39" s="82" t="s">
        <v>66</v>
      </c>
      <c r="B39" s="83">
        <v>1</v>
      </c>
      <c r="C39" s="94">
        <v>2</v>
      </c>
      <c r="D39" s="95">
        <v>52303186</v>
      </c>
      <c r="E39" s="96">
        <f>IF(ISBLANK(D39),"-",$D$48/$D$45*D39)</f>
        <v>51014682.652894519</v>
      </c>
      <c r="F39" s="95">
        <v>56867412</v>
      </c>
      <c r="G39" s="97">
        <f>IF(ISBLANK(F39),"-",$D$48/$F$45*F39)</f>
        <v>51524688.262355685</v>
      </c>
      <c r="I39" s="857">
        <f>ABS((F43/D43*D42)-F42)/D42</f>
        <v>1.0703544639920773E-2</v>
      </c>
      <c r="J39" s="70"/>
      <c r="K39" s="70"/>
      <c r="L39" s="75"/>
      <c r="M39" s="75"/>
      <c r="N39" s="76"/>
    </row>
    <row r="40" spans="1:14" ht="26.25" customHeight="1" x14ac:dyDescent="0.45">
      <c r="A40" s="82" t="s">
        <v>67</v>
      </c>
      <c r="B40" s="83">
        <v>1</v>
      </c>
      <c r="C40" s="94">
        <v>3</v>
      </c>
      <c r="D40" s="95">
        <v>52247560</v>
      </c>
      <c r="E40" s="96">
        <f>IF(ISBLANK(D40),"-",$D$48/$D$45*D40)</f>
        <v>50960427.014676802</v>
      </c>
      <c r="F40" s="95">
        <v>56739387</v>
      </c>
      <c r="G40" s="97">
        <f>IF(ISBLANK(F40),"-",$D$48/$F$45*F40)</f>
        <v>51408691.279500403</v>
      </c>
      <c r="I40" s="857"/>
      <c r="L40" s="75"/>
      <c r="M40" s="75"/>
      <c r="N40" s="98"/>
    </row>
    <row r="41" spans="1:14" ht="27" customHeight="1" x14ac:dyDescent="0.45">
      <c r="A41" s="82" t="s">
        <v>68</v>
      </c>
      <c r="B41" s="83">
        <v>1</v>
      </c>
      <c r="C41" s="99">
        <v>4</v>
      </c>
      <c r="D41" s="100"/>
      <c r="E41" s="101" t="str">
        <f>IF(ISBLANK(D41),"-",$D$48/$D$45*D41)</f>
        <v>-</v>
      </c>
      <c r="F41" s="100"/>
      <c r="G41" s="102" t="str">
        <f>IF(ISBLANK(F41),"-",$D$48/$F$45*F41)</f>
        <v>-</v>
      </c>
      <c r="I41" s="103"/>
      <c r="L41" s="75"/>
      <c r="M41" s="75"/>
      <c r="N41" s="98"/>
    </row>
    <row r="42" spans="1:14" ht="27" customHeight="1" x14ac:dyDescent="0.45">
      <c r="A42" s="82" t="s">
        <v>69</v>
      </c>
      <c r="B42" s="83">
        <v>1</v>
      </c>
      <c r="C42" s="104" t="s">
        <v>70</v>
      </c>
      <c r="D42" s="105">
        <f>AVERAGE(D38:D41)</f>
        <v>52276244.666666664</v>
      </c>
      <c r="E42" s="106">
        <f>AVERAGE(E38:E41)</f>
        <v>50988405.026704676</v>
      </c>
      <c r="F42" s="105">
        <f>AVERAGE(F38:F41)</f>
        <v>56835061.333333336</v>
      </c>
      <c r="G42" s="107">
        <f>AVERAGE(G38:G41)</f>
        <v>51495376.958105028</v>
      </c>
      <c r="H42" s="108"/>
    </row>
    <row r="43" spans="1:14" ht="26.25" customHeight="1" x14ac:dyDescent="0.45">
      <c r="A43" s="82" t="s">
        <v>71</v>
      </c>
      <c r="B43" s="83">
        <v>1</v>
      </c>
      <c r="C43" s="109" t="s">
        <v>72</v>
      </c>
      <c r="D43" s="110">
        <v>16.47</v>
      </c>
      <c r="E43" s="98"/>
      <c r="F43" s="110">
        <v>17.73</v>
      </c>
      <c r="H43" s="108"/>
    </row>
    <row r="44" spans="1:14" ht="26.25" customHeight="1" x14ac:dyDescent="0.45">
      <c r="A44" s="82" t="s">
        <v>73</v>
      </c>
      <c r="B44" s="83">
        <v>1</v>
      </c>
      <c r="C44" s="111" t="s">
        <v>74</v>
      </c>
      <c r="D44" s="112">
        <f>D43*$B$34</f>
        <v>16.47</v>
      </c>
      <c r="E44" s="113"/>
      <c r="F44" s="112">
        <f>F43*$B$34</f>
        <v>17.73</v>
      </c>
      <c r="H44" s="108"/>
    </row>
    <row r="45" spans="1:14" ht="19.5" customHeight="1" x14ac:dyDescent="0.35">
      <c r="A45" s="82" t="s">
        <v>75</v>
      </c>
      <c r="B45" s="114">
        <f>(B44/B43)*(B42/B41)*(B40/B39)*(B38/B37)*B36</f>
        <v>100</v>
      </c>
      <c r="C45" s="111" t="s">
        <v>76</v>
      </c>
      <c r="D45" s="115">
        <f>D44*$B$30/100</f>
        <v>16.404119999999999</v>
      </c>
      <c r="E45" s="116"/>
      <c r="F45" s="115">
        <f>F44*$B$30/100</f>
        <v>17.659079999999999</v>
      </c>
      <c r="H45" s="108"/>
    </row>
    <row r="46" spans="1:14" ht="19.5" customHeight="1" x14ac:dyDescent="0.35">
      <c r="A46" s="843" t="s">
        <v>77</v>
      </c>
      <c r="B46" s="844"/>
      <c r="C46" s="111" t="s">
        <v>78</v>
      </c>
      <c r="D46" s="117">
        <f>D45/$B$45</f>
        <v>0.1640412</v>
      </c>
      <c r="E46" s="118"/>
      <c r="F46" s="119">
        <f>F45/$B$45</f>
        <v>0.17659079999999999</v>
      </c>
      <c r="H46" s="108"/>
    </row>
    <row r="47" spans="1:14" ht="27" customHeight="1" x14ac:dyDescent="0.45">
      <c r="A47" s="845"/>
      <c r="B47" s="846"/>
      <c r="C47" s="120" t="s">
        <v>79</v>
      </c>
      <c r="D47" s="121">
        <v>0.16</v>
      </c>
      <c r="E47" s="122"/>
      <c r="F47" s="118"/>
      <c r="H47" s="108"/>
    </row>
    <row r="48" spans="1:14" ht="18" x14ac:dyDescent="0.35">
      <c r="C48" s="123" t="s">
        <v>80</v>
      </c>
      <c r="D48" s="115">
        <f>D47*$B$45</f>
        <v>16</v>
      </c>
      <c r="F48" s="124"/>
      <c r="H48" s="108"/>
    </row>
    <row r="49" spans="1:12" ht="19.5" customHeight="1" x14ac:dyDescent="0.35">
      <c r="C49" s="125" t="s">
        <v>81</v>
      </c>
      <c r="D49" s="126">
        <f>D48/B34</f>
        <v>16</v>
      </c>
      <c r="F49" s="124"/>
      <c r="H49" s="108"/>
    </row>
    <row r="50" spans="1:12" ht="18" x14ac:dyDescent="0.35">
      <c r="C50" s="80" t="s">
        <v>82</v>
      </c>
      <c r="D50" s="127">
        <f>AVERAGE(E38:E41,G38:G41)</f>
        <v>51241890.992404856</v>
      </c>
      <c r="F50" s="128"/>
      <c r="H50" s="108"/>
    </row>
    <row r="51" spans="1:12" ht="18" x14ac:dyDescent="0.35">
      <c r="C51" s="82" t="s">
        <v>83</v>
      </c>
      <c r="D51" s="129">
        <f>STDEV(E38:E41,G38:G41)/D50</f>
        <v>5.5105876398191022E-3</v>
      </c>
      <c r="F51" s="128"/>
      <c r="H51" s="108"/>
    </row>
    <row r="52" spans="1:12" ht="19.5" customHeight="1" x14ac:dyDescent="0.35">
      <c r="C52" s="130" t="s">
        <v>19</v>
      </c>
      <c r="D52" s="131">
        <f>COUNT(E38:E41,G38:G41)</f>
        <v>6</v>
      </c>
      <c r="F52" s="128"/>
    </row>
    <row r="54" spans="1:12" ht="18" x14ac:dyDescent="0.35">
      <c r="A54" s="132" t="s">
        <v>1</v>
      </c>
      <c r="B54" s="133" t="s">
        <v>84</v>
      </c>
    </row>
    <row r="55" spans="1:12" ht="18" x14ac:dyDescent="0.35">
      <c r="A55" s="58" t="s">
        <v>85</v>
      </c>
      <c r="B55" s="134" t="str">
        <f>B21</f>
        <v>RIFAMPICIN 150 mg</v>
      </c>
    </row>
    <row r="56" spans="1:12" ht="26.25" customHeight="1" x14ac:dyDescent="0.45">
      <c r="A56" s="135" t="s">
        <v>86</v>
      </c>
      <c r="B56" s="136">
        <v>150</v>
      </c>
      <c r="C56" s="58" t="str">
        <f>B20</f>
        <v>RIFAMPICIN</v>
      </c>
      <c r="H56" s="137"/>
    </row>
    <row r="57" spans="1:12" ht="18" x14ac:dyDescent="0.35">
      <c r="A57" s="134" t="s">
        <v>87</v>
      </c>
      <c r="B57" s="225">
        <f>Uniformity!C46</f>
        <v>1256.6105000000002</v>
      </c>
      <c r="H57" s="137"/>
    </row>
    <row r="58" spans="1:12" ht="19.5" customHeight="1" x14ac:dyDescent="0.35">
      <c r="H58" s="137"/>
    </row>
    <row r="59" spans="1:12" s="14" customFormat="1" ht="27" customHeight="1" x14ac:dyDescent="0.45">
      <c r="A59" s="80" t="s">
        <v>88</v>
      </c>
      <c r="B59" s="81">
        <v>200</v>
      </c>
      <c r="C59" s="58"/>
      <c r="D59" s="138" t="s">
        <v>89</v>
      </c>
      <c r="E59" s="139" t="s">
        <v>61</v>
      </c>
      <c r="F59" s="139" t="s">
        <v>62</v>
      </c>
      <c r="G59" s="139" t="s">
        <v>90</v>
      </c>
      <c r="H59" s="84" t="s">
        <v>91</v>
      </c>
      <c r="L59" s="70"/>
    </row>
    <row r="60" spans="1:12" s="14" customFormat="1" ht="26.25" customHeight="1" x14ac:dyDescent="0.45">
      <c r="A60" s="82" t="s">
        <v>92</v>
      </c>
      <c r="B60" s="83">
        <v>4</v>
      </c>
      <c r="C60" s="860" t="s">
        <v>93</v>
      </c>
      <c r="D60" s="863">
        <v>1241.1300000000001</v>
      </c>
      <c r="E60" s="140">
        <v>1</v>
      </c>
      <c r="F60" s="141"/>
      <c r="G60" s="226" t="str">
        <f>IF(ISBLANK(F60),"-",(F60/$D$50*$D$47*$B$68)*($B$57/$D$60))</f>
        <v>-</v>
      </c>
      <c r="H60" s="142" t="str">
        <f t="shared" ref="H60:H71" si="0">IF(ISBLANK(F60),"-",G60/$B$56)</f>
        <v>-</v>
      </c>
      <c r="L60" s="70"/>
    </row>
    <row r="61" spans="1:12" s="14" customFormat="1" ht="26.25" customHeight="1" x14ac:dyDescent="0.45">
      <c r="A61" s="82" t="s">
        <v>94</v>
      </c>
      <c r="B61" s="83">
        <v>20</v>
      </c>
      <c r="C61" s="861"/>
      <c r="D61" s="864"/>
      <c r="E61" s="143">
        <v>2</v>
      </c>
      <c r="F61" s="95"/>
      <c r="G61" s="227" t="str">
        <f>IF(ISBLANK(F61),"-",(F61/$D$50*$D$47*$B$68)*($B$57/$D$60))</f>
        <v>-</v>
      </c>
      <c r="H61" s="144" t="str">
        <f t="shared" si="0"/>
        <v>-</v>
      </c>
      <c r="L61" s="70"/>
    </row>
    <row r="62" spans="1:12" s="14" customFormat="1" ht="26.25" customHeight="1" x14ac:dyDescent="0.45">
      <c r="A62" s="82" t="s">
        <v>95</v>
      </c>
      <c r="B62" s="83">
        <v>1</v>
      </c>
      <c r="C62" s="861"/>
      <c r="D62" s="864"/>
      <c r="E62" s="143">
        <v>3</v>
      </c>
      <c r="F62" s="145"/>
      <c r="G62" s="227" t="str">
        <f>IF(ISBLANK(F62),"-",(F62/$D$50*$D$47*$B$68)*($B$57/$D$60))</f>
        <v>-</v>
      </c>
      <c r="H62" s="144" t="str">
        <f t="shared" si="0"/>
        <v>-</v>
      </c>
      <c r="L62" s="70"/>
    </row>
    <row r="63" spans="1:12" ht="27" customHeight="1" x14ac:dyDescent="0.45">
      <c r="A63" s="82" t="s">
        <v>96</v>
      </c>
      <c r="B63" s="83">
        <v>1</v>
      </c>
      <c r="C63" s="871"/>
      <c r="D63" s="865"/>
      <c r="E63" s="146">
        <v>4</v>
      </c>
      <c r="F63" s="147"/>
      <c r="G63" s="227" t="str">
        <f>IF(ISBLANK(F63),"-",(F63/$D$50*$D$47*$B$68)*($B$57/$D$60))</f>
        <v>-</v>
      </c>
      <c r="H63" s="144" t="str">
        <f t="shared" si="0"/>
        <v>-</v>
      </c>
    </row>
    <row r="64" spans="1:12" ht="26.25" customHeight="1" x14ac:dyDescent="0.45">
      <c r="A64" s="82" t="s">
        <v>97</v>
      </c>
      <c r="B64" s="83">
        <v>1</v>
      </c>
      <c r="C64" s="860" t="s">
        <v>98</v>
      </c>
      <c r="D64" s="863">
        <v>1210.0899999999999</v>
      </c>
      <c r="E64" s="140">
        <v>1</v>
      </c>
      <c r="F64" s="141">
        <v>43654495</v>
      </c>
      <c r="G64" s="228">
        <f>IF(ISBLANK(F64),"-",(F64/$D$50*$D$47*$B$68)*($B$57/$D$64))</f>
        <v>141.54900317432845</v>
      </c>
      <c r="H64" s="148">
        <f t="shared" si="0"/>
        <v>0.94366002116218961</v>
      </c>
    </row>
    <row r="65" spans="1:8" ht="26.25" customHeight="1" x14ac:dyDescent="0.45">
      <c r="A65" s="82" t="s">
        <v>99</v>
      </c>
      <c r="B65" s="83">
        <v>1</v>
      </c>
      <c r="C65" s="861"/>
      <c r="D65" s="864"/>
      <c r="E65" s="143">
        <v>2</v>
      </c>
      <c r="F65" s="95">
        <v>42520200</v>
      </c>
      <c r="G65" s="229">
        <f>IF(ISBLANK(F65),"-",(F65/$D$50*$D$47*$B$68)*($B$57/$D$64))</f>
        <v>137.87106974374763</v>
      </c>
      <c r="H65" s="149">
        <f t="shared" si="0"/>
        <v>0.91914046495831747</v>
      </c>
    </row>
    <row r="66" spans="1:8" ht="26.25" customHeight="1" x14ac:dyDescent="0.45">
      <c r="A66" s="82" t="s">
        <v>100</v>
      </c>
      <c r="B66" s="83">
        <v>1</v>
      </c>
      <c r="C66" s="861"/>
      <c r="D66" s="864"/>
      <c r="E66" s="143">
        <v>3</v>
      </c>
      <c r="F66" s="95">
        <v>42545443</v>
      </c>
      <c r="G66" s="229">
        <f>IF(ISBLANK(F66),"-",(F66/$D$50*$D$47*$B$68)*($B$57/$D$64))</f>
        <v>137.95291976828986</v>
      </c>
      <c r="H66" s="149">
        <f t="shared" si="0"/>
        <v>0.91968613178859904</v>
      </c>
    </row>
    <row r="67" spans="1:8" ht="27" customHeight="1" x14ac:dyDescent="0.45">
      <c r="A67" s="82" t="s">
        <v>101</v>
      </c>
      <c r="B67" s="83">
        <v>1</v>
      </c>
      <c r="C67" s="871"/>
      <c r="D67" s="865"/>
      <c r="E67" s="146">
        <v>4</v>
      </c>
      <c r="F67" s="147"/>
      <c r="G67" s="230" t="str">
        <f>IF(ISBLANK(F67),"-",(F67/$D$50*$D$47*$B$68)*($B$57/$D$64))</f>
        <v>-</v>
      </c>
      <c r="H67" s="150" t="str">
        <f t="shared" si="0"/>
        <v>-</v>
      </c>
    </row>
    <row r="68" spans="1:8" ht="26.25" customHeight="1" x14ac:dyDescent="0.5">
      <c r="A68" s="82" t="s">
        <v>102</v>
      </c>
      <c r="B68" s="151">
        <f>(B67/B66)*(B65/B64)*(B63/B62)*(B61/B60)*B59</f>
        <v>1000</v>
      </c>
      <c r="C68" s="860" t="s">
        <v>103</v>
      </c>
      <c r="D68" s="863">
        <v>1208.43</v>
      </c>
      <c r="E68" s="140">
        <v>1</v>
      </c>
      <c r="F68" s="141">
        <v>42677795</v>
      </c>
      <c r="G68" s="228">
        <f>IF(ISBLANK(F68),"-",(F68/$D$50*$D$47*$B$68)*($B$57/$D$68))</f>
        <v>138.57216214013974</v>
      </c>
      <c r="H68" s="144">
        <f t="shared" si="0"/>
        <v>0.92381441426759825</v>
      </c>
    </row>
    <row r="69" spans="1:8" ht="27" customHeight="1" x14ac:dyDescent="0.5">
      <c r="A69" s="130" t="s">
        <v>104</v>
      </c>
      <c r="B69" s="152">
        <f>(D47*B68)/B56*B57</f>
        <v>1340.3845333333336</v>
      </c>
      <c r="C69" s="861"/>
      <c r="D69" s="864"/>
      <c r="E69" s="143">
        <v>2</v>
      </c>
      <c r="F69" s="95">
        <v>41709430</v>
      </c>
      <c r="G69" s="229">
        <f>IF(ISBLANK(F69),"-",(F69/$D$50*$D$47*$B$68)*($B$57/$D$68))</f>
        <v>135.42794084682228</v>
      </c>
      <c r="H69" s="144">
        <f t="shared" si="0"/>
        <v>0.90285293897881524</v>
      </c>
    </row>
    <row r="70" spans="1:8" ht="26.25" customHeight="1" x14ac:dyDescent="0.45">
      <c r="A70" s="866" t="s">
        <v>77</v>
      </c>
      <c r="B70" s="867"/>
      <c r="C70" s="861"/>
      <c r="D70" s="864"/>
      <c r="E70" s="143">
        <v>3</v>
      </c>
      <c r="F70" s="95">
        <v>41190713</v>
      </c>
      <c r="G70" s="229">
        <f>IF(ISBLANK(F70),"-",(F70/$D$50*$D$47*$B$68)*($B$57/$D$68))</f>
        <v>133.74369881349216</v>
      </c>
      <c r="H70" s="144">
        <f t="shared" si="0"/>
        <v>0.89162465875661434</v>
      </c>
    </row>
    <row r="71" spans="1:8" ht="27" customHeight="1" x14ac:dyDescent="0.45">
      <c r="A71" s="868"/>
      <c r="B71" s="869"/>
      <c r="C71" s="862"/>
      <c r="D71" s="865"/>
      <c r="E71" s="146">
        <v>4</v>
      </c>
      <c r="F71" s="147"/>
      <c r="G71" s="230" t="str">
        <f>IF(ISBLANK(F71),"-",(F71/$D$50*$D$47*$B$68)*($B$57/$D$68))</f>
        <v>-</v>
      </c>
      <c r="H71" s="153" t="str">
        <f t="shared" si="0"/>
        <v>-</v>
      </c>
    </row>
    <row r="72" spans="1:8" ht="26.25" customHeight="1" x14ac:dyDescent="0.45">
      <c r="A72" s="154"/>
      <c r="B72" s="154"/>
      <c r="C72" s="154"/>
      <c r="D72" s="154"/>
      <c r="E72" s="154"/>
      <c r="F72" s="156" t="s">
        <v>70</v>
      </c>
      <c r="G72" s="235">
        <f>AVERAGE(G60:G71)</f>
        <v>137.51946574780337</v>
      </c>
      <c r="H72" s="157">
        <f>AVERAGE(H60:H71)</f>
        <v>0.91679643831868896</v>
      </c>
    </row>
    <row r="73" spans="1:8" ht="26.25" customHeight="1" x14ac:dyDescent="0.45">
      <c r="C73" s="154"/>
      <c r="D73" s="154"/>
      <c r="E73" s="154"/>
      <c r="F73" s="158" t="s">
        <v>83</v>
      </c>
      <c r="G73" s="231">
        <f>STDEV(G60:G71)/G72</f>
        <v>1.9589835627896252E-2</v>
      </c>
      <c r="H73" s="231">
        <f>STDEV(H60:H71)/H72</f>
        <v>1.9589835627896245E-2</v>
      </c>
    </row>
    <row r="74" spans="1:8" ht="27" customHeight="1" x14ac:dyDescent="0.45">
      <c r="A74" s="154"/>
      <c r="B74" s="154"/>
      <c r="C74" s="155"/>
      <c r="D74" s="155"/>
      <c r="E74" s="159"/>
      <c r="F74" s="160" t="s">
        <v>19</v>
      </c>
      <c r="G74" s="161">
        <f>COUNT(G60:G71)</f>
        <v>6</v>
      </c>
      <c r="H74" s="161">
        <f>COUNT(H60:H71)</f>
        <v>6</v>
      </c>
    </row>
    <row r="76" spans="1:8" ht="26.25" customHeight="1" x14ac:dyDescent="0.45">
      <c r="A76" s="66" t="s">
        <v>105</v>
      </c>
      <c r="B76" s="162" t="s">
        <v>106</v>
      </c>
      <c r="C76" s="847" t="str">
        <f>B20</f>
        <v>RIFAMPICIN</v>
      </c>
      <c r="D76" s="847"/>
      <c r="E76" s="163" t="s">
        <v>107</v>
      </c>
      <c r="F76" s="163"/>
      <c r="G76" s="164">
        <f>H72</f>
        <v>0.91679643831868896</v>
      </c>
      <c r="H76" s="165"/>
    </row>
    <row r="77" spans="1:8" ht="18" x14ac:dyDescent="0.35">
      <c r="A77" s="65" t="s">
        <v>108</v>
      </c>
      <c r="B77" s="65" t="s">
        <v>109</v>
      </c>
    </row>
    <row r="78" spans="1:8" ht="18" x14ac:dyDescent="0.35">
      <c r="A78" s="65"/>
      <c r="B78" s="65"/>
    </row>
    <row r="79" spans="1:8" ht="26.25" customHeight="1" x14ac:dyDescent="0.45">
      <c r="A79" s="66" t="s">
        <v>4</v>
      </c>
      <c r="B79" s="870" t="str">
        <f>B26</f>
        <v>RIFAMPICIN</v>
      </c>
      <c r="C79" s="870"/>
    </row>
    <row r="80" spans="1:8" ht="26.25" customHeight="1" x14ac:dyDescent="0.45">
      <c r="A80" s="67" t="s">
        <v>47</v>
      </c>
      <c r="B80" s="870" t="str">
        <f>B27</f>
        <v xml:space="preserve">R5 1 </v>
      </c>
      <c r="C80" s="870"/>
    </row>
    <row r="81" spans="1:12" ht="27" customHeight="1" x14ac:dyDescent="0.45">
      <c r="A81" s="67" t="s">
        <v>6</v>
      </c>
      <c r="B81" s="166">
        <f>B28</f>
        <v>99.6</v>
      </c>
    </row>
    <row r="82" spans="1:12" s="14" customFormat="1" ht="27" customHeight="1" x14ac:dyDescent="0.5">
      <c r="A82" s="67" t="s">
        <v>48</v>
      </c>
      <c r="B82" s="69">
        <v>0</v>
      </c>
      <c r="C82" s="849" t="s">
        <v>49</v>
      </c>
      <c r="D82" s="850"/>
      <c r="E82" s="850"/>
      <c r="F82" s="850"/>
      <c r="G82" s="851"/>
      <c r="I82" s="70"/>
      <c r="J82" s="70"/>
      <c r="K82" s="70"/>
      <c r="L82" s="70"/>
    </row>
    <row r="83" spans="1:12" s="14" customFormat="1" ht="19.5" customHeight="1" x14ac:dyDescent="0.35">
      <c r="A83" s="67" t="s">
        <v>50</v>
      </c>
      <c r="B83" s="71">
        <f>B81-B82</f>
        <v>99.6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5">
      <c r="A84" s="67" t="s">
        <v>51</v>
      </c>
      <c r="B84" s="74">
        <v>1</v>
      </c>
      <c r="C84" s="852" t="s">
        <v>110</v>
      </c>
      <c r="D84" s="853"/>
      <c r="E84" s="853"/>
      <c r="F84" s="853"/>
      <c r="G84" s="853"/>
      <c r="H84" s="854"/>
      <c r="I84" s="70"/>
      <c r="J84" s="70"/>
      <c r="K84" s="70"/>
      <c r="L84" s="70"/>
    </row>
    <row r="85" spans="1:12" s="14" customFormat="1" ht="27" customHeight="1" x14ac:dyDescent="0.45">
      <c r="A85" s="67" t="s">
        <v>53</v>
      </c>
      <c r="B85" s="74">
        <v>1</v>
      </c>
      <c r="C85" s="852" t="s">
        <v>111</v>
      </c>
      <c r="D85" s="853"/>
      <c r="E85" s="853"/>
      <c r="F85" s="853"/>
      <c r="G85" s="853"/>
      <c r="H85" s="854"/>
      <c r="I85" s="70"/>
      <c r="J85" s="70"/>
      <c r="K85" s="70"/>
      <c r="L85" s="70"/>
    </row>
    <row r="86" spans="1:12" s="14" customFormat="1" ht="18" x14ac:dyDescent="0.35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" x14ac:dyDescent="0.35">
      <c r="A87" s="67" t="s">
        <v>55</v>
      </c>
      <c r="B87" s="79">
        <f>B84/B85</f>
        <v>1</v>
      </c>
      <c r="C87" s="58" t="s">
        <v>56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5">
      <c r="A88" s="65"/>
      <c r="B88" s="65"/>
    </row>
    <row r="89" spans="1:12" ht="27" customHeight="1" x14ac:dyDescent="0.45">
      <c r="A89" s="80" t="s">
        <v>57</v>
      </c>
      <c r="B89" s="81">
        <v>5</v>
      </c>
      <c r="D89" s="167" t="s">
        <v>58</v>
      </c>
      <c r="E89" s="168"/>
      <c r="F89" s="855" t="s">
        <v>59</v>
      </c>
      <c r="G89" s="856"/>
    </row>
    <row r="90" spans="1:12" ht="27" customHeight="1" x14ac:dyDescent="0.45">
      <c r="A90" s="82" t="s">
        <v>60</v>
      </c>
      <c r="B90" s="83">
        <v>3</v>
      </c>
      <c r="C90" s="169" t="s">
        <v>61</v>
      </c>
      <c r="D90" s="85" t="s">
        <v>62</v>
      </c>
      <c r="E90" s="86" t="s">
        <v>63</v>
      </c>
      <c r="F90" s="85" t="s">
        <v>62</v>
      </c>
      <c r="G90" s="170" t="s">
        <v>63</v>
      </c>
      <c r="I90" s="88" t="s">
        <v>64</v>
      </c>
    </row>
    <row r="91" spans="1:12" ht="26.25" customHeight="1" x14ac:dyDescent="0.45">
      <c r="A91" s="82" t="s">
        <v>65</v>
      </c>
      <c r="B91" s="83">
        <v>50</v>
      </c>
      <c r="C91" s="171">
        <v>1</v>
      </c>
      <c r="D91" s="633">
        <v>49822553</v>
      </c>
      <c r="E91" s="91">
        <f>IF(ISBLANK(D91),"-",$D$101/$D$98*D91)</f>
        <v>48247148.509160101</v>
      </c>
      <c r="F91" s="633">
        <v>60858349</v>
      </c>
      <c r="G91" s="92">
        <f>IF(ISBLANK(F91),"-",$D$101/$F$98*F91)</f>
        <v>48494254.000127502</v>
      </c>
      <c r="I91" s="93"/>
    </row>
    <row r="92" spans="1:12" ht="26.25" customHeight="1" x14ac:dyDescent="0.45">
      <c r="A92" s="82" t="s">
        <v>66</v>
      </c>
      <c r="B92" s="83">
        <v>1</v>
      </c>
      <c r="C92" s="155">
        <v>2</v>
      </c>
      <c r="D92" s="638">
        <v>50013796</v>
      </c>
      <c r="E92" s="96">
        <f>IF(ISBLANK(D92),"-",$D$101/$D$98*D92)</f>
        <v>48432344.346521892</v>
      </c>
      <c r="F92" s="638">
        <v>60847155</v>
      </c>
      <c r="G92" s="97">
        <f>IF(ISBLANK(F92),"-",$D$101/$F$98*F92)</f>
        <v>48485334.193918534</v>
      </c>
      <c r="I92" s="857">
        <f>ABS((F96/D96*D95)-F95)/D95</f>
        <v>5.7243616904717473E-3</v>
      </c>
    </row>
    <row r="93" spans="1:12" ht="26.25" customHeight="1" x14ac:dyDescent="0.45">
      <c r="A93" s="82" t="s">
        <v>67</v>
      </c>
      <c r="B93" s="83">
        <v>1</v>
      </c>
      <c r="C93" s="155">
        <v>3</v>
      </c>
      <c r="D93" s="638">
        <v>49858324</v>
      </c>
      <c r="E93" s="96">
        <f>IF(ISBLANK(D93),"-",$D$101/$D$98*D93)</f>
        <v>48281788.41910854</v>
      </c>
      <c r="F93" s="638">
        <v>61072012</v>
      </c>
      <c r="G93" s="97">
        <f>IF(ISBLANK(F93),"-",$D$101/$F$98*F93)</f>
        <v>48664508.828966662</v>
      </c>
      <c r="I93" s="857"/>
    </row>
    <row r="94" spans="1:12" ht="27" customHeight="1" x14ac:dyDescent="0.45">
      <c r="A94" s="82" t="s">
        <v>68</v>
      </c>
      <c r="B94" s="83">
        <v>1</v>
      </c>
      <c r="C94" s="172">
        <v>4</v>
      </c>
      <c r="D94" s="643"/>
      <c r="E94" s="101" t="str">
        <f>IF(ISBLANK(D94),"-",$D$101/$D$98*D94)</f>
        <v>-</v>
      </c>
      <c r="F94" s="643"/>
      <c r="G94" s="102" t="str">
        <f>IF(ISBLANK(F94),"-",$D$101/$F$98*F94)</f>
        <v>-</v>
      </c>
      <c r="I94" s="103"/>
    </row>
    <row r="95" spans="1:12" ht="27" customHeight="1" x14ac:dyDescent="0.45">
      <c r="A95" s="82" t="s">
        <v>69</v>
      </c>
      <c r="B95" s="83">
        <v>1</v>
      </c>
      <c r="C95" s="173" t="s">
        <v>70</v>
      </c>
      <c r="D95" s="174">
        <f>AVERAGE(D91:D94)</f>
        <v>49898224.333333336</v>
      </c>
      <c r="E95" s="106">
        <f>AVERAGE(E91:E94)</f>
        <v>48320427.091596842</v>
      </c>
      <c r="F95" s="175">
        <f>AVERAGE(F91:F94)</f>
        <v>60925838.666666664</v>
      </c>
      <c r="G95" s="176">
        <f>AVERAGE(G91:G94)</f>
        <v>48548032.34100423</v>
      </c>
    </row>
    <row r="96" spans="1:12" ht="26.25" customHeight="1" x14ac:dyDescent="0.45">
      <c r="A96" s="82" t="s">
        <v>71</v>
      </c>
      <c r="B96" s="68">
        <v>1</v>
      </c>
      <c r="C96" s="177" t="s">
        <v>112</v>
      </c>
      <c r="D96" s="178">
        <v>14.4</v>
      </c>
      <c r="E96" s="98"/>
      <c r="F96" s="110">
        <v>17.5</v>
      </c>
    </row>
    <row r="97" spans="1:10" ht="26.25" customHeight="1" x14ac:dyDescent="0.45">
      <c r="A97" s="82" t="s">
        <v>73</v>
      </c>
      <c r="B97" s="68">
        <v>1</v>
      </c>
      <c r="C97" s="179" t="s">
        <v>113</v>
      </c>
      <c r="D97" s="180">
        <f>D96*$B$87</f>
        <v>14.4</v>
      </c>
      <c r="E97" s="113"/>
      <c r="F97" s="112">
        <f>F96*$B$87</f>
        <v>17.5</v>
      </c>
    </row>
    <row r="98" spans="1:10" ht="19.5" customHeight="1" x14ac:dyDescent="0.35">
      <c r="A98" s="82" t="s">
        <v>75</v>
      </c>
      <c r="B98" s="181">
        <f>(B97/B96)*(B95/B94)*(B93/B92)*(B91/B90)*B89</f>
        <v>83.333333333333343</v>
      </c>
      <c r="C98" s="179" t="s">
        <v>114</v>
      </c>
      <c r="D98" s="182">
        <f>D97*$B$83/100</f>
        <v>14.3424</v>
      </c>
      <c r="E98" s="116"/>
      <c r="F98" s="115">
        <f>F97*$B$83/100</f>
        <v>17.43</v>
      </c>
    </row>
    <row r="99" spans="1:10" ht="19.5" customHeight="1" x14ac:dyDescent="0.35">
      <c r="A99" s="843" t="s">
        <v>77</v>
      </c>
      <c r="B99" s="858"/>
      <c r="C99" s="179" t="s">
        <v>115</v>
      </c>
      <c r="D99" s="183">
        <f>D98/$B$98</f>
        <v>0.17210879999999998</v>
      </c>
      <c r="E99" s="116"/>
      <c r="F99" s="119">
        <f>F98/$B$98</f>
        <v>0.20915999999999998</v>
      </c>
      <c r="G99" s="184"/>
      <c r="H99" s="108"/>
    </row>
    <row r="100" spans="1:10" ht="19.5" customHeight="1" x14ac:dyDescent="0.35">
      <c r="A100" s="845"/>
      <c r="B100" s="859"/>
      <c r="C100" s="179" t="s">
        <v>79</v>
      </c>
      <c r="D100" s="185">
        <f>$B$56/$B$116</f>
        <v>0.16666666666666666</v>
      </c>
      <c r="F100" s="124"/>
      <c r="G100" s="186"/>
      <c r="H100" s="108"/>
    </row>
    <row r="101" spans="1:10" ht="18" x14ac:dyDescent="0.35">
      <c r="C101" s="179" t="s">
        <v>80</v>
      </c>
      <c r="D101" s="180">
        <f>D100*$B$98</f>
        <v>13.888888888888889</v>
      </c>
      <c r="F101" s="124"/>
      <c r="G101" s="184"/>
      <c r="H101" s="108"/>
    </row>
    <row r="102" spans="1:10" ht="19.5" customHeight="1" x14ac:dyDescent="0.35">
      <c r="C102" s="187" t="s">
        <v>81</v>
      </c>
      <c r="D102" s="188">
        <f>D101/B34</f>
        <v>13.888888888888889</v>
      </c>
      <c r="F102" s="128"/>
      <c r="G102" s="184"/>
      <c r="H102" s="108"/>
      <c r="J102" s="189"/>
    </row>
    <row r="103" spans="1:10" ht="18" x14ac:dyDescent="0.35">
      <c r="C103" s="190" t="s">
        <v>116</v>
      </c>
      <c r="D103" s="191">
        <f>AVERAGE(E91:E94,G91:G94)</f>
        <v>48434229.71630054</v>
      </c>
      <c r="F103" s="128"/>
      <c r="G103" s="192"/>
      <c r="H103" s="108"/>
      <c r="J103" s="193"/>
    </row>
    <row r="104" spans="1:10" ht="18" x14ac:dyDescent="0.35">
      <c r="C104" s="158" t="s">
        <v>83</v>
      </c>
      <c r="D104" s="194">
        <f>STDEV(E91:E94,G91:G94)/D103</f>
        <v>3.164845982137158E-3</v>
      </c>
      <c r="F104" s="128"/>
      <c r="G104" s="184"/>
      <c r="H104" s="108"/>
      <c r="J104" s="193"/>
    </row>
    <row r="105" spans="1:10" ht="19.5" customHeight="1" x14ac:dyDescent="0.35">
      <c r="C105" s="160" t="s">
        <v>19</v>
      </c>
      <c r="D105" s="195">
        <f>COUNT(E91:E94,G91:G94)</f>
        <v>6</v>
      </c>
      <c r="F105" s="128"/>
      <c r="G105" s="184"/>
      <c r="H105" s="108"/>
      <c r="J105" s="193"/>
    </row>
    <row r="106" spans="1:10" ht="19.5" customHeight="1" x14ac:dyDescent="0.35">
      <c r="A106" s="132"/>
      <c r="B106" s="132"/>
      <c r="C106" s="132"/>
      <c r="D106" s="132"/>
      <c r="E106" s="132"/>
    </row>
    <row r="107" spans="1:10" ht="26.25" customHeight="1" x14ac:dyDescent="0.45">
      <c r="A107" s="80" t="s">
        <v>117</v>
      </c>
      <c r="B107" s="81">
        <v>900</v>
      </c>
      <c r="C107" s="196" t="s">
        <v>118</v>
      </c>
      <c r="D107" s="197" t="s">
        <v>62</v>
      </c>
      <c r="E107" s="198" t="s">
        <v>119</v>
      </c>
      <c r="F107" s="199" t="s">
        <v>120</v>
      </c>
    </row>
    <row r="108" spans="1:10" ht="26.25" customHeight="1" x14ac:dyDescent="0.45">
      <c r="A108" s="82" t="s">
        <v>121</v>
      </c>
      <c r="B108" s="83">
        <v>1</v>
      </c>
      <c r="C108" s="200">
        <v>1</v>
      </c>
      <c r="D108" s="201">
        <v>40267726</v>
      </c>
      <c r="E108" s="232">
        <f t="shared" ref="E108:E113" si="1">IF(ISBLANK(D108),"-",D108/$D$103*$D$100*$B$116)</f>
        <v>124.70847446898044</v>
      </c>
      <c r="F108" s="202">
        <f t="shared" ref="F108:F113" si="2">IF(ISBLANK(D108), "-", E108/$B$56)</f>
        <v>0.83138982979320297</v>
      </c>
    </row>
    <row r="109" spans="1:10" ht="26.25" customHeight="1" x14ac:dyDescent="0.45">
      <c r="A109" s="82" t="s">
        <v>94</v>
      </c>
      <c r="B109" s="83">
        <v>1</v>
      </c>
      <c r="C109" s="200">
        <v>2</v>
      </c>
      <c r="D109" s="201">
        <v>39861239</v>
      </c>
      <c r="E109" s="233">
        <f t="shared" si="1"/>
        <v>123.44959102317888</v>
      </c>
      <c r="F109" s="203">
        <f t="shared" si="2"/>
        <v>0.82299727348785923</v>
      </c>
    </row>
    <row r="110" spans="1:10" ht="26.25" customHeight="1" x14ac:dyDescent="0.45">
      <c r="A110" s="82" t="s">
        <v>95</v>
      </c>
      <c r="B110" s="83">
        <v>1</v>
      </c>
      <c r="C110" s="200">
        <v>3</v>
      </c>
      <c r="D110" s="201">
        <v>38780468</v>
      </c>
      <c r="E110" s="233">
        <f t="shared" si="1"/>
        <v>120.10246129799117</v>
      </c>
      <c r="F110" s="203">
        <f t="shared" si="2"/>
        <v>0.8006830753199411</v>
      </c>
    </row>
    <row r="111" spans="1:10" ht="26.25" customHeight="1" x14ac:dyDescent="0.45">
      <c r="A111" s="82" t="s">
        <v>96</v>
      </c>
      <c r="B111" s="83">
        <v>1</v>
      </c>
      <c r="C111" s="200">
        <v>4</v>
      </c>
      <c r="D111" s="201">
        <v>40850524</v>
      </c>
      <c r="E111" s="233">
        <f t="shared" si="1"/>
        <v>126.51339013527789</v>
      </c>
      <c r="F111" s="203">
        <f t="shared" si="2"/>
        <v>0.84342260090185261</v>
      </c>
    </row>
    <row r="112" spans="1:10" ht="26.25" customHeight="1" x14ac:dyDescent="0.45">
      <c r="A112" s="82" t="s">
        <v>97</v>
      </c>
      <c r="B112" s="83">
        <v>1</v>
      </c>
      <c r="C112" s="200">
        <v>5</v>
      </c>
      <c r="D112" s="201">
        <v>40559271</v>
      </c>
      <c r="E112" s="233">
        <f t="shared" si="1"/>
        <v>125.61138446168923</v>
      </c>
      <c r="F112" s="203">
        <f t="shared" si="2"/>
        <v>0.83740922974459486</v>
      </c>
    </row>
    <row r="113" spans="1:10" ht="26.25" customHeight="1" x14ac:dyDescent="0.45">
      <c r="A113" s="82" t="s">
        <v>99</v>
      </c>
      <c r="B113" s="83">
        <v>1</v>
      </c>
      <c r="C113" s="204">
        <v>6</v>
      </c>
      <c r="D113" s="205">
        <v>40222517</v>
      </c>
      <c r="E113" s="234">
        <f t="shared" si="1"/>
        <v>124.56846295151188</v>
      </c>
      <c r="F113" s="206">
        <f t="shared" si="2"/>
        <v>0.83045641967674588</v>
      </c>
    </row>
    <row r="114" spans="1:10" ht="26.25" customHeight="1" x14ac:dyDescent="0.45">
      <c r="A114" s="82" t="s">
        <v>100</v>
      </c>
      <c r="B114" s="83">
        <v>1</v>
      </c>
      <c r="C114" s="200"/>
      <c r="D114" s="155"/>
      <c r="E114" s="57"/>
      <c r="F114" s="207"/>
    </row>
    <row r="115" spans="1:10" ht="26.25" customHeight="1" x14ac:dyDescent="0.45">
      <c r="A115" s="82" t="s">
        <v>101</v>
      </c>
      <c r="B115" s="83">
        <v>1</v>
      </c>
      <c r="C115" s="200"/>
      <c r="D115" s="208" t="s">
        <v>70</v>
      </c>
      <c r="E115" s="236">
        <f>AVERAGE(E108:E113)</f>
        <v>124.1589607231049</v>
      </c>
      <c r="F115" s="209">
        <f>AVERAGE(F108:F113)</f>
        <v>0.82772640482069937</v>
      </c>
    </row>
    <row r="116" spans="1:10" ht="27" customHeight="1" x14ac:dyDescent="0.45">
      <c r="A116" s="82" t="s">
        <v>102</v>
      </c>
      <c r="B116" s="114">
        <f>(B115/B114)*(B113/B112)*(B111/B110)*(B109/B108)*B107</f>
        <v>900</v>
      </c>
      <c r="C116" s="210"/>
      <c r="D116" s="173" t="s">
        <v>83</v>
      </c>
      <c r="E116" s="211">
        <f>STDEV(E108:E113)/E115</f>
        <v>1.8038843314198798E-2</v>
      </c>
      <c r="F116" s="211">
        <f>STDEV(F108:F113)/F115</f>
        <v>1.8038843314198826E-2</v>
      </c>
      <c r="I116" s="57"/>
    </row>
    <row r="117" spans="1:10" ht="27" customHeight="1" x14ac:dyDescent="0.45">
      <c r="A117" s="843" t="s">
        <v>77</v>
      </c>
      <c r="B117" s="844"/>
      <c r="C117" s="212"/>
      <c r="D117" s="213" t="s">
        <v>19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5">
      <c r="A118" s="845"/>
      <c r="B118" s="846"/>
      <c r="C118" s="57"/>
      <c r="D118" s="57"/>
      <c r="E118" s="57"/>
      <c r="F118" s="155"/>
      <c r="G118" s="57"/>
      <c r="H118" s="57"/>
      <c r="I118" s="57"/>
    </row>
    <row r="119" spans="1:10" ht="18" x14ac:dyDescent="0.35">
      <c r="A119" s="223"/>
      <c r="B119" s="78"/>
      <c r="C119" s="57"/>
      <c r="D119" s="57"/>
      <c r="E119" s="57"/>
      <c r="F119" s="155"/>
      <c r="G119" s="57"/>
      <c r="H119" s="57"/>
      <c r="I119" s="57"/>
    </row>
    <row r="120" spans="1:10" ht="26.25" customHeight="1" x14ac:dyDescent="0.45">
      <c r="A120" s="66" t="s">
        <v>105</v>
      </c>
      <c r="B120" s="162" t="s">
        <v>122</v>
      </c>
      <c r="C120" s="847" t="str">
        <f>B20</f>
        <v>RIFAMPICIN</v>
      </c>
      <c r="D120" s="847"/>
      <c r="E120" s="163" t="s">
        <v>123</v>
      </c>
      <c r="F120" s="163"/>
      <c r="G120" s="164">
        <f>F115</f>
        <v>0.82772640482069937</v>
      </c>
      <c r="H120" s="57"/>
      <c r="I120" s="57"/>
    </row>
    <row r="121" spans="1:10" ht="19.5" customHeight="1" x14ac:dyDescent="0.35">
      <c r="A121" s="215"/>
      <c r="B121" s="215"/>
      <c r="C121" s="216"/>
      <c r="D121" s="216"/>
      <c r="E121" s="216"/>
      <c r="F121" s="216"/>
      <c r="G121" s="216"/>
      <c r="H121" s="216"/>
    </row>
    <row r="122" spans="1:10" ht="18" x14ac:dyDescent="0.35">
      <c r="B122" s="848" t="s">
        <v>25</v>
      </c>
      <c r="C122" s="848"/>
      <c r="E122" s="169" t="s">
        <v>26</v>
      </c>
      <c r="F122" s="217"/>
      <c r="G122" s="848" t="s">
        <v>27</v>
      </c>
      <c r="H122" s="848"/>
    </row>
    <row r="123" spans="1:10" ht="69.900000000000006" customHeight="1" x14ac:dyDescent="0.35">
      <c r="A123" s="218" t="s">
        <v>28</v>
      </c>
      <c r="B123" s="219"/>
      <c r="C123" s="219"/>
      <c r="E123" s="219"/>
      <c r="F123" s="57"/>
      <c r="G123" s="220"/>
      <c r="H123" s="220"/>
    </row>
    <row r="124" spans="1:10" ht="69.900000000000006" customHeight="1" x14ac:dyDescent="0.35">
      <c r="A124" s="218" t="s">
        <v>29</v>
      </c>
      <c r="B124" s="221"/>
      <c r="C124" s="221"/>
      <c r="E124" s="221"/>
      <c r="F124" s="57"/>
      <c r="G124" s="222"/>
      <c r="H124" s="222"/>
    </row>
    <row r="125" spans="1:10" ht="18" x14ac:dyDescent="0.35">
      <c r="A125" s="154"/>
      <c r="B125" s="154"/>
      <c r="C125" s="155"/>
      <c r="D125" s="155"/>
      <c r="E125" s="155"/>
      <c r="F125" s="159"/>
      <c r="G125" s="155"/>
      <c r="H125" s="155"/>
      <c r="I125" s="57"/>
    </row>
    <row r="126" spans="1:10" ht="18" x14ac:dyDescent="0.35">
      <c r="A126" s="154"/>
      <c r="B126" s="154"/>
      <c r="C126" s="155"/>
      <c r="D126" s="155"/>
      <c r="E126" s="155"/>
      <c r="F126" s="159"/>
      <c r="G126" s="155"/>
      <c r="H126" s="155"/>
      <c r="I126" s="57"/>
    </row>
    <row r="127" spans="1:10" ht="18" x14ac:dyDescent="0.35">
      <c r="A127" s="154"/>
      <c r="B127" s="154"/>
      <c r="C127" s="155"/>
      <c r="D127" s="155"/>
      <c r="E127" s="155"/>
      <c r="F127" s="159"/>
      <c r="G127" s="155"/>
      <c r="H127" s="155"/>
      <c r="I127" s="57"/>
    </row>
    <row r="128" spans="1:10" ht="18" x14ac:dyDescent="0.35">
      <c r="A128" s="154"/>
      <c r="B128" s="154"/>
      <c r="C128" s="155"/>
      <c r="D128" s="155"/>
      <c r="E128" s="155"/>
      <c r="F128" s="159"/>
      <c r="G128" s="155"/>
      <c r="H128" s="155"/>
      <c r="I128" s="57"/>
    </row>
    <row r="129" spans="1:9" ht="18" x14ac:dyDescent="0.35">
      <c r="A129" s="154"/>
      <c r="B129" s="154"/>
      <c r="C129" s="155"/>
      <c r="D129" s="155"/>
      <c r="E129" s="155"/>
      <c r="F129" s="159"/>
      <c r="G129" s="155"/>
      <c r="H129" s="155"/>
      <c r="I129" s="57"/>
    </row>
    <row r="130" spans="1:9" ht="18" x14ac:dyDescent="0.35">
      <c r="A130" s="154"/>
      <c r="B130" s="154"/>
      <c r="C130" s="155"/>
      <c r="D130" s="155"/>
      <c r="E130" s="155"/>
      <c r="F130" s="159"/>
      <c r="G130" s="155"/>
      <c r="H130" s="155"/>
      <c r="I130" s="57"/>
    </row>
    <row r="131" spans="1:9" ht="18" x14ac:dyDescent="0.35">
      <c r="A131" s="154"/>
      <c r="B131" s="154"/>
      <c r="C131" s="155"/>
      <c r="D131" s="155"/>
      <c r="E131" s="155"/>
      <c r="F131" s="159"/>
      <c r="G131" s="155"/>
      <c r="H131" s="155"/>
      <c r="I131" s="57"/>
    </row>
    <row r="132" spans="1:9" ht="18" x14ac:dyDescent="0.35">
      <c r="A132" s="154"/>
      <c r="B132" s="154"/>
      <c r="C132" s="155"/>
      <c r="D132" s="155"/>
      <c r="E132" s="155"/>
      <c r="F132" s="159"/>
      <c r="G132" s="155"/>
      <c r="H132" s="155"/>
      <c r="I132" s="57"/>
    </row>
    <row r="133" spans="1:9" ht="18" x14ac:dyDescent="0.35">
      <c r="A133" s="154"/>
      <c r="B133" s="154"/>
      <c r="C133" s="155"/>
      <c r="D133" s="155"/>
      <c r="E133" s="155"/>
      <c r="F133" s="159"/>
      <c r="G133" s="155"/>
      <c r="H133" s="155"/>
      <c r="I133" s="57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5"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37" zoomScaleNormal="100" zoomScaleSheetLayoutView="100" workbookViewId="0">
      <selection activeCell="D62" sqref="D6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880" t="s">
        <v>0</v>
      </c>
      <c r="B15" s="880"/>
      <c r="C15" s="880"/>
      <c r="D15" s="880"/>
      <c r="E15" s="8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9" t="s">
        <v>5</v>
      </c>
      <c r="D17" s="9"/>
      <c r="E17" s="10"/>
    </row>
    <row r="18" spans="1:6" ht="16.5" customHeight="1" x14ac:dyDescent="0.3">
      <c r="A18" s="11" t="s">
        <v>4</v>
      </c>
      <c r="B18" s="883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98.5</v>
      </c>
      <c r="C19" s="10"/>
      <c r="D19" s="10"/>
      <c r="E19" s="10"/>
    </row>
    <row r="20" spans="1:6" ht="16.5" customHeight="1" x14ac:dyDescent="0.3">
      <c r="A20" s="7" t="s">
        <v>7</v>
      </c>
      <c r="B20" s="12">
        <v>10.35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B20/100</f>
        <v>0.10349999999999999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34697044</v>
      </c>
      <c r="C24" s="18">
        <v>6965.93</v>
      </c>
      <c r="D24" s="19">
        <v>1.1399999999999999</v>
      </c>
      <c r="E24" s="20">
        <v>2.4700000000000002</v>
      </c>
    </row>
    <row r="25" spans="1:6" ht="16.5" customHeight="1" x14ac:dyDescent="0.3">
      <c r="A25" s="17">
        <v>2</v>
      </c>
      <c r="B25" s="18">
        <v>34760577</v>
      </c>
      <c r="C25" s="18">
        <v>6933.9</v>
      </c>
      <c r="D25" s="19">
        <v>1.17</v>
      </c>
      <c r="E25" s="19">
        <v>2.4700000000000002</v>
      </c>
    </row>
    <row r="26" spans="1:6" ht="16.5" customHeight="1" x14ac:dyDescent="0.3">
      <c r="A26" s="17">
        <v>3</v>
      </c>
      <c r="B26" s="18">
        <v>34683178</v>
      </c>
      <c r="C26" s="18">
        <v>6887.94</v>
      </c>
      <c r="D26" s="19">
        <v>1.1499999999999999</v>
      </c>
      <c r="E26" s="19">
        <v>2.4700000000000002</v>
      </c>
    </row>
    <row r="27" spans="1:6" ht="16.5" customHeight="1" x14ac:dyDescent="0.3">
      <c r="A27" s="17">
        <v>4</v>
      </c>
      <c r="B27" s="18">
        <v>34753730</v>
      </c>
      <c r="C27" s="18">
        <v>6988.73</v>
      </c>
      <c r="D27" s="19">
        <v>1.1599999999999999</v>
      </c>
      <c r="E27" s="19">
        <v>2.48</v>
      </c>
    </row>
    <row r="28" spans="1:6" ht="16.5" customHeight="1" x14ac:dyDescent="0.3">
      <c r="A28" s="17">
        <v>5</v>
      </c>
      <c r="B28" s="18">
        <v>34762733</v>
      </c>
      <c r="C28" s="18">
        <v>6962.7</v>
      </c>
      <c r="D28" s="19">
        <v>1.1399999999999999</v>
      </c>
      <c r="E28" s="19">
        <v>2.4700000000000002</v>
      </c>
    </row>
    <row r="29" spans="1:6" ht="16.5" customHeight="1" x14ac:dyDescent="0.3">
      <c r="A29" s="17">
        <v>6</v>
      </c>
      <c r="B29" s="21">
        <v>34829002</v>
      </c>
      <c r="C29" s="21">
        <v>6930.51</v>
      </c>
      <c r="D29" s="22">
        <v>1.17</v>
      </c>
      <c r="E29" s="22">
        <v>2.4700000000000002</v>
      </c>
    </row>
    <row r="30" spans="1:6" ht="16.5" customHeight="1" x14ac:dyDescent="0.3">
      <c r="A30" s="23" t="s">
        <v>17</v>
      </c>
      <c r="B30" s="24">
        <f>AVERAGE(B24:B29)</f>
        <v>34747710.666666664</v>
      </c>
      <c r="C30" s="25">
        <f>AVERAGE(C24:C29)</f>
        <v>6944.9516666666668</v>
      </c>
      <c r="D30" s="26">
        <f>AVERAGE(D24:D29)</f>
        <v>1.1549999999999998</v>
      </c>
      <c r="E30" s="26">
        <f>AVERAGE(E24:E29)</f>
        <v>2.4716666666666671</v>
      </c>
    </row>
    <row r="31" spans="1:6" ht="16.5" customHeight="1" x14ac:dyDescent="0.3">
      <c r="A31" s="27" t="s">
        <v>18</v>
      </c>
      <c r="B31" s="28">
        <f>(STDEV(B24:B29)/B30)</f>
        <v>1.5101261500079018E-3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83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98.5</v>
      </c>
      <c r="C40" s="10"/>
      <c r="D40" s="10"/>
      <c r="E40" s="10"/>
    </row>
    <row r="41" spans="1:6" ht="16.5" customHeight="1" x14ac:dyDescent="0.3">
      <c r="A41" s="7" t="s">
        <v>7</v>
      </c>
      <c r="B41" s="12">
        <v>8.1</v>
      </c>
      <c r="C41" s="10"/>
      <c r="D41" s="10"/>
      <c r="E41" s="10"/>
    </row>
    <row r="42" spans="1:6" ht="16.5" customHeight="1" x14ac:dyDescent="0.3">
      <c r="A42" s="7" t="s">
        <v>9</v>
      </c>
      <c r="B42" s="13">
        <f>B41/100</f>
        <v>8.1000000000000003E-2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27493167</v>
      </c>
      <c r="C45" s="19">
        <v>8501.94</v>
      </c>
      <c r="D45" s="19">
        <v>1.07</v>
      </c>
      <c r="E45" s="20">
        <v>2.76</v>
      </c>
    </row>
    <row r="46" spans="1:6" ht="16.5" customHeight="1" x14ac:dyDescent="0.3">
      <c r="A46" s="17">
        <v>2</v>
      </c>
      <c r="B46" s="18">
        <v>27507255</v>
      </c>
      <c r="C46" s="19">
        <v>7428.23</v>
      </c>
      <c r="D46" s="19">
        <v>1.2</v>
      </c>
      <c r="E46" s="19">
        <v>2.4300000000000002</v>
      </c>
    </row>
    <row r="47" spans="1:6" ht="16.5" customHeight="1" x14ac:dyDescent="0.3">
      <c r="A47" s="17">
        <v>3</v>
      </c>
      <c r="B47" s="18">
        <v>27436326</v>
      </c>
      <c r="C47" s="19">
        <v>7105.44</v>
      </c>
      <c r="D47" s="19">
        <v>1.1399999999999999</v>
      </c>
      <c r="E47" s="19">
        <v>2.46</v>
      </c>
    </row>
    <row r="48" spans="1:6" ht="16.5" customHeight="1" x14ac:dyDescent="0.3">
      <c r="A48" s="17">
        <v>4</v>
      </c>
      <c r="B48" s="18">
        <v>27439535</v>
      </c>
      <c r="C48" s="19">
        <v>8419.73</v>
      </c>
      <c r="D48" s="19">
        <v>1.1299999999999999</v>
      </c>
      <c r="E48" s="19">
        <v>2.77</v>
      </c>
    </row>
    <row r="49" spans="1:7" ht="16.5" customHeight="1" x14ac:dyDescent="0.3">
      <c r="A49" s="17">
        <v>5</v>
      </c>
      <c r="B49" s="18">
        <v>27669736</v>
      </c>
      <c r="C49" s="19">
        <v>8263.7900000000009</v>
      </c>
      <c r="D49" s="19">
        <v>1.1200000000000001</v>
      </c>
      <c r="E49" s="19">
        <v>2.76</v>
      </c>
    </row>
    <row r="50" spans="1:7" ht="16.5" customHeight="1" x14ac:dyDescent="0.3">
      <c r="A50" s="17">
        <v>6</v>
      </c>
      <c r="B50" s="21">
        <v>27533982</v>
      </c>
      <c r="C50" s="22">
        <v>8280.2999999999993</v>
      </c>
      <c r="D50" s="22">
        <v>1.06</v>
      </c>
      <c r="E50" s="22">
        <v>2.76</v>
      </c>
    </row>
    <row r="51" spans="1:7" ht="16.5" customHeight="1" x14ac:dyDescent="0.3">
      <c r="A51" s="23" t="s">
        <v>17</v>
      </c>
      <c r="B51" s="24">
        <f>AVERAGE(B45:B50)</f>
        <v>27513333.5</v>
      </c>
      <c r="C51" s="26">
        <f>AVERAGE(C45:C50)</f>
        <v>7999.9050000000016</v>
      </c>
      <c r="D51" s="26">
        <f>AVERAGE(D45:D50)</f>
        <v>1.1200000000000001</v>
      </c>
      <c r="E51" s="26">
        <f>AVERAGE(E45:E50)</f>
        <v>2.6566666666666667</v>
      </c>
    </row>
    <row r="52" spans="1:7" ht="16.5" customHeight="1" x14ac:dyDescent="0.3">
      <c r="A52" s="27" t="s">
        <v>18</v>
      </c>
      <c r="B52" s="28">
        <f>(STDEV(B45:B50)/B51)</f>
        <v>3.1142452451279746E-3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143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881" t="s">
        <v>25</v>
      </c>
      <c r="C59" s="88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56" zoomScale="55" zoomScaleNormal="40" zoomScalePageLayoutView="55" workbookViewId="0">
      <selection activeCell="G80" sqref="G8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841" t="s">
        <v>44</v>
      </c>
      <c r="B1" s="841"/>
      <c r="C1" s="841"/>
      <c r="D1" s="841"/>
      <c r="E1" s="841"/>
      <c r="F1" s="841"/>
      <c r="G1" s="841"/>
      <c r="H1" s="841"/>
      <c r="I1" s="841"/>
    </row>
    <row r="2" spans="1:9" ht="18.75" customHeight="1" x14ac:dyDescent="0.3">
      <c r="A2" s="841"/>
      <c r="B2" s="841"/>
      <c r="C2" s="841"/>
      <c r="D2" s="841"/>
      <c r="E2" s="841"/>
      <c r="F2" s="841"/>
      <c r="G2" s="841"/>
      <c r="H2" s="841"/>
      <c r="I2" s="841"/>
    </row>
    <row r="3" spans="1:9" ht="18.75" customHeight="1" x14ac:dyDescent="0.3">
      <c r="A3" s="841"/>
      <c r="B3" s="841"/>
      <c r="C3" s="841"/>
      <c r="D3" s="841"/>
      <c r="E3" s="841"/>
      <c r="F3" s="841"/>
      <c r="G3" s="841"/>
      <c r="H3" s="841"/>
      <c r="I3" s="841"/>
    </row>
    <row r="4" spans="1:9" ht="18.75" customHeight="1" x14ac:dyDescent="0.3">
      <c r="A4" s="841"/>
      <c r="B4" s="841"/>
      <c r="C4" s="841"/>
      <c r="D4" s="841"/>
      <c r="E4" s="841"/>
      <c r="F4" s="841"/>
      <c r="G4" s="841"/>
      <c r="H4" s="841"/>
      <c r="I4" s="841"/>
    </row>
    <row r="5" spans="1:9" ht="18.75" customHeight="1" x14ac:dyDescent="0.3">
      <c r="A5" s="841"/>
      <c r="B5" s="841"/>
      <c r="C5" s="841"/>
      <c r="D5" s="841"/>
      <c r="E5" s="841"/>
      <c r="F5" s="841"/>
      <c r="G5" s="841"/>
      <c r="H5" s="841"/>
      <c r="I5" s="841"/>
    </row>
    <row r="6" spans="1:9" ht="18.75" customHeight="1" x14ac:dyDescent="0.3">
      <c r="A6" s="841"/>
      <c r="B6" s="841"/>
      <c r="C6" s="841"/>
      <c r="D6" s="841"/>
      <c r="E6" s="841"/>
      <c r="F6" s="841"/>
      <c r="G6" s="841"/>
      <c r="H6" s="841"/>
      <c r="I6" s="841"/>
    </row>
    <row r="7" spans="1:9" ht="18.75" customHeight="1" x14ac:dyDescent="0.3">
      <c r="A7" s="841"/>
      <c r="B7" s="841"/>
      <c r="C7" s="841"/>
      <c r="D7" s="841"/>
      <c r="E7" s="841"/>
      <c r="F7" s="841"/>
      <c r="G7" s="841"/>
      <c r="H7" s="841"/>
      <c r="I7" s="841"/>
    </row>
    <row r="8" spans="1:9" x14ac:dyDescent="0.3">
      <c r="A8" s="842" t="s">
        <v>45</v>
      </c>
      <c r="B8" s="842"/>
      <c r="C8" s="842"/>
      <c r="D8" s="842"/>
      <c r="E8" s="842"/>
      <c r="F8" s="842"/>
      <c r="G8" s="842"/>
      <c r="H8" s="842"/>
      <c r="I8" s="842"/>
    </row>
    <row r="9" spans="1:9" x14ac:dyDescent="0.3">
      <c r="A9" s="842"/>
      <c r="B9" s="842"/>
      <c r="C9" s="842"/>
      <c r="D9" s="842"/>
      <c r="E9" s="842"/>
      <c r="F9" s="842"/>
      <c r="G9" s="842"/>
      <c r="H9" s="842"/>
      <c r="I9" s="842"/>
    </row>
    <row r="10" spans="1:9" x14ac:dyDescent="0.3">
      <c r="A10" s="842"/>
      <c r="B10" s="842"/>
      <c r="C10" s="842"/>
      <c r="D10" s="842"/>
      <c r="E10" s="842"/>
      <c r="F10" s="842"/>
      <c r="G10" s="842"/>
      <c r="H10" s="842"/>
      <c r="I10" s="842"/>
    </row>
    <row r="11" spans="1:9" x14ac:dyDescent="0.3">
      <c r="A11" s="842"/>
      <c r="B11" s="842"/>
      <c r="C11" s="842"/>
      <c r="D11" s="842"/>
      <c r="E11" s="842"/>
      <c r="F11" s="842"/>
      <c r="G11" s="842"/>
      <c r="H11" s="842"/>
      <c r="I11" s="842"/>
    </row>
    <row r="12" spans="1:9" x14ac:dyDescent="0.3">
      <c r="A12" s="842"/>
      <c r="B12" s="842"/>
      <c r="C12" s="842"/>
      <c r="D12" s="842"/>
      <c r="E12" s="842"/>
      <c r="F12" s="842"/>
      <c r="G12" s="842"/>
      <c r="H12" s="842"/>
      <c r="I12" s="842"/>
    </row>
    <row r="13" spans="1:9" x14ac:dyDescent="0.3">
      <c r="A13" s="842"/>
      <c r="B13" s="842"/>
      <c r="C13" s="842"/>
      <c r="D13" s="842"/>
      <c r="E13" s="842"/>
      <c r="F13" s="842"/>
      <c r="G13" s="842"/>
      <c r="H13" s="842"/>
      <c r="I13" s="842"/>
    </row>
    <row r="14" spans="1:9" x14ac:dyDescent="0.3">
      <c r="A14" s="842"/>
      <c r="B14" s="842"/>
      <c r="C14" s="842"/>
      <c r="D14" s="842"/>
      <c r="E14" s="842"/>
      <c r="F14" s="842"/>
      <c r="G14" s="842"/>
      <c r="H14" s="842"/>
      <c r="I14" s="842"/>
    </row>
    <row r="15" spans="1:9" ht="19.5" customHeight="1" x14ac:dyDescent="0.35">
      <c r="A15" s="238"/>
    </row>
    <row r="16" spans="1:9" ht="19.5" customHeight="1" x14ac:dyDescent="0.35">
      <c r="A16" s="875" t="s">
        <v>30</v>
      </c>
      <c r="B16" s="876"/>
      <c r="C16" s="876"/>
      <c r="D16" s="876"/>
      <c r="E16" s="876"/>
      <c r="F16" s="876"/>
      <c r="G16" s="876"/>
      <c r="H16" s="877"/>
    </row>
    <row r="17" spans="1:14" ht="20.25" customHeight="1" x14ac:dyDescent="0.3">
      <c r="A17" s="878" t="s">
        <v>46</v>
      </c>
      <c r="B17" s="878"/>
      <c r="C17" s="878"/>
      <c r="D17" s="878"/>
      <c r="E17" s="878"/>
      <c r="F17" s="878"/>
      <c r="G17" s="878"/>
      <c r="H17" s="878"/>
    </row>
    <row r="18" spans="1:14" ht="26.25" customHeight="1" x14ac:dyDescent="0.5">
      <c r="A18" s="240" t="s">
        <v>32</v>
      </c>
      <c r="B18" s="874" t="s">
        <v>5</v>
      </c>
      <c r="C18" s="874"/>
      <c r="D18" s="405"/>
      <c r="E18" s="241"/>
      <c r="F18" s="242"/>
      <c r="G18" s="242"/>
      <c r="H18" s="242"/>
    </row>
    <row r="19" spans="1:14" ht="26.25" customHeight="1" x14ac:dyDescent="0.5">
      <c r="A19" s="240" t="s">
        <v>33</v>
      </c>
      <c r="B19" s="784" t="str">
        <f>Rifampicin!B19</f>
        <v>NDQD2016061087</v>
      </c>
      <c r="C19" s="418">
        <v>29</v>
      </c>
      <c r="D19" s="242"/>
      <c r="E19" s="242"/>
      <c r="F19" s="242"/>
      <c r="G19" s="242"/>
      <c r="H19" s="242"/>
    </row>
    <row r="20" spans="1:14" ht="26.25" customHeight="1" x14ac:dyDescent="0.5">
      <c r="A20" s="240" t="s">
        <v>34</v>
      </c>
      <c r="B20" s="882" t="s">
        <v>134</v>
      </c>
      <c r="C20" s="879"/>
      <c r="D20" s="242"/>
      <c r="E20" s="242"/>
      <c r="F20" s="242"/>
      <c r="G20" s="242"/>
      <c r="H20" s="242"/>
    </row>
    <row r="21" spans="1:14" ht="26.25" customHeight="1" x14ac:dyDescent="0.5">
      <c r="A21" s="240" t="s">
        <v>35</v>
      </c>
      <c r="B21" s="879" t="s">
        <v>10</v>
      </c>
      <c r="C21" s="879"/>
      <c r="D21" s="879"/>
      <c r="E21" s="879"/>
      <c r="F21" s="879"/>
      <c r="G21" s="879"/>
      <c r="H21" s="879"/>
      <c r="I21" s="243"/>
    </row>
    <row r="22" spans="1:14" ht="26.25" customHeight="1" x14ac:dyDescent="0.5">
      <c r="A22" s="240" t="s">
        <v>36</v>
      </c>
      <c r="B22" s="244" t="s">
        <v>11</v>
      </c>
      <c r="C22" s="242"/>
      <c r="D22" s="242"/>
      <c r="E22" s="242"/>
      <c r="F22" s="242"/>
      <c r="G22" s="242"/>
      <c r="H22" s="242"/>
    </row>
    <row r="23" spans="1:14" ht="26.25" customHeight="1" x14ac:dyDescent="0.5">
      <c r="A23" s="240" t="s">
        <v>37</v>
      </c>
      <c r="B23" s="244"/>
      <c r="C23" s="242"/>
      <c r="D23" s="242"/>
      <c r="E23" s="242"/>
      <c r="F23" s="242"/>
      <c r="G23" s="242"/>
      <c r="H23" s="242"/>
    </row>
    <row r="24" spans="1:14" ht="18" x14ac:dyDescent="0.35">
      <c r="A24" s="240"/>
      <c r="B24" s="245"/>
    </row>
    <row r="25" spans="1:14" ht="18" x14ac:dyDescent="0.35">
      <c r="A25" s="246" t="s">
        <v>1</v>
      </c>
      <c r="B25" s="245"/>
    </row>
    <row r="26" spans="1:14" ht="26.25" customHeight="1" x14ac:dyDescent="0.45">
      <c r="A26" s="247" t="s">
        <v>4</v>
      </c>
      <c r="B26" s="874" t="s">
        <v>125</v>
      </c>
      <c r="C26" s="874"/>
    </row>
    <row r="27" spans="1:14" ht="26.25" customHeight="1" x14ac:dyDescent="0.5">
      <c r="A27" s="248" t="s">
        <v>47</v>
      </c>
      <c r="B27" s="872" t="s">
        <v>129</v>
      </c>
      <c r="C27" s="872"/>
    </row>
    <row r="28" spans="1:14" ht="27" customHeight="1" x14ac:dyDescent="0.45">
      <c r="A28" s="248" t="s">
        <v>6</v>
      </c>
      <c r="B28" s="249">
        <v>98.5</v>
      </c>
    </row>
    <row r="29" spans="1:14" s="14" customFormat="1" ht="27" customHeight="1" x14ac:dyDescent="0.5">
      <c r="A29" s="248" t="s">
        <v>48</v>
      </c>
      <c r="B29" s="250">
        <v>0</v>
      </c>
      <c r="C29" s="849" t="s">
        <v>49</v>
      </c>
      <c r="D29" s="850"/>
      <c r="E29" s="850"/>
      <c r="F29" s="850"/>
      <c r="G29" s="851"/>
      <c r="I29" s="251"/>
      <c r="J29" s="251"/>
      <c r="K29" s="251"/>
      <c r="L29" s="251"/>
    </row>
    <row r="30" spans="1:14" s="14" customFormat="1" ht="19.5" customHeight="1" x14ac:dyDescent="0.35">
      <c r="A30" s="248" t="s">
        <v>50</v>
      </c>
      <c r="B30" s="252">
        <f>B28-B29</f>
        <v>98.5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4" customFormat="1" ht="27" customHeight="1" x14ac:dyDescent="0.45">
      <c r="A31" s="248" t="s">
        <v>51</v>
      </c>
      <c r="B31" s="255">
        <v>1</v>
      </c>
      <c r="C31" s="852" t="s">
        <v>52</v>
      </c>
      <c r="D31" s="853"/>
      <c r="E31" s="853"/>
      <c r="F31" s="853"/>
      <c r="G31" s="853"/>
      <c r="H31" s="854"/>
      <c r="I31" s="251"/>
      <c r="J31" s="251"/>
      <c r="K31" s="251"/>
      <c r="L31" s="251"/>
    </row>
    <row r="32" spans="1:14" s="14" customFormat="1" ht="27" customHeight="1" x14ac:dyDescent="0.45">
      <c r="A32" s="248" t="s">
        <v>53</v>
      </c>
      <c r="B32" s="255">
        <v>1</v>
      </c>
      <c r="C32" s="852" t="s">
        <v>54</v>
      </c>
      <c r="D32" s="853"/>
      <c r="E32" s="853"/>
      <c r="F32" s="853"/>
      <c r="G32" s="853"/>
      <c r="H32" s="854"/>
      <c r="I32" s="251"/>
      <c r="J32" s="251"/>
      <c r="K32" s="251"/>
      <c r="L32" s="256"/>
      <c r="M32" s="256"/>
      <c r="N32" s="257"/>
    </row>
    <row r="33" spans="1:14" s="14" customFormat="1" ht="17.25" customHeight="1" x14ac:dyDescent="0.35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4" customFormat="1" ht="18" x14ac:dyDescent="0.35">
      <c r="A34" s="248" t="s">
        <v>55</v>
      </c>
      <c r="B34" s="260">
        <f>B31/B32</f>
        <v>1</v>
      </c>
      <c r="C34" s="239" t="s">
        <v>56</v>
      </c>
      <c r="D34" s="239"/>
      <c r="E34" s="239"/>
      <c r="F34" s="239"/>
      <c r="G34" s="239"/>
      <c r="I34" s="251"/>
      <c r="J34" s="251"/>
      <c r="K34" s="251"/>
      <c r="L34" s="256"/>
      <c r="M34" s="256"/>
      <c r="N34" s="257"/>
    </row>
    <row r="35" spans="1:14" s="14" customFormat="1" ht="19.5" customHeight="1" x14ac:dyDescent="0.35">
      <c r="A35" s="248"/>
      <c r="B35" s="252"/>
      <c r="G35" s="239"/>
      <c r="I35" s="251"/>
      <c r="J35" s="251"/>
      <c r="K35" s="251"/>
      <c r="L35" s="256"/>
      <c r="M35" s="256"/>
      <c r="N35" s="257"/>
    </row>
    <row r="36" spans="1:14" s="14" customFormat="1" ht="27" customHeight="1" x14ac:dyDescent="0.45">
      <c r="A36" s="261" t="s">
        <v>57</v>
      </c>
      <c r="B36" s="262">
        <v>100</v>
      </c>
      <c r="C36" s="239"/>
      <c r="D36" s="855" t="s">
        <v>58</v>
      </c>
      <c r="E36" s="873"/>
      <c r="F36" s="855" t="s">
        <v>59</v>
      </c>
      <c r="G36" s="856"/>
      <c r="J36" s="251"/>
      <c r="K36" s="251"/>
      <c r="L36" s="256"/>
      <c r="M36" s="256"/>
      <c r="N36" s="257"/>
    </row>
    <row r="37" spans="1:14" s="14" customFormat="1" ht="27" customHeight="1" x14ac:dyDescent="0.45">
      <c r="A37" s="263" t="s">
        <v>60</v>
      </c>
      <c r="B37" s="264">
        <v>1</v>
      </c>
      <c r="C37" s="265" t="s">
        <v>61</v>
      </c>
      <c r="D37" s="266" t="s">
        <v>62</v>
      </c>
      <c r="E37" s="267" t="s">
        <v>63</v>
      </c>
      <c r="F37" s="266" t="s">
        <v>62</v>
      </c>
      <c r="G37" s="268" t="s">
        <v>63</v>
      </c>
      <c r="I37" s="269" t="s">
        <v>64</v>
      </c>
      <c r="J37" s="251"/>
      <c r="K37" s="251"/>
      <c r="L37" s="256"/>
      <c r="M37" s="256"/>
      <c r="N37" s="257"/>
    </row>
    <row r="38" spans="1:14" s="14" customFormat="1" ht="26.25" customHeight="1" x14ac:dyDescent="0.45">
      <c r="A38" s="263" t="s">
        <v>65</v>
      </c>
      <c r="B38" s="264">
        <v>1</v>
      </c>
      <c r="C38" s="270">
        <v>1</v>
      </c>
      <c r="D38" s="271">
        <v>34697044</v>
      </c>
      <c r="E38" s="272">
        <f>IF(ISBLANK(D38),"-",$D$48/$D$45*D38)</f>
        <v>27227381.936781187</v>
      </c>
      <c r="F38" s="271">
        <v>28600651</v>
      </c>
      <c r="G38" s="273">
        <f>IF(ISBLANK(F38),"-",$D$48/$F$45*F38)</f>
        <v>27555106.912103858</v>
      </c>
      <c r="I38" s="274"/>
      <c r="J38" s="251"/>
      <c r="K38" s="251"/>
      <c r="L38" s="256"/>
      <c r="M38" s="256"/>
      <c r="N38" s="257"/>
    </row>
    <row r="39" spans="1:14" s="14" customFormat="1" ht="26.25" customHeight="1" x14ac:dyDescent="0.45">
      <c r="A39" s="263" t="s">
        <v>66</v>
      </c>
      <c r="B39" s="264">
        <v>1</v>
      </c>
      <c r="C39" s="275">
        <v>2</v>
      </c>
      <c r="D39" s="276">
        <v>34760577</v>
      </c>
      <c r="E39" s="277">
        <f>IF(ISBLANK(D39),"-",$D$48/$D$45*D39)</f>
        <v>27277237.401603766</v>
      </c>
      <c r="F39" s="276">
        <v>28667372</v>
      </c>
      <c r="G39" s="278">
        <f>IF(ISBLANK(F39),"-",$D$48/$F$45*F39)</f>
        <v>27619388.81562705</v>
      </c>
      <c r="I39" s="857">
        <f>ABS((F43/D43*D42)-F42)/D42</f>
        <v>9.3895847483465873E-3</v>
      </c>
      <c r="J39" s="251"/>
      <c r="K39" s="251"/>
      <c r="L39" s="256"/>
      <c r="M39" s="256"/>
      <c r="N39" s="257"/>
    </row>
    <row r="40" spans="1:14" ht="26.25" customHeight="1" x14ac:dyDescent="0.45">
      <c r="A40" s="263" t="s">
        <v>67</v>
      </c>
      <c r="B40" s="264">
        <v>1</v>
      </c>
      <c r="C40" s="275">
        <v>3</v>
      </c>
      <c r="D40" s="276">
        <v>34683178</v>
      </c>
      <c r="E40" s="277">
        <f>IF(ISBLANK(D40),"-",$D$48/$D$45*D40)</f>
        <v>27216501.042203095</v>
      </c>
      <c r="F40" s="276">
        <v>28531742</v>
      </c>
      <c r="G40" s="278">
        <f>IF(ISBLANK(F40),"-",$D$48/$F$45*F40)</f>
        <v>27488716.994538482</v>
      </c>
      <c r="I40" s="857"/>
      <c r="L40" s="256"/>
      <c r="M40" s="256"/>
      <c r="N40" s="279"/>
    </row>
    <row r="41" spans="1:14" ht="27" customHeight="1" x14ac:dyDescent="0.45">
      <c r="A41" s="263" t="s">
        <v>68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5">
      <c r="A42" s="263" t="s">
        <v>69</v>
      </c>
      <c r="B42" s="264">
        <v>1</v>
      </c>
      <c r="C42" s="285" t="s">
        <v>70</v>
      </c>
      <c r="D42" s="286">
        <f>AVERAGE(D38:D41)</f>
        <v>34713599.666666664</v>
      </c>
      <c r="E42" s="287">
        <f>AVERAGE(E38:E41)</f>
        <v>27240373.460196018</v>
      </c>
      <c r="F42" s="286">
        <f>AVERAGE(F38:F41)</f>
        <v>28599921.666666668</v>
      </c>
      <c r="G42" s="288">
        <f>AVERAGE(G38:G41)</f>
        <v>27554404.240756463</v>
      </c>
      <c r="H42" s="289"/>
    </row>
    <row r="43" spans="1:14" ht="26.25" customHeight="1" x14ac:dyDescent="0.45">
      <c r="A43" s="263" t="s">
        <v>71</v>
      </c>
      <c r="B43" s="264">
        <v>1</v>
      </c>
      <c r="C43" s="290" t="s">
        <v>72</v>
      </c>
      <c r="D43" s="291">
        <v>10.35</v>
      </c>
      <c r="E43" s="279"/>
      <c r="F43" s="291">
        <v>8.43</v>
      </c>
      <c r="H43" s="289"/>
    </row>
    <row r="44" spans="1:14" ht="26.25" customHeight="1" x14ac:dyDescent="0.45">
      <c r="A44" s="263" t="s">
        <v>73</v>
      </c>
      <c r="B44" s="264">
        <v>1</v>
      </c>
      <c r="C44" s="292" t="s">
        <v>74</v>
      </c>
      <c r="D44" s="293">
        <f>D43*$B$34</f>
        <v>10.35</v>
      </c>
      <c r="E44" s="294"/>
      <c r="F44" s="293">
        <f>F43*$B$34</f>
        <v>8.43</v>
      </c>
      <c r="H44" s="289"/>
    </row>
    <row r="45" spans="1:14" ht="19.5" customHeight="1" x14ac:dyDescent="0.35">
      <c r="A45" s="263" t="s">
        <v>75</v>
      </c>
      <c r="B45" s="295">
        <f>(B44/B43)*(B42/B41)*(B40/B39)*(B38/B37)*B36</f>
        <v>100</v>
      </c>
      <c r="C45" s="292" t="s">
        <v>76</v>
      </c>
      <c r="D45" s="296">
        <f>D44*$B$30/100</f>
        <v>10.194749999999999</v>
      </c>
      <c r="E45" s="297"/>
      <c r="F45" s="296">
        <f>F44*$B$30/100</f>
        <v>8.3035499999999995</v>
      </c>
      <c r="H45" s="289"/>
    </row>
    <row r="46" spans="1:14" ht="19.5" customHeight="1" x14ac:dyDescent="0.35">
      <c r="A46" s="843" t="s">
        <v>77</v>
      </c>
      <c r="B46" s="844"/>
      <c r="C46" s="292" t="s">
        <v>78</v>
      </c>
      <c r="D46" s="298">
        <f>D45/$B$45</f>
        <v>0.1019475</v>
      </c>
      <c r="E46" s="299"/>
      <c r="F46" s="300">
        <f>F45/$B$45</f>
        <v>8.3035499999999998E-2</v>
      </c>
      <c r="H46" s="289"/>
    </row>
    <row r="47" spans="1:14" ht="27" customHeight="1" x14ac:dyDescent="0.45">
      <c r="A47" s="845"/>
      <c r="B47" s="846"/>
      <c r="C47" s="301" t="s">
        <v>79</v>
      </c>
      <c r="D47" s="302">
        <v>0.08</v>
      </c>
      <c r="E47" s="303"/>
      <c r="F47" s="299"/>
      <c r="H47" s="289"/>
    </row>
    <row r="48" spans="1:14" ht="18" x14ac:dyDescent="0.35">
      <c r="C48" s="304" t="s">
        <v>80</v>
      </c>
      <c r="D48" s="296">
        <f>D47*$B$45</f>
        <v>8</v>
      </c>
      <c r="F48" s="305"/>
      <c r="H48" s="289"/>
    </row>
    <row r="49" spans="1:12" ht="19.5" customHeight="1" x14ac:dyDescent="0.35">
      <c r="C49" s="306" t="s">
        <v>81</v>
      </c>
      <c r="D49" s="307">
        <f>D48/B34</f>
        <v>8</v>
      </c>
      <c r="F49" s="305"/>
      <c r="H49" s="289"/>
    </row>
    <row r="50" spans="1:12" ht="18" x14ac:dyDescent="0.35">
      <c r="C50" s="261" t="s">
        <v>82</v>
      </c>
      <c r="D50" s="308">
        <f>AVERAGE(E38:E41,G38:G41)</f>
        <v>27397388.850476239</v>
      </c>
      <c r="F50" s="309"/>
      <c r="H50" s="289"/>
    </row>
    <row r="51" spans="1:12" ht="18" x14ac:dyDescent="0.35">
      <c r="C51" s="263" t="s">
        <v>83</v>
      </c>
      <c r="D51" s="310">
        <f>STDEV(E38:E41,G38:G41)/D50</f>
        <v>6.4998175520780575E-3</v>
      </c>
      <c r="F51" s="309"/>
      <c r="H51" s="289"/>
    </row>
    <row r="52" spans="1:12" ht="19.5" customHeight="1" x14ac:dyDescent="0.35">
      <c r="C52" s="311" t="s">
        <v>19</v>
      </c>
      <c r="D52" s="312">
        <f>COUNT(E38:E41,G38:G41)</f>
        <v>6</v>
      </c>
      <c r="F52" s="309"/>
    </row>
    <row r="54" spans="1:12" ht="18" x14ac:dyDescent="0.35">
      <c r="A54" s="313" t="s">
        <v>1</v>
      </c>
      <c r="B54" s="314" t="s">
        <v>84</v>
      </c>
    </row>
    <row r="55" spans="1:12" ht="18" x14ac:dyDescent="0.35">
      <c r="A55" s="239" t="s">
        <v>85</v>
      </c>
      <c r="B55" s="315" t="str">
        <f>B21</f>
        <v>RIFAMPICIN 150mg, ISONIAZID 75mg, PYRAZINAMIDE 400mg &amp; ETHAMBUTOL HCl 275mg</v>
      </c>
    </row>
    <row r="56" spans="1:12" ht="26.25" customHeight="1" x14ac:dyDescent="0.45">
      <c r="A56" s="316" t="s">
        <v>86</v>
      </c>
      <c r="B56" s="317">
        <v>75</v>
      </c>
      <c r="C56" s="239" t="str">
        <f>B20</f>
        <v xml:space="preserve"> ISONIAZID</v>
      </c>
      <c r="H56" s="318"/>
    </row>
    <row r="57" spans="1:12" ht="18" x14ac:dyDescent="0.35">
      <c r="A57" s="315" t="s">
        <v>87</v>
      </c>
      <c r="B57" s="406">
        <f>Rifampicin!B57</f>
        <v>1256.6105000000002</v>
      </c>
      <c r="H57" s="318"/>
    </row>
    <row r="58" spans="1:12" ht="19.5" customHeight="1" x14ac:dyDescent="0.35">
      <c r="H58" s="318"/>
    </row>
    <row r="59" spans="1:12" s="14" customFormat="1" ht="27" customHeight="1" x14ac:dyDescent="0.45">
      <c r="A59" s="261" t="s">
        <v>88</v>
      </c>
      <c r="B59" s="262">
        <v>200</v>
      </c>
      <c r="C59" s="239"/>
      <c r="D59" s="319" t="s">
        <v>89</v>
      </c>
      <c r="E59" s="320" t="s">
        <v>61</v>
      </c>
      <c r="F59" s="320" t="s">
        <v>62</v>
      </c>
      <c r="G59" s="320" t="s">
        <v>90</v>
      </c>
      <c r="H59" s="265" t="s">
        <v>91</v>
      </c>
      <c r="L59" s="251"/>
    </row>
    <row r="60" spans="1:12" s="14" customFormat="1" ht="26.25" customHeight="1" x14ac:dyDescent="0.45">
      <c r="A60" s="263" t="s">
        <v>92</v>
      </c>
      <c r="B60" s="264">
        <v>4</v>
      </c>
      <c r="C60" s="860" t="s">
        <v>93</v>
      </c>
      <c r="D60" s="863">
        <f>Rifampicin!D60</f>
        <v>1241.1300000000001</v>
      </c>
      <c r="E60" s="321">
        <v>1</v>
      </c>
      <c r="F60" s="322"/>
      <c r="G60" s="407" t="str">
        <f>IF(ISBLANK(F60),"-",(F60/$D$50*$D$47*$B$68)*($B$57/$D$60))</f>
        <v>-</v>
      </c>
      <c r="H60" s="323" t="str">
        <f t="shared" ref="H60:H71" si="0">IF(ISBLANK(F60),"-",G60/$B$56)</f>
        <v>-</v>
      </c>
      <c r="L60" s="251"/>
    </row>
    <row r="61" spans="1:12" s="14" customFormat="1" ht="26.25" customHeight="1" x14ac:dyDescent="0.45">
      <c r="A61" s="263" t="s">
        <v>94</v>
      </c>
      <c r="B61" s="264">
        <v>20</v>
      </c>
      <c r="C61" s="861"/>
      <c r="D61" s="864"/>
      <c r="E61" s="324">
        <v>2</v>
      </c>
      <c r="F61" s="276"/>
      <c r="G61" s="408" t="str">
        <f>IF(ISBLANK(F61),"-",(F61/$D$50*$D$47*$B$68)*($B$57/$D$60))</f>
        <v>-</v>
      </c>
      <c r="H61" s="325" t="str">
        <f t="shared" si="0"/>
        <v>-</v>
      </c>
      <c r="L61" s="251"/>
    </row>
    <row r="62" spans="1:12" s="14" customFormat="1" ht="26.25" customHeight="1" x14ac:dyDescent="0.45">
      <c r="A62" s="263" t="s">
        <v>95</v>
      </c>
      <c r="B62" s="264">
        <v>1</v>
      </c>
      <c r="C62" s="861"/>
      <c r="D62" s="864"/>
      <c r="E62" s="324">
        <v>3</v>
      </c>
      <c r="F62" s="326"/>
      <c r="G62" s="408" t="str">
        <f>IF(ISBLANK(F62),"-",(F62/$D$50*$D$47*$B$68)*($B$57/$D$60))</f>
        <v>-</v>
      </c>
      <c r="H62" s="325" t="str">
        <f t="shared" si="0"/>
        <v>-</v>
      </c>
      <c r="L62" s="251"/>
    </row>
    <row r="63" spans="1:12" ht="27" customHeight="1" x14ac:dyDescent="0.45">
      <c r="A63" s="263" t="s">
        <v>96</v>
      </c>
      <c r="B63" s="264">
        <v>1</v>
      </c>
      <c r="C63" s="871"/>
      <c r="D63" s="865"/>
      <c r="E63" s="327">
        <v>4</v>
      </c>
      <c r="F63" s="328"/>
      <c r="G63" s="408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5">
      <c r="A64" s="263" t="s">
        <v>97</v>
      </c>
      <c r="B64" s="264">
        <v>1</v>
      </c>
      <c r="C64" s="860" t="s">
        <v>98</v>
      </c>
      <c r="D64" s="863">
        <f>Rifampicin!D64</f>
        <v>1210.0899999999999</v>
      </c>
      <c r="E64" s="321">
        <v>1</v>
      </c>
      <c r="F64" s="322">
        <v>27027715</v>
      </c>
      <c r="G64" s="409">
        <f>IF(ISBLANK(F64),"-",(F64/$D$50*$D$47*$B$68)*($B$57/$D$64))</f>
        <v>81.954566290887669</v>
      </c>
      <c r="H64" s="329">
        <f t="shared" si="0"/>
        <v>1.092727550545169</v>
      </c>
    </row>
    <row r="65" spans="1:8" ht="26.25" customHeight="1" x14ac:dyDescent="0.45">
      <c r="A65" s="263" t="s">
        <v>99</v>
      </c>
      <c r="B65" s="264">
        <v>1</v>
      </c>
      <c r="C65" s="861"/>
      <c r="D65" s="864"/>
      <c r="E65" s="324">
        <v>2</v>
      </c>
      <c r="F65" s="276">
        <v>27111591</v>
      </c>
      <c r="G65" s="410">
        <f>IF(ISBLANK(F65),"-",(F65/$D$50*$D$47*$B$68)*($B$57/$D$64))</f>
        <v>82.208898601340636</v>
      </c>
      <c r="H65" s="330">
        <f t="shared" si="0"/>
        <v>1.0961186480178751</v>
      </c>
    </row>
    <row r="66" spans="1:8" ht="26.25" customHeight="1" x14ac:dyDescent="0.45">
      <c r="A66" s="263" t="s">
        <v>100</v>
      </c>
      <c r="B66" s="264">
        <v>1</v>
      </c>
      <c r="C66" s="861"/>
      <c r="D66" s="864"/>
      <c r="E66" s="324">
        <v>3</v>
      </c>
      <c r="F66" s="276">
        <v>27405408</v>
      </c>
      <c r="G66" s="410">
        <f>IF(ISBLANK(F66),"-",(F66/$D$50*$D$47*$B$68)*($B$57/$D$64))</f>
        <v>83.099822780609571</v>
      </c>
      <c r="H66" s="330">
        <f t="shared" si="0"/>
        <v>1.1079976370747944</v>
      </c>
    </row>
    <row r="67" spans="1:8" ht="27" customHeight="1" x14ac:dyDescent="0.45">
      <c r="A67" s="263" t="s">
        <v>101</v>
      </c>
      <c r="B67" s="264">
        <v>1</v>
      </c>
      <c r="C67" s="871"/>
      <c r="D67" s="865"/>
      <c r="E67" s="327">
        <v>4</v>
      </c>
      <c r="F67" s="328"/>
      <c r="G67" s="411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5">
      <c r="A68" s="263" t="s">
        <v>102</v>
      </c>
      <c r="B68" s="332">
        <f>(B67/B66)*(B65/B64)*(B63/B62)*(B61/B60)*B59</f>
        <v>1000</v>
      </c>
      <c r="C68" s="860" t="s">
        <v>103</v>
      </c>
      <c r="D68" s="863">
        <f>Rifampicin!D68</f>
        <v>1208.43</v>
      </c>
      <c r="E68" s="321">
        <v>1</v>
      </c>
      <c r="F68" s="322">
        <v>26488615</v>
      </c>
      <c r="G68" s="409">
        <f>IF(ISBLANK(F68),"-",(F68/$D$50*$D$47*$B$68)*($B$57/$D$68))</f>
        <v>80.43021883129073</v>
      </c>
      <c r="H68" s="325">
        <f t="shared" si="0"/>
        <v>1.072402917750543</v>
      </c>
    </row>
    <row r="69" spans="1:8" ht="27" customHeight="1" x14ac:dyDescent="0.5">
      <c r="A69" s="311" t="s">
        <v>104</v>
      </c>
      <c r="B69" s="333">
        <f>(D47*B68)/B56*B57</f>
        <v>1340.3845333333336</v>
      </c>
      <c r="C69" s="861"/>
      <c r="D69" s="864"/>
      <c r="E69" s="324">
        <v>2</v>
      </c>
      <c r="F69" s="276">
        <v>26608687</v>
      </c>
      <c r="G69" s="410">
        <f>IF(ISBLANK(F69),"-",(F69/$D$50*$D$47*$B$68)*($B$57/$D$68))</f>
        <v>80.7948063054003</v>
      </c>
      <c r="H69" s="325">
        <f t="shared" si="0"/>
        <v>1.077264084072004</v>
      </c>
    </row>
    <row r="70" spans="1:8" ht="26.25" customHeight="1" x14ac:dyDescent="0.45">
      <c r="A70" s="866" t="s">
        <v>77</v>
      </c>
      <c r="B70" s="867"/>
      <c r="C70" s="861"/>
      <c r="D70" s="864"/>
      <c r="E70" s="324">
        <v>3</v>
      </c>
      <c r="F70" s="276">
        <v>26789997</v>
      </c>
      <c r="G70" s="410">
        <f>IF(ISBLANK(F70),"-",(F70/$D$50*$D$47*$B$68)*($B$57/$D$68))</f>
        <v>81.34533727790685</v>
      </c>
      <c r="H70" s="325">
        <f t="shared" si="0"/>
        <v>1.0846044970387581</v>
      </c>
    </row>
    <row r="71" spans="1:8" ht="27" customHeight="1" x14ac:dyDescent="0.45">
      <c r="A71" s="868"/>
      <c r="B71" s="869"/>
      <c r="C71" s="862"/>
      <c r="D71" s="865"/>
      <c r="E71" s="327">
        <v>4</v>
      </c>
      <c r="F71" s="328"/>
      <c r="G71" s="411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5">
      <c r="A72" s="335"/>
      <c r="B72" s="335"/>
      <c r="C72" s="335"/>
      <c r="D72" s="335"/>
      <c r="E72" s="335"/>
      <c r="F72" s="337" t="s">
        <v>70</v>
      </c>
      <c r="G72" s="416">
        <f>AVERAGE(G60:G71)</f>
        <v>81.638941681239302</v>
      </c>
      <c r="H72" s="338">
        <f>AVERAGE(H60:H71)</f>
        <v>1.0885192224165239</v>
      </c>
    </row>
    <row r="73" spans="1:8" ht="26.25" customHeight="1" x14ac:dyDescent="0.45">
      <c r="C73" s="335"/>
      <c r="D73" s="335"/>
      <c r="E73" s="335"/>
      <c r="F73" s="339" t="s">
        <v>83</v>
      </c>
      <c r="G73" s="412">
        <f>STDEV(G60:G71)/G72</f>
        <v>1.2024584130368512E-2</v>
      </c>
      <c r="H73" s="412">
        <f>STDEV(H60:H71)/H72</f>
        <v>1.2024584130368552E-2</v>
      </c>
    </row>
    <row r="74" spans="1:8" ht="27" customHeight="1" x14ac:dyDescent="0.45">
      <c r="A74" s="335"/>
      <c r="B74" s="335"/>
      <c r="C74" s="336"/>
      <c r="D74" s="336"/>
      <c r="E74" s="340"/>
      <c r="F74" s="341" t="s">
        <v>19</v>
      </c>
      <c r="G74" s="342">
        <f>COUNT(G60:G71)</f>
        <v>6</v>
      </c>
      <c r="H74" s="342">
        <f>COUNT(H60:H71)</f>
        <v>6</v>
      </c>
    </row>
    <row r="76" spans="1:8" ht="26.25" customHeight="1" x14ac:dyDescent="0.45">
      <c r="A76" s="247" t="s">
        <v>105</v>
      </c>
      <c r="B76" s="343" t="s">
        <v>106</v>
      </c>
      <c r="C76" s="847" t="str">
        <f>B20</f>
        <v xml:space="preserve"> ISONIAZID</v>
      </c>
      <c r="D76" s="847"/>
      <c r="E76" s="344" t="s">
        <v>107</v>
      </c>
      <c r="F76" s="344"/>
      <c r="G76" s="345">
        <f>H72</f>
        <v>1.0885192224165239</v>
      </c>
      <c r="H76" s="346"/>
    </row>
    <row r="77" spans="1:8" ht="18" x14ac:dyDescent="0.35">
      <c r="A77" s="246" t="s">
        <v>108</v>
      </c>
      <c r="B77" s="246" t="s">
        <v>109</v>
      </c>
    </row>
    <row r="78" spans="1:8" ht="18" x14ac:dyDescent="0.35">
      <c r="A78" s="246"/>
      <c r="B78" s="246"/>
    </row>
    <row r="79" spans="1:8" ht="26.25" customHeight="1" x14ac:dyDescent="0.45">
      <c r="A79" s="247" t="s">
        <v>4</v>
      </c>
      <c r="B79" s="870" t="str">
        <f>B26</f>
        <v>ISONIAZID</v>
      </c>
      <c r="C79" s="870"/>
    </row>
    <row r="80" spans="1:8" ht="26.25" customHeight="1" x14ac:dyDescent="0.45">
      <c r="A80" s="248" t="s">
        <v>47</v>
      </c>
      <c r="B80" s="870" t="str">
        <f>B27</f>
        <v xml:space="preserve">I8 2 </v>
      </c>
      <c r="C80" s="870"/>
    </row>
    <row r="81" spans="1:12" ht="27" customHeight="1" x14ac:dyDescent="0.45">
      <c r="A81" s="248" t="s">
        <v>6</v>
      </c>
      <c r="B81" s="347">
        <f>B28</f>
        <v>98.5</v>
      </c>
    </row>
    <row r="82" spans="1:12" s="14" customFormat="1" ht="27" customHeight="1" x14ac:dyDescent="0.5">
      <c r="A82" s="248" t="s">
        <v>48</v>
      </c>
      <c r="B82" s="250">
        <v>0</v>
      </c>
      <c r="C82" s="849" t="s">
        <v>49</v>
      </c>
      <c r="D82" s="850"/>
      <c r="E82" s="850"/>
      <c r="F82" s="850"/>
      <c r="G82" s="851"/>
      <c r="I82" s="251"/>
      <c r="J82" s="251"/>
      <c r="K82" s="251"/>
      <c r="L82" s="251"/>
    </row>
    <row r="83" spans="1:12" s="14" customFormat="1" ht="19.5" customHeight="1" x14ac:dyDescent="0.35">
      <c r="A83" s="248" t="s">
        <v>50</v>
      </c>
      <c r="B83" s="252">
        <f>B81-B82</f>
        <v>98.5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4" customFormat="1" ht="27" customHeight="1" x14ac:dyDescent="0.45">
      <c r="A84" s="248" t="s">
        <v>51</v>
      </c>
      <c r="B84" s="255">
        <v>1</v>
      </c>
      <c r="C84" s="852" t="s">
        <v>110</v>
      </c>
      <c r="D84" s="853"/>
      <c r="E84" s="853"/>
      <c r="F84" s="853"/>
      <c r="G84" s="853"/>
      <c r="H84" s="854"/>
      <c r="I84" s="251"/>
      <c r="J84" s="251"/>
      <c r="K84" s="251"/>
      <c r="L84" s="251"/>
    </row>
    <row r="85" spans="1:12" s="14" customFormat="1" ht="27" customHeight="1" x14ac:dyDescent="0.45">
      <c r="A85" s="248" t="s">
        <v>53</v>
      </c>
      <c r="B85" s="255">
        <v>1</v>
      </c>
      <c r="C85" s="852" t="s">
        <v>111</v>
      </c>
      <c r="D85" s="853"/>
      <c r="E85" s="853"/>
      <c r="F85" s="853"/>
      <c r="G85" s="853"/>
      <c r="H85" s="854"/>
      <c r="I85" s="251"/>
      <c r="J85" s="251"/>
      <c r="K85" s="251"/>
      <c r="L85" s="251"/>
    </row>
    <row r="86" spans="1:12" s="14" customFormat="1" ht="18" x14ac:dyDescent="0.35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4" customFormat="1" ht="18" x14ac:dyDescent="0.35">
      <c r="A87" s="248" t="s">
        <v>55</v>
      </c>
      <c r="B87" s="260">
        <f>B84/B85</f>
        <v>1</v>
      </c>
      <c r="C87" s="239" t="s">
        <v>56</v>
      </c>
      <c r="D87" s="239"/>
      <c r="E87" s="239"/>
      <c r="F87" s="239"/>
      <c r="G87" s="239"/>
      <c r="I87" s="251"/>
      <c r="J87" s="251"/>
      <c r="K87" s="251"/>
      <c r="L87" s="251"/>
    </row>
    <row r="88" spans="1:12" ht="19.5" customHeight="1" x14ac:dyDescent="0.35">
      <c r="A88" s="246"/>
      <c r="B88" s="246"/>
    </row>
    <row r="89" spans="1:12" ht="27" customHeight="1" x14ac:dyDescent="0.45">
      <c r="A89" s="261" t="s">
        <v>57</v>
      </c>
      <c r="B89" s="262">
        <v>50</v>
      </c>
      <c r="D89" s="348" t="s">
        <v>58</v>
      </c>
      <c r="E89" s="349"/>
      <c r="F89" s="855" t="s">
        <v>59</v>
      </c>
      <c r="G89" s="856"/>
    </row>
    <row r="90" spans="1:12" ht="27" customHeight="1" x14ac:dyDescent="0.45">
      <c r="A90" s="263" t="s">
        <v>60</v>
      </c>
      <c r="B90" s="264">
        <v>25</v>
      </c>
      <c r="C90" s="350" t="s">
        <v>61</v>
      </c>
      <c r="D90" s="266" t="s">
        <v>62</v>
      </c>
      <c r="E90" s="267" t="s">
        <v>63</v>
      </c>
      <c r="F90" s="266" t="s">
        <v>62</v>
      </c>
      <c r="G90" s="351" t="s">
        <v>63</v>
      </c>
      <c r="I90" s="269" t="s">
        <v>64</v>
      </c>
    </row>
    <row r="91" spans="1:12" ht="26.25" customHeight="1" x14ac:dyDescent="0.45">
      <c r="A91" s="263" t="s">
        <v>65</v>
      </c>
      <c r="B91" s="264">
        <v>50</v>
      </c>
      <c r="C91" s="352">
        <v>1</v>
      </c>
      <c r="D91" s="633">
        <v>27493167</v>
      </c>
      <c r="E91" s="272">
        <f>IF(ISBLANK(D91),"-",$D$101/$D$98*D91)</f>
        <v>28715889.578241523</v>
      </c>
      <c r="F91" s="633">
        <v>29963918</v>
      </c>
      <c r="G91" s="273">
        <f>IF(ISBLANK(F91),"-",$D$101/$F$98*F91)</f>
        <v>28839800.26526067</v>
      </c>
      <c r="I91" s="274"/>
    </row>
    <row r="92" spans="1:12" ht="26.25" customHeight="1" x14ac:dyDescent="0.45">
      <c r="A92" s="263" t="s">
        <v>66</v>
      </c>
      <c r="B92" s="264">
        <v>1</v>
      </c>
      <c r="C92" s="336">
        <v>2</v>
      </c>
      <c r="D92" s="638">
        <v>27507255</v>
      </c>
      <c r="E92" s="277">
        <f>IF(ISBLANK(D92),"-",$D$101/$D$98*D92)</f>
        <v>28730604.123582125</v>
      </c>
      <c r="F92" s="638">
        <v>29909184</v>
      </c>
      <c r="G92" s="278">
        <f>IF(ISBLANK(F92),"-",$D$101/$F$98*F92)</f>
        <v>28787119.65027171</v>
      </c>
      <c r="I92" s="857">
        <f>ABS((F96/D96*D95)-F95)/D95</f>
        <v>5.07807944529267E-3</v>
      </c>
    </row>
    <row r="93" spans="1:12" ht="26.25" customHeight="1" x14ac:dyDescent="0.45">
      <c r="A93" s="263" t="s">
        <v>67</v>
      </c>
      <c r="B93" s="264">
        <v>1</v>
      </c>
      <c r="C93" s="336">
        <v>3</v>
      </c>
      <c r="D93" s="638">
        <v>27436326</v>
      </c>
      <c r="E93" s="277">
        <f>IF(ISBLANK(D93),"-",$D$101/$D$98*D93)</f>
        <v>28656520.649244845</v>
      </c>
      <c r="F93" s="638">
        <v>30004656</v>
      </c>
      <c r="G93" s="278">
        <f>IF(ISBLANK(F93),"-",$D$101/$F$98*F93)</f>
        <v>28879009.950162563</v>
      </c>
      <c r="I93" s="857"/>
    </row>
    <row r="94" spans="1:12" ht="27" customHeight="1" x14ac:dyDescent="0.45">
      <c r="A94" s="263" t="s">
        <v>68</v>
      </c>
      <c r="B94" s="264">
        <v>1</v>
      </c>
      <c r="C94" s="353">
        <v>4</v>
      </c>
      <c r="D94" s="643"/>
      <c r="E94" s="282" t="str">
        <f>IF(ISBLANK(D94),"-",$D$101/$D$98*D94)</f>
        <v>-</v>
      </c>
      <c r="F94" s="643"/>
      <c r="G94" s="283" t="str">
        <f>IF(ISBLANK(F94),"-",$D$101/$F$98*F94)</f>
        <v>-</v>
      </c>
      <c r="I94" s="284"/>
    </row>
    <row r="95" spans="1:12" ht="27" customHeight="1" x14ac:dyDescent="0.45">
      <c r="A95" s="263" t="s">
        <v>69</v>
      </c>
      <c r="B95" s="264">
        <v>1</v>
      </c>
      <c r="C95" s="354" t="s">
        <v>70</v>
      </c>
      <c r="D95" s="355">
        <f>AVERAGE(D91:D94)</f>
        <v>27478916</v>
      </c>
      <c r="E95" s="287">
        <f>AVERAGE(E91:E94)</f>
        <v>28701004.783689499</v>
      </c>
      <c r="F95" s="356">
        <f>AVERAGE(F91:F94)</f>
        <v>29959252.666666668</v>
      </c>
      <c r="G95" s="357">
        <f>AVERAGE(G91:G94)</f>
        <v>28835309.955231648</v>
      </c>
    </row>
    <row r="96" spans="1:12" ht="26.25" customHeight="1" x14ac:dyDescent="0.45">
      <c r="A96" s="263" t="s">
        <v>71</v>
      </c>
      <c r="B96" s="249">
        <v>1</v>
      </c>
      <c r="C96" s="358" t="s">
        <v>112</v>
      </c>
      <c r="D96" s="359">
        <v>8.1</v>
      </c>
      <c r="E96" s="279"/>
      <c r="F96" s="291">
        <v>8.7899999999999991</v>
      </c>
    </row>
    <row r="97" spans="1:10" ht="26.25" customHeight="1" x14ac:dyDescent="0.45">
      <c r="A97" s="263" t="s">
        <v>73</v>
      </c>
      <c r="B97" s="249">
        <v>1</v>
      </c>
      <c r="C97" s="360" t="s">
        <v>113</v>
      </c>
      <c r="D97" s="361">
        <f>D96*$B$87</f>
        <v>8.1</v>
      </c>
      <c r="E97" s="294"/>
      <c r="F97" s="293">
        <f>F96*$B$87</f>
        <v>8.7899999999999991</v>
      </c>
    </row>
    <row r="98" spans="1:10" ht="19.5" customHeight="1" x14ac:dyDescent="0.35">
      <c r="A98" s="263" t="s">
        <v>75</v>
      </c>
      <c r="B98" s="362">
        <f>(B97/B96)*(B95/B94)*(B93/B92)*(B91/B90)*B89</f>
        <v>100</v>
      </c>
      <c r="C98" s="360" t="s">
        <v>114</v>
      </c>
      <c r="D98" s="363">
        <f>D97*$B$83/100</f>
        <v>7.9784999999999995</v>
      </c>
      <c r="E98" s="297"/>
      <c r="F98" s="296">
        <f>F97*$B$83/100</f>
        <v>8.6581499999999991</v>
      </c>
    </row>
    <row r="99" spans="1:10" ht="19.5" customHeight="1" x14ac:dyDescent="0.35">
      <c r="A99" s="843" t="s">
        <v>77</v>
      </c>
      <c r="B99" s="858"/>
      <c r="C99" s="360" t="s">
        <v>115</v>
      </c>
      <c r="D99" s="364">
        <f>D98/$B$98</f>
        <v>7.9784999999999995E-2</v>
      </c>
      <c r="E99" s="297"/>
      <c r="F99" s="300">
        <f>F98/$B$98</f>
        <v>8.6581499999999992E-2</v>
      </c>
      <c r="G99" s="365"/>
      <c r="H99" s="289"/>
    </row>
    <row r="100" spans="1:10" ht="19.5" customHeight="1" x14ac:dyDescent="0.35">
      <c r="A100" s="845"/>
      <c r="B100" s="859"/>
      <c r="C100" s="360" t="s">
        <v>79</v>
      </c>
      <c r="D100" s="366">
        <f>$B$56/$B$116</f>
        <v>8.3333333333333329E-2</v>
      </c>
      <c r="F100" s="305"/>
      <c r="G100" s="367"/>
      <c r="H100" s="289"/>
    </row>
    <row r="101" spans="1:10" ht="18" x14ac:dyDescent="0.35">
      <c r="C101" s="360" t="s">
        <v>80</v>
      </c>
      <c r="D101" s="361">
        <f>D100*$B$98</f>
        <v>8.3333333333333321</v>
      </c>
      <c r="F101" s="305"/>
      <c r="G101" s="365"/>
      <c r="H101" s="289"/>
    </row>
    <row r="102" spans="1:10" ht="19.5" customHeight="1" x14ac:dyDescent="0.35">
      <c r="C102" s="368" t="s">
        <v>81</v>
      </c>
      <c r="D102" s="369">
        <f>D101/B34</f>
        <v>8.3333333333333321</v>
      </c>
      <c r="F102" s="309"/>
      <c r="G102" s="365"/>
      <c r="H102" s="289"/>
      <c r="J102" s="370"/>
    </row>
    <row r="103" spans="1:10" ht="18" x14ac:dyDescent="0.35">
      <c r="C103" s="371" t="s">
        <v>116</v>
      </c>
      <c r="D103" s="372">
        <f>AVERAGE(E91:E94,G91:G94)</f>
        <v>28768157.369460572</v>
      </c>
      <c r="F103" s="309"/>
      <c r="G103" s="373"/>
      <c r="H103" s="289"/>
      <c r="J103" s="374"/>
    </row>
    <row r="104" spans="1:10" ht="18" x14ac:dyDescent="0.35">
      <c r="C104" s="339" t="s">
        <v>83</v>
      </c>
      <c r="D104" s="375">
        <f>STDEV(E91:E94,G91:G94)/D103</f>
        <v>2.8826411286817367E-3</v>
      </c>
      <c r="F104" s="309"/>
      <c r="G104" s="365"/>
      <c r="H104" s="289"/>
      <c r="J104" s="374"/>
    </row>
    <row r="105" spans="1:10" ht="19.5" customHeight="1" x14ac:dyDescent="0.35">
      <c r="C105" s="341" t="s">
        <v>19</v>
      </c>
      <c r="D105" s="376">
        <f>COUNT(E91:E94,G91:G94)</f>
        <v>6</v>
      </c>
      <c r="F105" s="309"/>
      <c r="G105" s="365"/>
      <c r="H105" s="289"/>
      <c r="J105" s="374"/>
    </row>
    <row r="106" spans="1:10" ht="19.5" customHeight="1" x14ac:dyDescent="0.35">
      <c r="A106" s="313"/>
      <c r="B106" s="313"/>
      <c r="C106" s="313"/>
      <c r="D106" s="313"/>
      <c r="E106" s="313"/>
    </row>
    <row r="107" spans="1:10" ht="26.25" customHeight="1" x14ac:dyDescent="0.45">
      <c r="A107" s="261" t="s">
        <v>117</v>
      </c>
      <c r="B107" s="262">
        <v>900</v>
      </c>
      <c r="C107" s="377" t="s">
        <v>118</v>
      </c>
      <c r="D107" s="378" t="s">
        <v>62</v>
      </c>
      <c r="E107" s="379" t="s">
        <v>119</v>
      </c>
      <c r="F107" s="380" t="s">
        <v>120</v>
      </c>
    </row>
    <row r="108" spans="1:10" ht="26.25" customHeight="1" x14ac:dyDescent="0.45">
      <c r="A108" s="263" t="s">
        <v>121</v>
      </c>
      <c r="B108" s="264">
        <v>1</v>
      </c>
      <c r="C108" s="381">
        <v>1</v>
      </c>
      <c r="D108" s="382">
        <v>24610654</v>
      </c>
      <c r="E108" s="413">
        <f t="shared" ref="E108:E113" si="1">IF(ISBLANK(D108),"-",D108/$D$103*$D$100*$B$116)</f>
        <v>64.161184405903086</v>
      </c>
      <c r="F108" s="383">
        <f t="shared" ref="F108:F113" si="2">IF(ISBLANK(D108), "-", E108/$B$56)</f>
        <v>0.85548245874537443</v>
      </c>
    </row>
    <row r="109" spans="1:10" ht="26.25" customHeight="1" x14ac:dyDescent="0.45">
      <c r="A109" s="263" t="s">
        <v>94</v>
      </c>
      <c r="B109" s="264">
        <v>1</v>
      </c>
      <c r="C109" s="381">
        <v>2</v>
      </c>
      <c r="D109" s="382">
        <v>24613755</v>
      </c>
      <c r="E109" s="414">
        <f t="shared" si="1"/>
        <v>64.169268865293844</v>
      </c>
      <c r="F109" s="384">
        <f t="shared" si="2"/>
        <v>0.85559025153725121</v>
      </c>
    </row>
    <row r="110" spans="1:10" ht="26.25" customHeight="1" x14ac:dyDescent="0.45">
      <c r="A110" s="263" t="s">
        <v>95</v>
      </c>
      <c r="B110" s="264">
        <v>1</v>
      </c>
      <c r="C110" s="381">
        <v>3</v>
      </c>
      <c r="D110" s="382">
        <v>24334071</v>
      </c>
      <c r="E110" s="414">
        <f t="shared" si="1"/>
        <v>63.440118932936066</v>
      </c>
      <c r="F110" s="384">
        <f t="shared" si="2"/>
        <v>0.84586825243914754</v>
      </c>
    </row>
    <row r="111" spans="1:10" ht="26.25" customHeight="1" x14ac:dyDescent="0.45">
      <c r="A111" s="263" t="s">
        <v>96</v>
      </c>
      <c r="B111" s="264">
        <v>1</v>
      </c>
      <c r="C111" s="381">
        <v>4</v>
      </c>
      <c r="D111" s="382">
        <v>25073230</v>
      </c>
      <c r="E111" s="414">
        <f t="shared" si="1"/>
        <v>65.367142770022355</v>
      </c>
      <c r="F111" s="384">
        <f t="shared" si="2"/>
        <v>0.87156190360029806</v>
      </c>
    </row>
    <row r="112" spans="1:10" ht="26.25" customHeight="1" x14ac:dyDescent="0.45">
      <c r="A112" s="263" t="s">
        <v>97</v>
      </c>
      <c r="B112" s="264">
        <v>1</v>
      </c>
      <c r="C112" s="381">
        <v>5</v>
      </c>
      <c r="D112" s="382">
        <v>25076410</v>
      </c>
      <c r="E112" s="414">
        <f t="shared" si="1"/>
        <v>65.375433186295353</v>
      </c>
      <c r="F112" s="384">
        <f t="shared" si="2"/>
        <v>0.87167244248393805</v>
      </c>
    </row>
    <row r="113" spans="1:10" ht="26.25" customHeight="1" x14ac:dyDescent="0.45">
      <c r="A113" s="263" t="s">
        <v>99</v>
      </c>
      <c r="B113" s="264">
        <v>1</v>
      </c>
      <c r="C113" s="385">
        <v>6</v>
      </c>
      <c r="D113" s="386">
        <v>25115705</v>
      </c>
      <c r="E113" s="415">
        <f t="shared" si="1"/>
        <v>65.477877182348024</v>
      </c>
      <c r="F113" s="387">
        <f t="shared" si="2"/>
        <v>0.87303836243130695</v>
      </c>
    </row>
    <row r="114" spans="1:10" ht="26.25" customHeight="1" x14ac:dyDescent="0.45">
      <c r="A114" s="263" t="s">
        <v>100</v>
      </c>
      <c r="B114" s="264">
        <v>1</v>
      </c>
      <c r="C114" s="381"/>
      <c r="D114" s="336"/>
      <c r="E114" s="238"/>
      <c r="F114" s="388"/>
    </row>
    <row r="115" spans="1:10" ht="26.25" customHeight="1" x14ac:dyDescent="0.45">
      <c r="A115" s="263" t="s">
        <v>101</v>
      </c>
      <c r="B115" s="264">
        <v>1</v>
      </c>
      <c r="C115" s="381"/>
      <c r="D115" s="389" t="s">
        <v>70</v>
      </c>
      <c r="E115" s="417">
        <f>AVERAGE(E108:E113)</f>
        <v>64.665170890466456</v>
      </c>
      <c r="F115" s="390">
        <f>AVERAGE(F108:F113)</f>
        <v>0.86220227853955278</v>
      </c>
    </row>
    <row r="116" spans="1:10" ht="27" customHeight="1" x14ac:dyDescent="0.45">
      <c r="A116" s="263" t="s">
        <v>102</v>
      </c>
      <c r="B116" s="295">
        <f>(B115/B114)*(B113/B112)*(B111/B110)*(B109/B108)*B107</f>
        <v>900</v>
      </c>
      <c r="C116" s="391"/>
      <c r="D116" s="354" t="s">
        <v>83</v>
      </c>
      <c r="E116" s="392">
        <f>STDEV(E108:E113)/E115</f>
        <v>1.3227881162858716E-2</v>
      </c>
      <c r="F116" s="392">
        <f>STDEV(F108:F113)/F115</f>
        <v>1.3227881162858723E-2</v>
      </c>
      <c r="I116" s="238"/>
    </row>
    <row r="117" spans="1:10" ht="27" customHeight="1" x14ac:dyDescent="0.45">
      <c r="A117" s="843" t="s">
        <v>77</v>
      </c>
      <c r="B117" s="844"/>
      <c r="C117" s="393"/>
      <c r="D117" s="394" t="s">
        <v>19</v>
      </c>
      <c r="E117" s="395">
        <f>COUNT(E108:E113)</f>
        <v>6</v>
      </c>
      <c r="F117" s="395">
        <f>COUNT(F108:F113)</f>
        <v>6</v>
      </c>
      <c r="I117" s="238"/>
      <c r="J117" s="374"/>
    </row>
    <row r="118" spans="1:10" ht="19.5" customHeight="1" x14ac:dyDescent="0.35">
      <c r="A118" s="845"/>
      <c r="B118" s="846"/>
      <c r="C118" s="238"/>
      <c r="D118" s="238"/>
      <c r="E118" s="238"/>
      <c r="F118" s="336"/>
      <c r="G118" s="238"/>
      <c r="H118" s="238"/>
      <c r="I118" s="238"/>
    </row>
    <row r="119" spans="1:10" ht="18" x14ac:dyDescent="0.35">
      <c r="A119" s="404"/>
      <c r="B119" s="259"/>
      <c r="C119" s="238"/>
      <c r="D119" s="238"/>
      <c r="E119" s="238"/>
      <c r="F119" s="336"/>
      <c r="G119" s="238"/>
      <c r="H119" s="238"/>
      <c r="I119" s="238"/>
    </row>
    <row r="120" spans="1:10" ht="26.25" customHeight="1" x14ac:dyDescent="0.45">
      <c r="A120" s="247" t="s">
        <v>105</v>
      </c>
      <c r="B120" s="343" t="s">
        <v>122</v>
      </c>
      <c r="C120" s="847" t="str">
        <f>B20</f>
        <v xml:space="preserve"> ISONIAZID</v>
      </c>
      <c r="D120" s="847"/>
      <c r="E120" s="344" t="s">
        <v>123</v>
      </c>
      <c r="F120" s="344"/>
      <c r="G120" s="345">
        <f>F115</f>
        <v>0.86220227853955278</v>
      </c>
      <c r="H120" s="238"/>
      <c r="I120" s="238"/>
    </row>
    <row r="121" spans="1:10" ht="19.5" customHeight="1" x14ac:dyDescent="0.35">
      <c r="A121" s="396"/>
      <c r="B121" s="396"/>
      <c r="C121" s="397"/>
      <c r="D121" s="397"/>
      <c r="E121" s="397"/>
      <c r="F121" s="397"/>
      <c r="G121" s="397"/>
      <c r="H121" s="397"/>
    </row>
    <row r="122" spans="1:10" ht="18" x14ac:dyDescent="0.35">
      <c r="B122" s="848" t="s">
        <v>25</v>
      </c>
      <c r="C122" s="848"/>
      <c r="E122" s="350" t="s">
        <v>26</v>
      </c>
      <c r="F122" s="398"/>
      <c r="G122" s="848" t="s">
        <v>27</v>
      </c>
      <c r="H122" s="848"/>
    </row>
    <row r="123" spans="1:10" ht="69.900000000000006" customHeight="1" x14ac:dyDescent="0.35">
      <c r="A123" s="399" t="s">
        <v>28</v>
      </c>
      <c r="B123" s="400"/>
      <c r="C123" s="400"/>
      <c r="E123" s="400"/>
      <c r="F123" s="238"/>
      <c r="G123" s="401"/>
      <c r="H123" s="401"/>
    </row>
    <row r="124" spans="1:10" ht="69.900000000000006" customHeight="1" x14ac:dyDescent="0.35">
      <c r="A124" s="399" t="s">
        <v>29</v>
      </c>
      <c r="B124" s="402"/>
      <c r="C124" s="402"/>
      <c r="E124" s="402"/>
      <c r="F124" s="238"/>
      <c r="G124" s="403"/>
      <c r="H124" s="403"/>
    </row>
    <row r="125" spans="1:10" ht="18" x14ac:dyDescent="0.35">
      <c r="A125" s="335"/>
      <c r="B125" s="335"/>
      <c r="C125" s="336"/>
      <c r="D125" s="336"/>
      <c r="E125" s="336"/>
      <c r="F125" s="340"/>
      <c r="G125" s="336"/>
      <c r="H125" s="336"/>
      <c r="I125" s="238"/>
    </row>
    <row r="126" spans="1:10" ht="18" x14ac:dyDescent="0.35">
      <c r="A126" s="335"/>
      <c r="B126" s="335"/>
      <c r="C126" s="336"/>
      <c r="D126" s="336"/>
      <c r="E126" s="336"/>
      <c r="F126" s="340"/>
      <c r="G126" s="336"/>
      <c r="H126" s="336"/>
      <c r="I126" s="238"/>
    </row>
    <row r="127" spans="1:10" ht="18" x14ac:dyDescent="0.35">
      <c r="A127" s="335"/>
      <c r="B127" s="335"/>
      <c r="C127" s="336"/>
      <c r="D127" s="336"/>
      <c r="E127" s="336"/>
      <c r="F127" s="340"/>
      <c r="G127" s="336"/>
      <c r="H127" s="336"/>
      <c r="I127" s="238"/>
    </row>
    <row r="128" spans="1:10" ht="18" x14ac:dyDescent="0.35">
      <c r="A128" s="335"/>
      <c r="B128" s="335"/>
      <c r="C128" s="336"/>
      <c r="D128" s="336"/>
      <c r="E128" s="336"/>
      <c r="F128" s="340"/>
      <c r="G128" s="336"/>
      <c r="H128" s="336"/>
      <c r="I128" s="238"/>
    </row>
    <row r="129" spans="1:9" ht="18" x14ac:dyDescent="0.35">
      <c r="A129" s="335"/>
      <c r="B129" s="335"/>
      <c r="C129" s="336"/>
      <c r="D129" s="336"/>
      <c r="E129" s="336"/>
      <c r="F129" s="340"/>
      <c r="G129" s="336"/>
      <c r="H129" s="336"/>
      <c r="I129" s="238"/>
    </row>
    <row r="130" spans="1:9" ht="18" x14ac:dyDescent="0.35">
      <c r="A130" s="335"/>
      <c r="B130" s="335"/>
      <c r="C130" s="336"/>
      <c r="D130" s="336"/>
      <c r="E130" s="336"/>
      <c r="F130" s="340"/>
      <c r="G130" s="336"/>
      <c r="H130" s="336"/>
      <c r="I130" s="238"/>
    </row>
    <row r="131" spans="1:9" ht="18" x14ac:dyDescent="0.35">
      <c r="A131" s="335"/>
      <c r="B131" s="335"/>
      <c r="C131" s="336"/>
      <c r="D131" s="336"/>
      <c r="E131" s="336"/>
      <c r="F131" s="340"/>
      <c r="G131" s="336"/>
      <c r="H131" s="336"/>
      <c r="I131" s="238"/>
    </row>
    <row r="132" spans="1:9" ht="18" x14ac:dyDescent="0.35">
      <c r="A132" s="335"/>
      <c r="B132" s="335"/>
      <c r="C132" s="336"/>
      <c r="D132" s="336"/>
      <c r="E132" s="336"/>
      <c r="F132" s="340"/>
      <c r="G132" s="336"/>
      <c r="H132" s="336"/>
      <c r="I132" s="238"/>
    </row>
    <row r="133" spans="1:9" ht="18" x14ac:dyDescent="0.35">
      <c r="A133" s="335"/>
      <c r="B133" s="335"/>
      <c r="C133" s="336"/>
      <c r="D133" s="336"/>
      <c r="E133" s="336"/>
      <c r="F133" s="340"/>
      <c r="G133" s="336"/>
      <c r="H133" s="336"/>
      <c r="I133" s="238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Normal="100" zoomScaleSheetLayoutView="100" workbookViewId="0">
      <selection activeCell="C70" sqref="C70"/>
    </sheetView>
  </sheetViews>
  <sheetFormatPr defaultColWidth="9.109375" defaultRowHeight="13.8" x14ac:dyDescent="0.3"/>
  <cols>
    <col min="1" max="1" width="27.5546875" style="727" customWidth="1"/>
    <col min="2" max="2" width="20.44140625" style="727" customWidth="1"/>
    <col min="3" max="3" width="31.88671875" style="727" customWidth="1"/>
    <col min="4" max="4" width="30.88671875" style="727" customWidth="1"/>
    <col min="5" max="5" width="29" style="727" customWidth="1"/>
    <col min="6" max="6" width="23.109375" style="727" customWidth="1"/>
    <col min="7" max="7" width="28.44140625" style="727" customWidth="1"/>
    <col min="8" max="8" width="21.5546875" style="727" customWidth="1"/>
    <col min="9" max="9" width="9.109375" style="727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880" t="s">
        <v>0</v>
      </c>
      <c r="B15" s="880"/>
      <c r="C15" s="880"/>
      <c r="D15" s="880"/>
      <c r="E15" s="880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783" t="s">
        <v>132</v>
      </c>
      <c r="C18" s="53"/>
      <c r="D18" s="53"/>
      <c r="E18" s="53"/>
    </row>
    <row r="19" spans="1:5" ht="16.5" customHeight="1" x14ac:dyDescent="0.3">
      <c r="A19" s="55" t="s">
        <v>6</v>
      </c>
      <c r="B19" s="785">
        <f>'SST I'!B19</f>
        <v>98.5</v>
      </c>
      <c r="C19" s="53"/>
      <c r="D19" s="53"/>
      <c r="E19" s="53"/>
    </row>
    <row r="20" spans="1:5" ht="16.5" customHeight="1" x14ac:dyDescent="0.3">
      <c r="A20" s="8" t="s">
        <v>7</v>
      </c>
      <c r="B20" s="12">
        <v>39.79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B20/100</f>
        <v>0.39789999999999998</v>
      </c>
      <c r="C21" s="53"/>
      <c r="D21" s="53"/>
      <c r="E21" s="53"/>
    </row>
    <row r="22" spans="1:5" ht="15.75" customHeight="1" x14ac:dyDescent="0.3">
      <c r="A22" s="53"/>
      <c r="B22" s="53"/>
      <c r="C22" s="53"/>
      <c r="D22" s="53"/>
      <c r="E22" s="5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86188438</v>
      </c>
      <c r="C24" s="18">
        <v>5967.36</v>
      </c>
      <c r="D24" s="19">
        <v>1.1299999999999999</v>
      </c>
      <c r="E24" s="20">
        <v>2.93</v>
      </c>
    </row>
    <row r="25" spans="1:5" ht="16.5" customHeight="1" x14ac:dyDescent="0.3">
      <c r="A25" s="17">
        <v>2</v>
      </c>
      <c r="B25" s="18">
        <v>86369711</v>
      </c>
      <c r="C25" s="18">
        <v>6009.49</v>
      </c>
      <c r="D25" s="19">
        <v>1.1599999999999999</v>
      </c>
      <c r="E25" s="19">
        <v>2.93</v>
      </c>
    </row>
    <row r="26" spans="1:5" ht="16.5" customHeight="1" x14ac:dyDescent="0.3">
      <c r="A26" s="17">
        <v>3</v>
      </c>
      <c r="B26" s="18">
        <v>86221795</v>
      </c>
      <c r="C26" s="18">
        <v>6064.13</v>
      </c>
      <c r="D26" s="19">
        <v>1.1399999999999999</v>
      </c>
      <c r="E26" s="19">
        <v>2.93</v>
      </c>
    </row>
    <row r="27" spans="1:5" ht="16.5" customHeight="1" x14ac:dyDescent="0.3">
      <c r="A27" s="17">
        <v>4</v>
      </c>
      <c r="B27" s="18">
        <v>86366460</v>
      </c>
      <c r="C27" s="18">
        <v>6126.98</v>
      </c>
      <c r="D27" s="19">
        <v>1.1499999999999999</v>
      </c>
      <c r="E27" s="19">
        <v>2.93</v>
      </c>
    </row>
    <row r="28" spans="1:5" ht="16.5" customHeight="1" x14ac:dyDescent="0.3">
      <c r="A28" s="17">
        <v>5</v>
      </c>
      <c r="B28" s="18">
        <v>86391693</v>
      </c>
      <c r="C28" s="18">
        <v>5964.5</v>
      </c>
      <c r="D28" s="19">
        <v>1.1399999999999999</v>
      </c>
      <c r="E28" s="19">
        <v>2.94</v>
      </c>
    </row>
    <row r="29" spans="1:5" ht="16.5" customHeight="1" x14ac:dyDescent="0.3">
      <c r="A29" s="17">
        <v>6</v>
      </c>
      <c r="B29" s="21">
        <v>86590258</v>
      </c>
      <c r="C29" s="21">
        <v>6006.37</v>
      </c>
      <c r="D29" s="22">
        <v>1.1599999999999999</v>
      </c>
      <c r="E29" s="22">
        <v>2.94</v>
      </c>
    </row>
    <row r="30" spans="1:5" ht="16.5" customHeight="1" x14ac:dyDescent="0.3">
      <c r="A30" s="23" t="s">
        <v>17</v>
      </c>
      <c r="B30" s="24">
        <f>AVERAGE(B24:B29)</f>
        <v>86354725.833333328</v>
      </c>
      <c r="C30" s="25">
        <f>AVERAGE(C24:C29)</f>
        <v>6023.1383333333333</v>
      </c>
      <c r="D30" s="26">
        <f>AVERAGE(D24:D29)</f>
        <v>1.1466666666666667</v>
      </c>
      <c r="E30" s="26">
        <f>AVERAGE(E24:E29)</f>
        <v>2.9333333333333336</v>
      </c>
    </row>
    <row r="31" spans="1:5" ht="16.5" customHeight="1" x14ac:dyDescent="0.3">
      <c r="A31" s="27" t="s">
        <v>18</v>
      </c>
      <c r="B31" s="28">
        <f>(STDEV(B24:B29)/B30)</f>
        <v>1.6582380948881592E-3</v>
      </c>
      <c r="C31" s="29"/>
      <c r="D31" s="29"/>
      <c r="E31" s="30"/>
    </row>
    <row r="32" spans="1:5" s="727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727" customFormat="1" ht="15.75" customHeight="1" x14ac:dyDescent="0.3">
      <c r="A33" s="53"/>
      <c r="B33" s="53"/>
      <c r="C33" s="53"/>
      <c r="D33" s="53"/>
      <c r="E33" s="53"/>
    </row>
    <row r="34" spans="1:5" s="727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3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884" t="s">
        <v>24</v>
      </c>
    </row>
    <row r="39" spans="1:5" ht="16.5" customHeight="1" x14ac:dyDescent="0.3">
      <c r="A39" s="55" t="s">
        <v>4</v>
      </c>
      <c r="B39" s="883" t="s">
        <v>132</v>
      </c>
      <c r="C39" s="53"/>
      <c r="D39" s="53"/>
      <c r="E39" s="53"/>
    </row>
    <row r="40" spans="1:5" ht="16.5" customHeight="1" x14ac:dyDescent="0.3">
      <c r="A40" s="55" t="s">
        <v>6</v>
      </c>
      <c r="B40" s="12">
        <v>99.5</v>
      </c>
      <c r="C40" s="53"/>
      <c r="D40" s="53"/>
      <c r="E40" s="53"/>
    </row>
    <row r="41" spans="1:5" ht="16.5" customHeight="1" x14ac:dyDescent="0.3">
      <c r="A41" s="8" t="s">
        <v>7</v>
      </c>
      <c r="B41" s="12">
        <v>40.270000000000003</v>
      </c>
      <c r="C41" s="53"/>
      <c r="D41" s="53"/>
      <c r="E41" s="53"/>
    </row>
    <row r="42" spans="1:5" ht="16.5" customHeight="1" x14ac:dyDescent="0.3">
      <c r="A42" s="8" t="s">
        <v>9</v>
      </c>
      <c r="B42" s="885">
        <f>B41/50*25/50</f>
        <v>0.40270000000000006</v>
      </c>
      <c r="C42" s="53"/>
      <c r="D42" s="53"/>
      <c r="E42" s="53"/>
    </row>
    <row r="43" spans="1:5" ht="15.75" customHeight="1" x14ac:dyDescent="0.3">
      <c r="A43" s="53"/>
      <c r="B43" s="53"/>
      <c r="C43" s="53"/>
      <c r="D43" s="53"/>
      <c r="E43" s="5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87437494</v>
      </c>
      <c r="C45" s="18">
        <v>9367.2800000000007</v>
      </c>
      <c r="D45" s="19">
        <v>1.1399999999999999</v>
      </c>
      <c r="E45" s="20">
        <v>3.17</v>
      </c>
    </row>
    <row r="46" spans="1:5" ht="16.5" customHeight="1" x14ac:dyDescent="0.3">
      <c r="A46" s="17">
        <v>2</v>
      </c>
      <c r="B46" s="18">
        <v>87516591</v>
      </c>
      <c r="C46" s="18">
        <v>6011.61</v>
      </c>
      <c r="D46" s="19">
        <v>1.17</v>
      </c>
      <c r="E46" s="19">
        <v>2.88</v>
      </c>
    </row>
    <row r="47" spans="1:5" ht="16.5" customHeight="1" x14ac:dyDescent="0.3">
      <c r="A47" s="17">
        <v>3</v>
      </c>
      <c r="B47" s="18">
        <v>87320555</v>
      </c>
      <c r="C47" s="18">
        <v>6262.97</v>
      </c>
      <c r="D47" s="19">
        <v>1.1200000000000001</v>
      </c>
      <c r="E47" s="19">
        <v>2.91</v>
      </c>
    </row>
    <row r="48" spans="1:5" ht="16.5" customHeight="1" x14ac:dyDescent="0.3">
      <c r="A48" s="17">
        <v>4</v>
      </c>
      <c r="B48" s="18">
        <v>87477350</v>
      </c>
      <c r="C48" s="18">
        <v>9351.2000000000007</v>
      </c>
      <c r="D48" s="19">
        <v>1.1100000000000001</v>
      </c>
      <c r="E48" s="19">
        <v>3.18</v>
      </c>
    </row>
    <row r="49" spans="1:7" ht="16.5" customHeight="1" x14ac:dyDescent="0.3">
      <c r="A49" s="17">
        <v>5</v>
      </c>
      <c r="B49" s="18">
        <v>88023509</v>
      </c>
      <c r="C49" s="18">
        <v>9163.92</v>
      </c>
      <c r="D49" s="19">
        <v>1.1399999999999999</v>
      </c>
      <c r="E49" s="19">
        <v>3.17</v>
      </c>
    </row>
    <row r="50" spans="1:7" ht="16.5" customHeight="1" x14ac:dyDescent="0.3">
      <c r="A50" s="17">
        <v>6</v>
      </c>
      <c r="B50" s="21">
        <v>87567070</v>
      </c>
      <c r="C50" s="21">
        <v>9166.9699999999993</v>
      </c>
      <c r="D50" s="22">
        <v>1.1200000000000001</v>
      </c>
      <c r="E50" s="22">
        <v>3.17</v>
      </c>
    </row>
    <row r="51" spans="1:7" ht="16.5" customHeight="1" x14ac:dyDescent="0.3">
      <c r="A51" s="23" t="s">
        <v>17</v>
      </c>
      <c r="B51" s="24">
        <f>AVERAGE(B45:B50)</f>
        <v>87557094.833333328</v>
      </c>
      <c r="C51" s="26">
        <f>AVERAGE(C45:C50)</f>
        <v>8220.6583333333347</v>
      </c>
      <c r="D51" s="26">
        <f>AVERAGE(D45:D50)</f>
        <v>1.1333333333333333</v>
      </c>
      <c r="E51" s="26">
        <f>AVERAGE(E45:E50)</f>
        <v>3.08</v>
      </c>
    </row>
    <row r="52" spans="1:7" ht="16.5" customHeight="1" x14ac:dyDescent="0.3">
      <c r="A52" s="27" t="s">
        <v>18</v>
      </c>
      <c r="B52" s="28">
        <f>(STDEV(B45:B50)/B51)</f>
        <v>2.7783943313930636E-3</v>
      </c>
      <c r="C52" s="29"/>
      <c r="D52" s="29"/>
      <c r="E52" s="30"/>
    </row>
    <row r="53" spans="1:7" s="727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727" customFormat="1" ht="15.75" customHeight="1" x14ac:dyDescent="0.3">
      <c r="A54" s="53"/>
      <c r="B54" s="53"/>
      <c r="C54" s="53"/>
      <c r="D54" s="53"/>
      <c r="E54" s="53"/>
    </row>
    <row r="55" spans="1:7" s="727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144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5">
      <c r="A58" s="41"/>
      <c r="B58" s="651"/>
      <c r="D58" s="43"/>
      <c r="F58" s="44"/>
      <c r="G58" s="44"/>
    </row>
    <row r="59" spans="1:7" ht="15" customHeight="1" x14ac:dyDescent="0.3">
      <c r="B59" s="881" t="s">
        <v>25</v>
      </c>
      <c r="C59" s="881"/>
      <c r="D59" s="781" t="s">
        <v>26</v>
      </c>
      <c r="E59" s="781" t="s">
        <v>27</v>
      </c>
    </row>
    <row r="60" spans="1:7" ht="24.6" customHeight="1" x14ac:dyDescent="0.3">
      <c r="A60" s="47" t="s">
        <v>28</v>
      </c>
      <c r="B60" s="49"/>
      <c r="C60" s="49"/>
      <c r="D60" s="49"/>
      <c r="E60" s="49"/>
    </row>
    <row r="61" spans="1:7" ht="28.2" customHeight="1" x14ac:dyDescent="0.3">
      <c r="A61" s="47" t="s">
        <v>29</v>
      </c>
      <c r="B61" s="50"/>
      <c r="C61" s="50"/>
      <c r="D61" s="50"/>
      <c r="E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55" zoomScale="60" zoomScaleNormal="40" zoomScalePageLayoutView="60" workbookViewId="0">
      <selection activeCell="F81" sqref="F8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841" t="s">
        <v>44</v>
      </c>
      <c r="B1" s="841"/>
      <c r="C1" s="841"/>
      <c r="D1" s="841"/>
      <c r="E1" s="841"/>
      <c r="F1" s="841"/>
      <c r="G1" s="841"/>
      <c r="H1" s="841"/>
      <c r="I1" s="841"/>
    </row>
    <row r="2" spans="1:9" ht="18.75" customHeight="1" x14ac:dyDescent="0.3">
      <c r="A2" s="841"/>
      <c r="B2" s="841"/>
      <c r="C2" s="841"/>
      <c r="D2" s="841"/>
      <c r="E2" s="841"/>
      <c r="F2" s="841"/>
      <c r="G2" s="841"/>
      <c r="H2" s="841"/>
      <c r="I2" s="841"/>
    </row>
    <row r="3" spans="1:9" ht="18.75" customHeight="1" x14ac:dyDescent="0.3">
      <c r="A3" s="841"/>
      <c r="B3" s="841"/>
      <c r="C3" s="841"/>
      <c r="D3" s="841"/>
      <c r="E3" s="841"/>
      <c r="F3" s="841"/>
      <c r="G3" s="841"/>
      <c r="H3" s="841"/>
      <c r="I3" s="841"/>
    </row>
    <row r="4" spans="1:9" ht="18.75" customHeight="1" x14ac:dyDescent="0.3">
      <c r="A4" s="841"/>
      <c r="B4" s="841"/>
      <c r="C4" s="841"/>
      <c r="D4" s="841"/>
      <c r="E4" s="841"/>
      <c r="F4" s="841"/>
      <c r="G4" s="841"/>
      <c r="H4" s="841"/>
      <c r="I4" s="841"/>
    </row>
    <row r="5" spans="1:9" ht="18.75" customHeight="1" x14ac:dyDescent="0.3">
      <c r="A5" s="841"/>
      <c r="B5" s="841"/>
      <c r="C5" s="841"/>
      <c r="D5" s="841"/>
      <c r="E5" s="841"/>
      <c r="F5" s="841"/>
      <c r="G5" s="841"/>
      <c r="H5" s="841"/>
      <c r="I5" s="841"/>
    </row>
    <row r="6" spans="1:9" ht="18.75" customHeight="1" x14ac:dyDescent="0.3">
      <c r="A6" s="841"/>
      <c r="B6" s="841"/>
      <c r="C6" s="841"/>
      <c r="D6" s="841"/>
      <c r="E6" s="841"/>
      <c r="F6" s="841"/>
      <c r="G6" s="841"/>
      <c r="H6" s="841"/>
      <c r="I6" s="841"/>
    </row>
    <row r="7" spans="1:9" ht="18.75" customHeight="1" x14ac:dyDescent="0.3">
      <c r="A7" s="841"/>
      <c r="B7" s="841"/>
      <c r="C7" s="841"/>
      <c r="D7" s="841"/>
      <c r="E7" s="841"/>
      <c r="F7" s="841"/>
      <c r="G7" s="841"/>
      <c r="H7" s="841"/>
      <c r="I7" s="841"/>
    </row>
    <row r="8" spans="1:9" x14ac:dyDescent="0.3">
      <c r="A8" s="842" t="s">
        <v>45</v>
      </c>
      <c r="B8" s="842"/>
      <c r="C8" s="842"/>
      <c r="D8" s="842"/>
      <c r="E8" s="842"/>
      <c r="F8" s="842"/>
      <c r="G8" s="842"/>
      <c r="H8" s="842"/>
      <c r="I8" s="842"/>
    </row>
    <row r="9" spans="1:9" x14ac:dyDescent="0.3">
      <c r="A9" s="842"/>
      <c r="B9" s="842"/>
      <c r="C9" s="842"/>
      <c r="D9" s="842"/>
      <c r="E9" s="842"/>
      <c r="F9" s="842"/>
      <c r="G9" s="842"/>
      <c r="H9" s="842"/>
      <c r="I9" s="842"/>
    </row>
    <row r="10" spans="1:9" x14ac:dyDescent="0.3">
      <c r="A10" s="842"/>
      <c r="B10" s="842"/>
      <c r="C10" s="842"/>
      <c r="D10" s="842"/>
      <c r="E10" s="842"/>
      <c r="F10" s="842"/>
      <c r="G10" s="842"/>
      <c r="H10" s="842"/>
      <c r="I10" s="842"/>
    </row>
    <row r="11" spans="1:9" x14ac:dyDescent="0.3">
      <c r="A11" s="842"/>
      <c r="B11" s="842"/>
      <c r="C11" s="842"/>
      <c r="D11" s="842"/>
      <c r="E11" s="842"/>
      <c r="F11" s="842"/>
      <c r="G11" s="842"/>
      <c r="H11" s="842"/>
      <c r="I11" s="842"/>
    </row>
    <row r="12" spans="1:9" x14ac:dyDescent="0.3">
      <c r="A12" s="842"/>
      <c r="B12" s="842"/>
      <c r="C12" s="842"/>
      <c r="D12" s="842"/>
      <c r="E12" s="842"/>
      <c r="F12" s="842"/>
      <c r="G12" s="842"/>
      <c r="H12" s="842"/>
      <c r="I12" s="842"/>
    </row>
    <row r="13" spans="1:9" x14ac:dyDescent="0.3">
      <c r="A13" s="842"/>
      <c r="B13" s="842"/>
      <c r="C13" s="842"/>
      <c r="D13" s="842"/>
      <c r="E13" s="842"/>
      <c r="F13" s="842"/>
      <c r="G13" s="842"/>
      <c r="H13" s="842"/>
      <c r="I13" s="842"/>
    </row>
    <row r="14" spans="1:9" x14ac:dyDescent="0.3">
      <c r="A14" s="842"/>
      <c r="B14" s="842"/>
      <c r="C14" s="842"/>
      <c r="D14" s="842"/>
      <c r="E14" s="842"/>
      <c r="F14" s="842"/>
      <c r="G14" s="842"/>
      <c r="H14" s="842"/>
      <c r="I14" s="842"/>
    </row>
    <row r="15" spans="1:9" ht="19.5" customHeight="1" x14ac:dyDescent="0.35">
      <c r="A15" s="419"/>
    </row>
    <row r="16" spans="1:9" ht="19.5" customHeight="1" x14ac:dyDescent="0.35">
      <c r="A16" s="875" t="s">
        <v>30</v>
      </c>
      <c r="B16" s="876"/>
      <c r="C16" s="876"/>
      <c r="D16" s="876"/>
      <c r="E16" s="876"/>
      <c r="F16" s="876"/>
      <c r="G16" s="876"/>
      <c r="H16" s="877"/>
    </row>
    <row r="17" spans="1:14" ht="20.25" customHeight="1" x14ac:dyDescent="0.3">
      <c r="A17" s="878" t="s">
        <v>46</v>
      </c>
      <c r="B17" s="878"/>
      <c r="C17" s="878"/>
      <c r="D17" s="878"/>
      <c r="E17" s="878"/>
      <c r="F17" s="878"/>
      <c r="G17" s="878"/>
      <c r="H17" s="878"/>
    </row>
    <row r="18" spans="1:14" ht="26.25" customHeight="1" x14ac:dyDescent="0.5">
      <c r="A18" s="421" t="s">
        <v>32</v>
      </c>
      <c r="B18" s="874" t="s">
        <v>5</v>
      </c>
      <c r="C18" s="874"/>
      <c r="D18" s="586"/>
      <c r="E18" s="422"/>
      <c r="F18" s="423"/>
      <c r="G18" s="423"/>
      <c r="H18" s="423"/>
    </row>
    <row r="19" spans="1:14" ht="26.25" customHeight="1" x14ac:dyDescent="0.5">
      <c r="A19" s="421" t="s">
        <v>33</v>
      </c>
      <c r="B19" s="784" t="str">
        <f>Rifampicin!B19</f>
        <v>NDQD2016061087</v>
      </c>
      <c r="C19" s="599">
        <v>29</v>
      </c>
      <c r="D19" s="423"/>
      <c r="E19" s="423"/>
      <c r="F19" s="423"/>
      <c r="G19" s="423"/>
      <c r="H19" s="423"/>
    </row>
    <row r="20" spans="1:14" ht="26.25" customHeight="1" x14ac:dyDescent="0.5">
      <c r="A20" s="421" t="s">
        <v>34</v>
      </c>
      <c r="B20" s="882" t="s">
        <v>126</v>
      </c>
      <c r="C20" s="879"/>
      <c r="D20" s="423"/>
      <c r="E20" s="423"/>
      <c r="F20" s="423"/>
      <c r="G20" s="423"/>
      <c r="H20" s="423"/>
    </row>
    <row r="21" spans="1:14" ht="26.25" customHeight="1" x14ac:dyDescent="0.5">
      <c r="A21" s="421" t="s">
        <v>35</v>
      </c>
      <c r="B21" s="879" t="s">
        <v>10</v>
      </c>
      <c r="C21" s="879"/>
      <c r="D21" s="879"/>
      <c r="E21" s="879"/>
      <c r="F21" s="879"/>
      <c r="G21" s="879"/>
      <c r="H21" s="879"/>
      <c r="I21" s="424"/>
    </row>
    <row r="22" spans="1:14" ht="26.25" customHeight="1" x14ac:dyDescent="0.5">
      <c r="A22" s="421" t="s">
        <v>36</v>
      </c>
      <c r="B22" s="425" t="s">
        <v>11</v>
      </c>
      <c r="C22" s="423"/>
      <c r="D22" s="423"/>
      <c r="E22" s="423"/>
      <c r="F22" s="423"/>
      <c r="G22" s="423"/>
      <c r="H22" s="423"/>
    </row>
    <row r="23" spans="1:14" ht="26.25" customHeight="1" x14ac:dyDescent="0.5">
      <c r="A23" s="421" t="s">
        <v>37</v>
      </c>
      <c r="B23" s="425"/>
      <c r="C23" s="423"/>
      <c r="D23" s="423"/>
      <c r="E23" s="423"/>
      <c r="F23" s="423"/>
      <c r="G23" s="423"/>
      <c r="H23" s="423"/>
    </row>
    <row r="24" spans="1:14" ht="18" x14ac:dyDescent="0.35">
      <c r="A24" s="421"/>
      <c r="B24" s="426"/>
    </row>
    <row r="25" spans="1:14" ht="18" x14ac:dyDescent="0.35">
      <c r="A25" s="427" t="s">
        <v>1</v>
      </c>
      <c r="B25" s="426"/>
    </row>
    <row r="26" spans="1:14" ht="26.25" customHeight="1" x14ac:dyDescent="0.45">
      <c r="A26" s="428" t="s">
        <v>4</v>
      </c>
      <c r="B26" s="874" t="s">
        <v>126</v>
      </c>
      <c r="C26" s="874"/>
    </row>
    <row r="27" spans="1:14" ht="26.25" customHeight="1" x14ac:dyDescent="0.5">
      <c r="A27" s="429" t="s">
        <v>47</v>
      </c>
      <c r="B27" s="872" t="s">
        <v>130</v>
      </c>
      <c r="C27" s="872"/>
    </row>
    <row r="28" spans="1:14" ht="27" customHeight="1" x14ac:dyDescent="0.45">
      <c r="A28" s="429" t="s">
        <v>6</v>
      </c>
      <c r="B28" s="430">
        <v>99.5</v>
      </c>
    </row>
    <row r="29" spans="1:14" s="14" customFormat="1" ht="27" customHeight="1" x14ac:dyDescent="0.5">
      <c r="A29" s="429" t="s">
        <v>48</v>
      </c>
      <c r="B29" s="431">
        <v>0</v>
      </c>
      <c r="C29" s="849" t="s">
        <v>49</v>
      </c>
      <c r="D29" s="850"/>
      <c r="E29" s="850"/>
      <c r="F29" s="850"/>
      <c r="G29" s="851"/>
      <c r="I29" s="432"/>
      <c r="J29" s="432"/>
      <c r="K29" s="432"/>
      <c r="L29" s="432"/>
    </row>
    <row r="30" spans="1:14" s="14" customFormat="1" ht="19.5" customHeight="1" x14ac:dyDescent="0.35">
      <c r="A30" s="429" t="s">
        <v>50</v>
      </c>
      <c r="B30" s="433">
        <f>B28-B29</f>
        <v>99.5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14" customFormat="1" ht="27" customHeight="1" x14ac:dyDescent="0.45">
      <c r="A31" s="429" t="s">
        <v>51</v>
      </c>
      <c r="B31" s="436">
        <v>1</v>
      </c>
      <c r="C31" s="852" t="s">
        <v>52</v>
      </c>
      <c r="D31" s="853"/>
      <c r="E31" s="853"/>
      <c r="F31" s="853"/>
      <c r="G31" s="853"/>
      <c r="H31" s="854"/>
      <c r="I31" s="432"/>
      <c r="J31" s="432"/>
      <c r="K31" s="432"/>
      <c r="L31" s="432"/>
    </row>
    <row r="32" spans="1:14" s="14" customFormat="1" ht="27" customHeight="1" x14ac:dyDescent="0.45">
      <c r="A32" s="429" t="s">
        <v>53</v>
      </c>
      <c r="B32" s="436">
        <v>1</v>
      </c>
      <c r="C32" s="852" t="s">
        <v>54</v>
      </c>
      <c r="D32" s="853"/>
      <c r="E32" s="853"/>
      <c r="F32" s="853"/>
      <c r="G32" s="853"/>
      <c r="H32" s="854"/>
      <c r="I32" s="432"/>
      <c r="J32" s="432"/>
      <c r="K32" s="432"/>
      <c r="L32" s="437"/>
      <c r="M32" s="437"/>
      <c r="N32" s="438"/>
    </row>
    <row r="33" spans="1:14" s="14" customFormat="1" ht="17.25" customHeight="1" x14ac:dyDescent="0.35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14" customFormat="1" ht="18" x14ac:dyDescent="0.35">
      <c r="A34" s="429" t="s">
        <v>55</v>
      </c>
      <c r="B34" s="441">
        <f>B31/B32</f>
        <v>1</v>
      </c>
      <c r="C34" s="420" t="s">
        <v>56</v>
      </c>
      <c r="D34" s="420"/>
      <c r="E34" s="420"/>
      <c r="F34" s="420"/>
      <c r="G34" s="420"/>
      <c r="I34" s="432"/>
      <c r="J34" s="432"/>
      <c r="K34" s="432"/>
      <c r="L34" s="437"/>
      <c r="M34" s="437"/>
      <c r="N34" s="438"/>
    </row>
    <row r="35" spans="1:14" s="14" customFormat="1" ht="19.5" customHeight="1" x14ac:dyDescent="0.35">
      <c r="A35" s="429"/>
      <c r="B35" s="433"/>
      <c r="G35" s="420"/>
      <c r="I35" s="432"/>
      <c r="J35" s="432"/>
      <c r="K35" s="432"/>
      <c r="L35" s="437"/>
      <c r="M35" s="437"/>
      <c r="N35" s="438"/>
    </row>
    <row r="36" spans="1:14" s="14" customFormat="1" ht="27" customHeight="1" x14ac:dyDescent="0.45">
      <c r="A36" s="442" t="s">
        <v>57</v>
      </c>
      <c r="B36" s="443">
        <v>100</v>
      </c>
      <c r="C36" s="420"/>
      <c r="D36" s="855" t="s">
        <v>58</v>
      </c>
      <c r="E36" s="873"/>
      <c r="F36" s="855" t="s">
        <v>59</v>
      </c>
      <c r="G36" s="856"/>
      <c r="J36" s="432"/>
      <c r="K36" s="432"/>
      <c r="L36" s="437"/>
      <c r="M36" s="437"/>
      <c r="N36" s="438"/>
    </row>
    <row r="37" spans="1:14" s="14" customFormat="1" ht="27" customHeight="1" x14ac:dyDescent="0.45">
      <c r="A37" s="444" t="s">
        <v>60</v>
      </c>
      <c r="B37" s="445">
        <v>1</v>
      </c>
      <c r="C37" s="446" t="s">
        <v>61</v>
      </c>
      <c r="D37" s="447" t="s">
        <v>62</v>
      </c>
      <c r="E37" s="448" t="s">
        <v>63</v>
      </c>
      <c r="F37" s="447" t="s">
        <v>62</v>
      </c>
      <c r="G37" s="449" t="s">
        <v>63</v>
      </c>
      <c r="I37" s="450" t="s">
        <v>64</v>
      </c>
      <c r="J37" s="432"/>
      <c r="K37" s="432"/>
      <c r="L37" s="437"/>
      <c r="M37" s="437"/>
      <c r="N37" s="438"/>
    </row>
    <row r="38" spans="1:14" s="14" customFormat="1" ht="26.25" customHeight="1" x14ac:dyDescent="0.45">
      <c r="A38" s="444" t="s">
        <v>65</v>
      </c>
      <c r="B38" s="445">
        <v>1</v>
      </c>
      <c r="C38" s="451">
        <v>1</v>
      </c>
      <c r="D38" s="452">
        <v>86188438</v>
      </c>
      <c r="E38" s="453">
        <f>IF(ISBLANK(D38),"-",$D$48/$D$45*D38)</f>
        <v>93609612.121931583</v>
      </c>
      <c r="F38" s="452">
        <v>89318247</v>
      </c>
      <c r="G38" s="454">
        <f>IF(ISBLANK(F38),"-",$D$48/$F$45*F38)</f>
        <v>93575382.8780265</v>
      </c>
      <c r="I38" s="455"/>
      <c r="J38" s="432"/>
      <c r="K38" s="432"/>
      <c r="L38" s="437"/>
      <c r="M38" s="437"/>
      <c r="N38" s="438"/>
    </row>
    <row r="39" spans="1:14" s="14" customFormat="1" ht="26.25" customHeight="1" x14ac:dyDescent="0.45">
      <c r="A39" s="444" t="s">
        <v>66</v>
      </c>
      <c r="B39" s="445">
        <v>1</v>
      </c>
      <c r="C39" s="456">
        <v>2</v>
      </c>
      <c r="D39" s="457">
        <v>86369711</v>
      </c>
      <c r="E39" s="458">
        <f>IF(ISBLANK(D39),"-",$D$48/$D$45*D39)</f>
        <v>93806493.462537602</v>
      </c>
      <c r="F39" s="457">
        <v>89414104</v>
      </c>
      <c r="G39" s="459">
        <f>IF(ISBLANK(F39),"-",$D$48/$F$45*F39)</f>
        <v>93675808.667580321</v>
      </c>
      <c r="I39" s="857">
        <f>ABS((F43/D43*D42)-F42)/D42</f>
        <v>8.827051043869095E-4</v>
      </c>
      <c r="J39" s="432"/>
      <c r="K39" s="432"/>
      <c r="L39" s="437"/>
      <c r="M39" s="437"/>
      <c r="N39" s="438"/>
    </row>
    <row r="40" spans="1:14" ht="26.25" customHeight="1" x14ac:dyDescent="0.45">
      <c r="A40" s="444" t="s">
        <v>67</v>
      </c>
      <c r="B40" s="445">
        <v>1</v>
      </c>
      <c r="C40" s="456">
        <v>3</v>
      </c>
      <c r="D40" s="457">
        <v>86221795</v>
      </c>
      <c r="E40" s="458">
        <f>IF(ISBLANK(D40),"-",$D$48/$D$45*D40)</f>
        <v>93645841.294939131</v>
      </c>
      <c r="F40" s="457">
        <v>89314485</v>
      </c>
      <c r="G40" s="459">
        <f>IF(ISBLANK(F40),"-",$D$48/$F$45*F40)</f>
        <v>93571441.571493834</v>
      </c>
      <c r="I40" s="857"/>
      <c r="L40" s="437"/>
      <c r="M40" s="437"/>
      <c r="N40" s="460"/>
    </row>
    <row r="41" spans="1:14" ht="27" customHeight="1" x14ac:dyDescent="0.45">
      <c r="A41" s="444" t="s">
        <v>68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5">
      <c r="A42" s="444" t="s">
        <v>69</v>
      </c>
      <c r="B42" s="445">
        <v>1</v>
      </c>
      <c r="C42" s="466" t="s">
        <v>70</v>
      </c>
      <c r="D42" s="467">
        <f>AVERAGE(D38:D41)</f>
        <v>86259981.333333328</v>
      </c>
      <c r="E42" s="468">
        <f>AVERAGE(E38:E41)</f>
        <v>93687315.626469448</v>
      </c>
      <c r="F42" s="467">
        <f>AVERAGE(F38:F41)</f>
        <v>89348945.333333328</v>
      </c>
      <c r="G42" s="469">
        <f>AVERAGE(G38:G41)</f>
        <v>93607544.37236689</v>
      </c>
      <c r="H42" s="470"/>
    </row>
    <row r="43" spans="1:14" ht="26.25" customHeight="1" x14ac:dyDescent="0.45">
      <c r="A43" s="444" t="s">
        <v>71</v>
      </c>
      <c r="B43" s="445">
        <v>1</v>
      </c>
      <c r="C43" s="471" t="s">
        <v>72</v>
      </c>
      <c r="D43" s="472">
        <v>39.79</v>
      </c>
      <c r="E43" s="460"/>
      <c r="F43" s="472">
        <v>41.25</v>
      </c>
      <c r="H43" s="470"/>
    </row>
    <row r="44" spans="1:14" ht="26.25" customHeight="1" x14ac:dyDescent="0.45">
      <c r="A44" s="444" t="s">
        <v>73</v>
      </c>
      <c r="B44" s="445">
        <v>1</v>
      </c>
      <c r="C44" s="473" t="s">
        <v>74</v>
      </c>
      <c r="D44" s="474">
        <f>D43*$B$34</f>
        <v>39.79</v>
      </c>
      <c r="E44" s="475"/>
      <c r="F44" s="474">
        <f>F43*$B$34</f>
        <v>41.25</v>
      </c>
      <c r="H44" s="470"/>
    </row>
    <row r="45" spans="1:14" ht="19.5" customHeight="1" x14ac:dyDescent="0.35">
      <c r="A45" s="444" t="s">
        <v>75</v>
      </c>
      <c r="B45" s="476">
        <f>(B44/B43)*(B42/B41)*(B40/B39)*(B38/B37)*B36</f>
        <v>100</v>
      </c>
      <c r="C45" s="473" t="s">
        <v>76</v>
      </c>
      <c r="D45" s="477">
        <f>D44*$B$30/100</f>
        <v>39.591050000000003</v>
      </c>
      <c r="E45" s="478"/>
      <c r="F45" s="477">
        <f>F44*$B$30/100</f>
        <v>41.043750000000003</v>
      </c>
      <c r="H45" s="470"/>
    </row>
    <row r="46" spans="1:14" ht="19.5" customHeight="1" x14ac:dyDescent="0.35">
      <c r="A46" s="843" t="s">
        <v>77</v>
      </c>
      <c r="B46" s="844"/>
      <c r="C46" s="473" t="s">
        <v>78</v>
      </c>
      <c r="D46" s="479">
        <f>D45/$B$45</f>
        <v>0.39591050000000005</v>
      </c>
      <c r="E46" s="480"/>
      <c r="F46" s="481">
        <f>F45/$B$45</f>
        <v>0.41043750000000001</v>
      </c>
      <c r="H46" s="470"/>
    </row>
    <row r="47" spans="1:14" ht="27" customHeight="1" x14ac:dyDescent="0.45">
      <c r="A47" s="845"/>
      <c r="B47" s="846"/>
      <c r="C47" s="482" t="s">
        <v>79</v>
      </c>
      <c r="D47" s="483">
        <v>0.43</v>
      </c>
      <c r="E47" s="484"/>
      <c r="F47" s="480"/>
      <c r="H47" s="470"/>
    </row>
    <row r="48" spans="1:14" ht="18" x14ac:dyDescent="0.35">
      <c r="C48" s="485" t="s">
        <v>80</v>
      </c>
      <c r="D48" s="477">
        <f>D47*$B$45</f>
        <v>43</v>
      </c>
      <c r="F48" s="486"/>
      <c r="H48" s="470"/>
    </row>
    <row r="49" spans="1:12" ht="19.5" customHeight="1" x14ac:dyDescent="0.35">
      <c r="C49" s="487" t="s">
        <v>81</v>
      </c>
      <c r="D49" s="488">
        <f>D48/B34</f>
        <v>43</v>
      </c>
      <c r="F49" s="486"/>
      <c r="H49" s="470"/>
    </row>
    <row r="50" spans="1:12" ht="18" x14ac:dyDescent="0.35">
      <c r="C50" s="442" t="s">
        <v>82</v>
      </c>
      <c r="D50" s="489">
        <f>AVERAGE(E38:E41,G38:G41)</f>
        <v>93647429.999418154</v>
      </c>
      <c r="F50" s="490"/>
      <c r="H50" s="470"/>
    </row>
    <row r="51" spans="1:12" ht="18" x14ac:dyDescent="0.35">
      <c r="C51" s="444" t="s">
        <v>83</v>
      </c>
      <c r="D51" s="491">
        <f>STDEV(E38:E41,G38:G41)/D50</f>
        <v>9.3707344571629326E-4</v>
      </c>
      <c r="F51" s="490"/>
      <c r="H51" s="470"/>
    </row>
    <row r="52" spans="1:12" ht="19.5" customHeight="1" x14ac:dyDescent="0.35">
      <c r="C52" s="492" t="s">
        <v>19</v>
      </c>
      <c r="D52" s="493">
        <f>COUNT(E38:E41,G38:G41)</f>
        <v>6</v>
      </c>
      <c r="F52" s="490"/>
    </row>
    <row r="54" spans="1:12" ht="18" x14ac:dyDescent="0.35">
      <c r="A54" s="494" t="s">
        <v>1</v>
      </c>
      <c r="B54" s="495" t="s">
        <v>84</v>
      </c>
    </row>
    <row r="55" spans="1:12" ht="18" x14ac:dyDescent="0.35">
      <c r="A55" s="420" t="s">
        <v>85</v>
      </c>
      <c r="B55" s="496" t="str">
        <f>B21</f>
        <v>RIFAMPICIN 150mg, ISONIAZID 75mg, PYRAZINAMIDE 400mg &amp; ETHAMBUTOL HCl 275mg</v>
      </c>
    </row>
    <row r="56" spans="1:12" ht="26.25" customHeight="1" x14ac:dyDescent="0.45">
      <c r="A56" s="497" t="s">
        <v>86</v>
      </c>
      <c r="B56" s="498">
        <v>400</v>
      </c>
      <c r="C56" s="420" t="str">
        <f>B20</f>
        <v>PYRAZINAMIDE</v>
      </c>
      <c r="H56" s="499"/>
    </row>
    <row r="57" spans="1:12" ht="18" x14ac:dyDescent="0.35">
      <c r="A57" s="496" t="s">
        <v>87</v>
      </c>
      <c r="B57" s="587">
        <f>Isoniazid!B57</f>
        <v>1256.6105000000002</v>
      </c>
      <c r="H57" s="499"/>
    </row>
    <row r="58" spans="1:12" ht="19.5" customHeight="1" x14ac:dyDescent="0.35">
      <c r="H58" s="499"/>
    </row>
    <row r="59" spans="1:12" s="14" customFormat="1" ht="27" customHeight="1" x14ac:dyDescent="0.45">
      <c r="A59" s="442" t="s">
        <v>88</v>
      </c>
      <c r="B59" s="443">
        <v>200</v>
      </c>
      <c r="C59" s="420"/>
      <c r="D59" s="500" t="s">
        <v>89</v>
      </c>
      <c r="E59" s="501" t="s">
        <v>61</v>
      </c>
      <c r="F59" s="501" t="s">
        <v>62</v>
      </c>
      <c r="G59" s="501" t="s">
        <v>90</v>
      </c>
      <c r="H59" s="446" t="s">
        <v>91</v>
      </c>
      <c r="L59" s="432"/>
    </row>
    <row r="60" spans="1:12" s="14" customFormat="1" ht="26.25" customHeight="1" x14ac:dyDescent="0.45">
      <c r="A60" s="444" t="s">
        <v>92</v>
      </c>
      <c r="B60" s="445">
        <v>4</v>
      </c>
      <c r="C60" s="860" t="s">
        <v>93</v>
      </c>
      <c r="D60" s="863">
        <f>Isoniazid!D60</f>
        <v>1241.1300000000001</v>
      </c>
      <c r="E60" s="502">
        <v>1</v>
      </c>
      <c r="F60" s="503">
        <v>91461624</v>
      </c>
      <c r="G60" s="588">
        <f>IF(ISBLANK(F60),"-",(F60/$D$50*$D$47*$B$68)*($B$57/$D$60))</f>
        <v>425.20162114297449</v>
      </c>
      <c r="H60" s="504">
        <f t="shared" ref="H60:H71" si="0">IF(ISBLANK(F60),"-",G60/$B$56)</f>
        <v>1.0630040528574363</v>
      </c>
      <c r="L60" s="432"/>
    </row>
    <row r="61" spans="1:12" s="14" customFormat="1" ht="26.25" customHeight="1" x14ac:dyDescent="0.45">
      <c r="A61" s="444" t="s">
        <v>94</v>
      </c>
      <c r="B61" s="445">
        <v>20</v>
      </c>
      <c r="C61" s="861"/>
      <c r="D61" s="864"/>
      <c r="E61" s="505">
        <v>2</v>
      </c>
      <c r="F61" s="457">
        <v>92524723</v>
      </c>
      <c r="G61" s="589">
        <f>IF(ISBLANK(F61),"-",(F61/$D$50*$D$47*$B$68)*($B$57/$D$60))</f>
        <v>430.14392807419057</v>
      </c>
      <c r="H61" s="506">
        <f t="shared" si="0"/>
        <v>1.0753598201854764</v>
      </c>
      <c r="L61" s="432"/>
    </row>
    <row r="62" spans="1:12" s="14" customFormat="1" ht="26.25" customHeight="1" x14ac:dyDescent="0.45">
      <c r="A62" s="444" t="s">
        <v>95</v>
      </c>
      <c r="B62" s="445">
        <v>1</v>
      </c>
      <c r="C62" s="861"/>
      <c r="D62" s="864"/>
      <c r="E62" s="505">
        <v>3</v>
      </c>
      <c r="F62" s="507">
        <v>91428525</v>
      </c>
      <c r="G62" s="589">
        <f>IF(ISBLANK(F62),"-",(F62/$D$50*$D$47*$B$68)*($B$57/$D$60))</f>
        <v>425.04774514730872</v>
      </c>
      <c r="H62" s="506">
        <f t="shared" si="0"/>
        <v>1.0626193628682719</v>
      </c>
      <c r="L62" s="432"/>
    </row>
    <row r="63" spans="1:12" ht="27" customHeight="1" x14ac:dyDescent="0.45">
      <c r="A63" s="444" t="s">
        <v>96</v>
      </c>
      <c r="B63" s="445">
        <v>1</v>
      </c>
      <c r="C63" s="871"/>
      <c r="D63" s="865"/>
      <c r="E63" s="508">
        <v>4</v>
      </c>
      <c r="F63" s="509"/>
      <c r="G63" s="589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5">
      <c r="A64" s="444" t="s">
        <v>97</v>
      </c>
      <c r="B64" s="445">
        <v>1</v>
      </c>
      <c r="C64" s="860" t="s">
        <v>98</v>
      </c>
      <c r="D64" s="863">
        <f>Isoniazid!D64</f>
        <v>1210.0899999999999</v>
      </c>
      <c r="E64" s="502">
        <v>1</v>
      </c>
      <c r="F64" s="503">
        <v>90086069</v>
      </c>
      <c r="G64" s="590">
        <f>IF(ISBLANK(F64),"-",(F64/$D$50*$D$47*$B$68)*($B$57/$D$64))</f>
        <v>429.54952281070155</v>
      </c>
      <c r="H64" s="510">
        <f t="shared" si="0"/>
        <v>1.0738738070267539</v>
      </c>
    </row>
    <row r="65" spans="1:8" ht="26.25" customHeight="1" x14ac:dyDescent="0.45">
      <c r="A65" s="444" t="s">
        <v>99</v>
      </c>
      <c r="B65" s="445">
        <v>1</v>
      </c>
      <c r="C65" s="861"/>
      <c r="D65" s="864"/>
      <c r="E65" s="505">
        <v>2</v>
      </c>
      <c r="F65" s="457">
        <v>90229092</v>
      </c>
      <c r="G65" s="591">
        <f>IF(ISBLANK(F65),"-",(F65/$D$50*$D$47*$B$68)*($B$57/$D$64))</f>
        <v>430.23148687110421</v>
      </c>
      <c r="H65" s="511">
        <f t="shared" si="0"/>
        <v>1.0755787171777604</v>
      </c>
    </row>
    <row r="66" spans="1:8" ht="26.25" customHeight="1" x14ac:dyDescent="0.45">
      <c r="A66" s="444" t="s">
        <v>100</v>
      </c>
      <c r="B66" s="445">
        <v>1</v>
      </c>
      <c r="C66" s="861"/>
      <c r="D66" s="864"/>
      <c r="E66" s="505">
        <v>3</v>
      </c>
      <c r="F66" s="457">
        <v>91360206</v>
      </c>
      <c r="G66" s="591">
        <f>IF(ISBLANK(F66),"-",(F66/$D$50*$D$47*$B$68)*($B$57/$D$64))</f>
        <v>435.62487881658365</v>
      </c>
      <c r="H66" s="511">
        <f t="shared" si="0"/>
        <v>1.0890621970414591</v>
      </c>
    </row>
    <row r="67" spans="1:8" ht="27" customHeight="1" x14ac:dyDescent="0.45">
      <c r="A67" s="444" t="s">
        <v>101</v>
      </c>
      <c r="B67" s="445">
        <v>1</v>
      </c>
      <c r="C67" s="871"/>
      <c r="D67" s="865"/>
      <c r="E67" s="508">
        <v>4</v>
      </c>
      <c r="F67" s="509"/>
      <c r="G67" s="592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5">
      <c r="A68" s="444" t="s">
        <v>102</v>
      </c>
      <c r="B68" s="513">
        <f>(B67/B66)*(B65/B64)*(B63/B62)*(B61/B60)*B59</f>
        <v>1000</v>
      </c>
      <c r="C68" s="860" t="s">
        <v>103</v>
      </c>
      <c r="D68" s="863">
        <f>Isoniazid!D68</f>
        <v>1208.43</v>
      </c>
      <c r="E68" s="502">
        <v>1</v>
      </c>
      <c r="F68" s="503">
        <v>90499982</v>
      </c>
      <c r="G68" s="590">
        <f>IF(ISBLANK(F68),"-",(F68/$D$50*$D$47*$B$68)*($B$57/$D$68))</f>
        <v>432.11592406539546</v>
      </c>
      <c r="H68" s="506">
        <f t="shared" si="0"/>
        <v>1.0802898101634886</v>
      </c>
    </row>
    <row r="69" spans="1:8" ht="27" customHeight="1" x14ac:dyDescent="0.5">
      <c r="A69" s="492" t="s">
        <v>104</v>
      </c>
      <c r="B69" s="514">
        <f>(D47*B68)/B56*B57</f>
        <v>1350.8562875000002</v>
      </c>
      <c r="C69" s="861"/>
      <c r="D69" s="864"/>
      <c r="E69" s="505">
        <v>2</v>
      </c>
      <c r="F69" s="457">
        <v>90857952</v>
      </c>
      <c r="G69" s="591">
        <f>IF(ISBLANK(F69),"-",(F69/$D$50*$D$47*$B$68)*($B$57/$D$68))</f>
        <v>433.82514581239741</v>
      </c>
      <c r="H69" s="506">
        <f t="shared" si="0"/>
        <v>1.0845628645309935</v>
      </c>
    </row>
    <row r="70" spans="1:8" ht="26.25" customHeight="1" x14ac:dyDescent="0.45">
      <c r="A70" s="866" t="s">
        <v>77</v>
      </c>
      <c r="B70" s="867"/>
      <c r="C70" s="861"/>
      <c r="D70" s="864"/>
      <c r="E70" s="505">
        <v>3</v>
      </c>
      <c r="F70" s="457">
        <v>91607059</v>
      </c>
      <c r="G70" s="591">
        <f>IF(ISBLANK(F70),"-",(F70/$D$50*$D$47*$B$68)*($B$57/$D$68))</f>
        <v>437.40195385561731</v>
      </c>
      <c r="H70" s="506">
        <f t="shared" si="0"/>
        <v>1.0935048846390432</v>
      </c>
    </row>
    <row r="71" spans="1:8" ht="27" customHeight="1" x14ac:dyDescent="0.45">
      <c r="A71" s="868"/>
      <c r="B71" s="869"/>
      <c r="C71" s="862"/>
      <c r="D71" s="865"/>
      <c r="E71" s="508">
        <v>4</v>
      </c>
      <c r="F71" s="509"/>
      <c r="G71" s="592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5">
      <c r="A72" s="516"/>
      <c r="B72" s="516"/>
      <c r="C72" s="516"/>
      <c r="D72" s="516"/>
      <c r="E72" s="516"/>
      <c r="F72" s="518" t="s">
        <v>70</v>
      </c>
      <c r="G72" s="597">
        <f>AVERAGE(G60:G71)</f>
        <v>431.01580073291927</v>
      </c>
      <c r="H72" s="519">
        <f>AVERAGE(H60:H71)</f>
        <v>1.0775395018322982</v>
      </c>
    </row>
    <row r="73" spans="1:8" ht="26.25" customHeight="1" x14ac:dyDescent="0.45">
      <c r="C73" s="516"/>
      <c r="D73" s="516"/>
      <c r="E73" s="516"/>
      <c r="F73" s="520" t="s">
        <v>83</v>
      </c>
      <c r="G73" s="593">
        <f>STDEV(G60:G71)/G72</f>
        <v>9.8459808692220145E-3</v>
      </c>
      <c r="H73" s="593">
        <f>STDEV(H60:H71)/H72</f>
        <v>9.8459808692219746E-3</v>
      </c>
    </row>
    <row r="74" spans="1:8" ht="27" customHeight="1" x14ac:dyDescent="0.45">
      <c r="A74" s="516"/>
      <c r="B74" s="516"/>
      <c r="C74" s="517"/>
      <c r="D74" s="517"/>
      <c r="E74" s="521"/>
      <c r="F74" s="522" t="s">
        <v>19</v>
      </c>
      <c r="G74" s="523">
        <f>COUNT(G60:G71)</f>
        <v>9</v>
      </c>
      <c r="H74" s="523">
        <f>COUNT(H60:H71)</f>
        <v>9</v>
      </c>
    </row>
    <row r="76" spans="1:8" ht="26.25" customHeight="1" x14ac:dyDescent="0.45">
      <c r="A76" s="428" t="s">
        <v>105</v>
      </c>
      <c r="B76" s="524" t="s">
        <v>106</v>
      </c>
      <c r="C76" s="847" t="str">
        <f>B20</f>
        <v>PYRAZINAMIDE</v>
      </c>
      <c r="D76" s="847"/>
      <c r="E76" s="525" t="s">
        <v>107</v>
      </c>
      <c r="F76" s="525"/>
      <c r="G76" s="526">
        <f>H72</f>
        <v>1.0775395018322982</v>
      </c>
      <c r="H76" s="527"/>
    </row>
    <row r="77" spans="1:8" ht="18" x14ac:dyDescent="0.35">
      <c r="A77" s="427" t="s">
        <v>108</v>
      </c>
      <c r="B77" s="427" t="s">
        <v>109</v>
      </c>
    </row>
    <row r="78" spans="1:8" ht="18" x14ac:dyDescent="0.35">
      <c r="A78" s="427"/>
      <c r="B78" s="427"/>
    </row>
    <row r="79" spans="1:8" ht="26.25" customHeight="1" x14ac:dyDescent="0.45">
      <c r="A79" s="428" t="s">
        <v>4</v>
      </c>
      <c r="B79" s="870" t="str">
        <f>B26</f>
        <v>PYRAZINAMIDE</v>
      </c>
      <c r="C79" s="870"/>
    </row>
    <row r="80" spans="1:8" ht="26.25" customHeight="1" x14ac:dyDescent="0.45">
      <c r="A80" s="429" t="s">
        <v>47</v>
      </c>
      <c r="B80" s="870" t="str">
        <f>B27</f>
        <v>P19 1</v>
      </c>
      <c r="C80" s="870"/>
    </row>
    <row r="81" spans="1:12" ht="27" customHeight="1" x14ac:dyDescent="0.45">
      <c r="A81" s="429" t="s">
        <v>6</v>
      </c>
      <c r="B81" s="528">
        <f>B28</f>
        <v>99.5</v>
      </c>
    </row>
    <row r="82" spans="1:12" s="14" customFormat="1" ht="27" customHeight="1" x14ac:dyDescent="0.5">
      <c r="A82" s="429" t="s">
        <v>48</v>
      </c>
      <c r="B82" s="431">
        <v>0</v>
      </c>
      <c r="C82" s="849" t="s">
        <v>49</v>
      </c>
      <c r="D82" s="850"/>
      <c r="E82" s="850"/>
      <c r="F82" s="850"/>
      <c r="G82" s="851"/>
      <c r="I82" s="432"/>
      <c r="J82" s="432"/>
      <c r="K82" s="432"/>
      <c r="L82" s="432"/>
    </row>
    <row r="83" spans="1:12" s="14" customFormat="1" ht="19.5" customHeight="1" x14ac:dyDescent="0.35">
      <c r="A83" s="429" t="s">
        <v>50</v>
      </c>
      <c r="B83" s="433">
        <f>B81-B82</f>
        <v>99.5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14" customFormat="1" ht="27" customHeight="1" x14ac:dyDescent="0.45">
      <c r="A84" s="429" t="s">
        <v>51</v>
      </c>
      <c r="B84" s="436">
        <v>1</v>
      </c>
      <c r="C84" s="852" t="s">
        <v>110</v>
      </c>
      <c r="D84" s="853"/>
      <c r="E84" s="853"/>
      <c r="F84" s="853"/>
      <c r="G84" s="853"/>
      <c r="H84" s="854"/>
      <c r="I84" s="432"/>
      <c r="J84" s="432"/>
      <c r="K84" s="432"/>
      <c r="L84" s="432"/>
    </row>
    <row r="85" spans="1:12" s="14" customFormat="1" ht="27" customHeight="1" x14ac:dyDescent="0.45">
      <c r="A85" s="429" t="s">
        <v>53</v>
      </c>
      <c r="B85" s="436">
        <v>1</v>
      </c>
      <c r="C85" s="852" t="s">
        <v>111</v>
      </c>
      <c r="D85" s="853"/>
      <c r="E85" s="853"/>
      <c r="F85" s="853"/>
      <c r="G85" s="853"/>
      <c r="H85" s="854"/>
      <c r="I85" s="432"/>
      <c r="J85" s="432"/>
      <c r="K85" s="432"/>
      <c r="L85" s="432"/>
    </row>
    <row r="86" spans="1:12" s="14" customFormat="1" ht="18" x14ac:dyDescent="0.35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14" customFormat="1" ht="18" x14ac:dyDescent="0.35">
      <c r="A87" s="429" t="s">
        <v>55</v>
      </c>
      <c r="B87" s="441">
        <f>B84/B85</f>
        <v>1</v>
      </c>
      <c r="C87" s="420" t="s">
        <v>56</v>
      </c>
      <c r="D87" s="420"/>
      <c r="E87" s="420"/>
      <c r="F87" s="420"/>
      <c r="G87" s="420"/>
      <c r="I87" s="432"/>
      <c r="J87" s="432"/>
      <c r="K87" s="432"/>
      <c r="L87" s="432"/>
    </row>
    <row r="88" spans="1:12" ht="19.5" customHeight="1" x14ac:dyDescent="0.35">
      <c r="A88" s="427"/>
      <c r="B88" s="427"/>
    </row>
    <row r="89" spans="1:12" ht="27" customHeight="1" x14ac:dyDescent="0.45">
      <c r="A89" s="442" t="s">
        <v>57</v>
      </c>
      <c r="B89" s="443">
        <v>50</v>
      </c>
      <c r="D89" s="529" t="s">
        <v>58</v>
      </c>
      <c r="E89" s="530"/>
      <c r="F89" s="855" t="s">
        <v>59</v>
      </c>
      <c r="G89" s="856"/>
    </row>
    <row r="90" spans="1:12" ht="27" customHeight="1" x14ac:dyDescent="0.45">
      <c r="A90" s="444" t="s">
        <v>60</v>
      </c>
      <c r="B90" s="445">
        <v>25</v>
      </c>
      <c r="C90" s="531" t="s">
        <v>61</v>
      </c>
      <c r="D90" s="447" t="s">
        <v>62</v>
      </c>
      <c r="E90" s="448" t="s">
        <v>63</v>
      </c>
      <c r="F90" s="447" t="s">
        <v>62</v>
      </c>
      <c r="G90" s="532" t="s">
        <v>63</v>
      </c>
      <c r="I90" s="450" t="s">
        <v>64</v>
      </c>
    </row>
    <row r="91" spans="1:12" ht="26.25" customHeight="1" x14ac:dyDescent="0.45">
      <c r="A91" s="444" t="s">
        <v>65</v>
      </c>
      <c r="B91" s="445">
        <v>50</v>
      </c>
      <c r="C91" s="533">
        <v>1</v>
      </c>
      <c r="D91" s="633">
        <v>87340763</v>
      </c>
      <c r="E91" s="453">
        <f>IF(ISBLANK(D91),"-",$D$101/$D$98*D91)</f>
        <v>96879023.597972184</v>
      </c>
      <c r="F91" s="633">
        <v>91535546</v>
      </c>
      <c r="G91" s="454">
        <f>IF(ISBLANK(F91),"-",$D$101/$F$98*F91)</f>
        <v>96750826.753000423</v>
      </c>
      <c r="I91" s="455"/>
    </row>
    <row r="92" spans="1:12" ht="26.25" customHeight="1" x14ac:dyDescent="0.45">
      <c r="A92" s="444" t="s">
        <v>66</v>
      </c>
      <c r="B92" s="445">
        <v>1</v>
      </c>
      <c r="C92" s="517">
        <v>2</v>
      </c>
      <c r="D92" s="638">
        <v>87516591</v>
      </c>
      <c r="E92" s="458">
        <f>IF(ISBLANK(D92),"-",$D$101/$D$98*D92)</f>
        <v>97074053.322651654</v>
      </c>
      <c r="F92" s="638">
        <v>91443118</v>
      </c>
      <c r="G92" s="459">
        <f>IF(ISBLANK(F92),"-",$D$101/$F$98*F92)</f>
        <v>96653132.624261349</v>
      </c>
      <c r="I92" s="857">
        <f>ABS((F96/D96*D95)-F95)/D95</f>
        <v>1.6939018947489698E-3</v>
      </c>
    </row>
    <row r="93" spans="1:12" ht="26.25" customHeight="1" x14ac:dyDescent="0.45">
      <c r="A93" s="444" t="s">
        <v>67</v>
      </c>
      <c r="B93" s="445">
        <v>1</v>
      </c>
      <c r="C93" s="517">
        <v>3</v>
      </c>
      <c r="D93" s="638">
        <v>87320555</v>
      </c>
      <c r="E93" s="458">
        <f>IF(ISBLANK(D93),"-",$D$101/$D$98*D93)</f>
        <v>96856608.73414889</v>
      </c>
      <c r="F93" s="638">
        <v>91711040</v>
      </c>
      <c r="G93" s="459">
        <f>IF(ISBLANK(F93),"-",$D$101/$F$98*F93)</f>
        <v>96936319.606128663</v>
      </c>
      <c r="I93" s="857"/>
    </row>
    <row r="94" spans="1:12" ht="27" customHeight="1" x14ac:dyDescent="0.45">
      <c r="A94" s="444" t="s">
        <v>68</v>
      </c>
      <c r="B94" s="445">
        <v>1</v>
      </c>
      <c r="C94" s="534">
        <v>4</v>
      </c>
      <c r="D94" s="643"/>
      <c r="E94" s="463" t="str">
        <f>IF(ISBLANK(D94),"-",$D$101/$D$98*D94)</f>
        <v>-</v>
      </c>
      <c r="F94" s="643"/>
      <c r="G94" s="464" t="str">
        <f>IF(ISBLANK(F94),"-",$D$101/$F$98*F94)</f>
        <v>-</v>
      </c>
      <c r="I94" s="465"/>
    </row>
    <row r="95" spans="1:12" ht="27" customHeight="1" x14ac:dyDescent="0.45">
      <c r="A95" s="444" t="s">
        <v>69</v>
      </c>
      <c r="B95" s="445">
        <v>1</v>
      </c>
      <c r="C95" s="535" t="s">
        <v>70</v>
      </c>
      <c r="D95" s="536">
        <f>AVERAGE(D91:D94)</f>
        <v>87392636.333333328</v>
      </c>
      <c r="E95" s="468">
        <f>AVERAGE(E91:E94)</f>
        <v>96936561.884924248</v>
      </c>
      <c r="F95" s="537">
        <f>AVERAGE(F91:F94)</f>
        <v>91563234.666666672</v>
      </c>
      <c r="G95" s="538">
        <f>AVERAGE(G91:G94)</f>
        <v>96780092.994463488</v>
      </c>
    </row>
    <row r="96" spans="1:12" ht="26.25" customHeight="1" x14ac:dyDescent="0.45">
      <c r="A96" s="444" t="s">
        <v>71</v>
      </c>
      <c r="B96" s="430">
        <v>1</v>
      </c>
      <c r="C96" s="539" t="s">
        <v>112</v>
      </c>
      <c r="D96" s="540">
        <v>40.270000000000003</v>
      </c>
      <c r="E96" s="460"/>
      <c r="F96" s="472">
        <v>42.26</v>
      </c>
    </row>
    <row r="97" spans="1:10" ht="26.25" customHeight="1" x14ac:dyDescent="0.45">
      <c r="A97" s="444" t="s">
        <v>73</v>
      </c>
      <c r="B97" s="430">
        <v>1</v>
      </c>
      <c r="C97" s="541" t="s">
        <v>113</v>
      </c>
      <c r="D97" s="542">
        <f>D96*$B$87</f>
        <v>40.270000000000003</v>
      </c>
      <c r="E97" s="475"/>
      <c r="F97" s="474">
        <f>F96*$B$87</f>
        <v>42.26</v>
      </c>
    </row>
    <row r="98" spans="1:10" ht="19.5" customHeight="1" x14ac:dyDescent="0.35">
      <c r="A98" s="444" t="s">
        <v>75</v>
      </c>
      <c r="B98" s="543">
        <f>(B97/B96)*(B95/B94)*(B93/B92)*(B91/B90)*B89</f>
        <v>100</v>
      </c>
      <c r="C98" s="541" t="s">
        <v>114</v>
      </c>
      <c r="D98" s="544">
        <f>D97*$B$83/100</f>
        <v>40.068650000000005</v>
      </c>
      <c r="E98" s="478"/>
      <c r="F98" s="477">
        <f>F97*$B$83/100</f>
        <v>42.048699999999997</v>
      </c>
    </row>
    <row r="99" spans="1:10" ht="19.5" customHeight="1" x14ac:dyDescent="0.35">
      <c r="A99" s="843" t="s">
        <v>77</v>
      </c>
      <c r="B99" s="858"/>
      <c r="C99" s="541" t="s">
        <v>115</v>
      </c>
      <c r="D99" s="545">
        <f>D98/$B$98</f>
        <v>0.40068650000000006</v>
      </c>
      <c r="E99" s="478"/>
      <c r="F99" s="481">
        <f>F98/$B$98</f>
        <v>0.42048699999999994</v>
      </c>
      <c r="G99" s="546"/>
      <c r="H99" s="470"/>
    </row>
    <row r="100" spans="1:10" ht="19.5" customHeight="1" x14ac:dyDescent="0.35">
      <c r="A100" s="845"/>
      <c r="B100" s="859"/>
      <c r="C100" s="541" t="s">
        <v>79</v>
      </c>
      <c r="D100" s="547">
        <f>$B$56/$B$116</f>
        <v>0.44444444444444442</v>
      </c>
      <c r="F100" s="486"/>
      <c r="G100" s="548"/>
      <c r="H100" s="470"/>
    </row>
    <row r="101" spans="1:10" ht="18" x14ac:dyDescent="0.35">
      <c r="C101" s="541" t="s">
        <v>80</v>
      </c>
      <c r="D101" s="542">
        <f>D100*$B$98</f>
        <v>44.444444444444443</v>
      </c>
      <c r="F101" s="486"/>
      <c r="G101" s="546"/>
      <c r="H101" s="470"/>
    </row>
    <row r="102" spans="1:10" ht="19.5" customHeight="1" x14ac:dyDescent="0.35">
      <c r="C102" s="549" t="s">
        <v>81</v>
      </c>
      <c r="D102" s="550">
        <f>D101/B34</f>
        <v>44.444444444444443</v>
      </c>
      <c r="F102" s="490"/>
      <c r="G102" s="546"/>
      <c r="H102" s="470"/>
      <c r="J102" s="551"/>
    </row>
    <row r="103" spans="1:10" ht="18" x14ac:dyDescent="0.35">
      <c r="C103" s="552" t="s">
        <v>116</v>
      </c>
      <c r="D103" s="553">
        <f>AVERAGE(E91:E94,G91:G94)</f>
        <v>96858327.439693868</v>
      </c>
      <c r="F103" s="490"/>
      <c r="G103" s="554"/>
      <c r="H103" s="470"/>
      <c r="J103" s="555"/>
    </row>
    <row r="104" spans="1:10" ht="18" x14ac:dyDescent="0.35">
      <c r="C104" s="520" t="s">
        <v>83</v>
      </c>
      <c r="D104" s="556">
        <f>STDEV(E91:E94,G91:G94)/D103</f>
        <v>1.5082966173561715E-3</v>
      </c>
      <c r="F104" s="490"/>
      <c r="G104" s="546"/>
      <c r="H104" s="470"/>
      <c r="J104" s="555"/>
    </row>
    <row r="105" spans="1:10" ht="19.5" customHeight="1" x14ac:dyDescent="0.35">
      <c r="C105" s="522" t="s">
        <v>19</v>
      </c>
      <c r="D105" s="557">
        <f>COUNT(E91:E94,G91:G94)</f>
        <v>6</v>
      </c>
      <c r="F105" s="490"/>
      <c r="G105" s="546"/>
      <c r="H105" s="470"/>
      <c r="J105" s="555"/>
    </row>
    <row r="106" spans="1:10" ht="19.5" customHeight="1" x14ac:dyDescent="0.35">
      <c r="A106" s="494"/>
      <c r="B106" s="494"/>
      <c r="C106" s="494"/>
      <c r="D106" s="494"/>
      <c r="E106" s="494"/>
    </row>
    <row r="107" spans="1:10" ht="26.25" customHeight="1" x14ac:dyDescent="0.45">
      <c r="A107" s="442" t="s">
        <v>117</v>
      </c>
      <c r="B107" s="443">
        <v>900</v>
      </c>
      <c r="C107" s="558" t="s">
        <v>118</v>
      </c>
      <c r="D107" s="559" t="s">
        <v>62</v>
      </c>
      <c r="E107" s="560" t="s">
        <v>119</v>
      </c>
      <c r="F107" s="561" t="s">
        <v>120</v>
      </c>
    </row>
    <row r="108" spans="1:10" ht="26.25" customHeight="1" x14ac:dyDescent="0.45">
      <c r="A108" s="444" t="s">
        <v>121</v>
      </c>
      <c r="B108" s="445">
        <v>1</v>
      </c>
      <c r="C108" s="562">
        <v>1</v>
      </c>
      <c r="D108" s="563">
        <v>90580664</v>
      </c>
      <c r="E108" s="594">
        <f t="shared" ref="E108:E113" si="1">IF(ISBLANK(D108),"-",D108/$D$103*$D$100*$B$116)</f>
        <v>374.07486333644374</v>
      </c>
      <c r="F108" s="564">
        <f t="shared" ref="F108:F113" si="2">IF(ISBLANK(D108), "-", E108/$B$56)</f>
        <v>0.93518715834110933</v>
      </c>
    </row>
    <row r="109" spans="1:10" ht="26.25" customHeight="1" x14ac:dyDescent="0.45">
      <c r="A109" s="444" t="s">
        <v>94</v>
      </c>
      <c r="B109" s="445">
        <v>1</v>
      </c>
      <c r="C109" s="562">
        <v>2</v>
      </c>
      <c r="D109" s="563">
        <v>90602573</v>
      </c>
      <c r="E109" s="595">
        <f t="shared" si="1"/>
        <v>374.16534187589042</v>
      </c>
      <c r="F109" s="565">
        <f t="shared" si="2"/>
        <v>0.93541335468972608</v>
      </c>
    </row>
    <row r="110" spans="1:10" ht="26.25" customHeight="1" x14ac:dyDescent="0.45">
      <c r="A110" s="444" t="s">
        <v>95</v>
      </c>
      <c r="B110" s="445">
        <v>1</v>
      </c>
      <c r="C110" s="562">
        <v>3</v>
      </c>
      <c r="D110" s="563">
        <v>89652027</v>
      </c>
      <c r="E110" s="595">
        <f t="shared" si="1"/>
        <v>370.23983118361946</v>
      </c>
      <c r="F110" s="565">
        <f t="shared" si="2"/>
        <v>0.92559957795904868</v>
      </c>
    </row>
    <row r="111" spans="1:10" ht="26.25" customHeight="1" x14ac:dyDescent="0.45">
      <c r="A111" s="444" t="s">
        <v>96</v>
      </c>
      <c r="B111" s="445">
        <v>1</v>
      </c>
      <c r="C111" s="562">
        <v>4</v>
      </c>
      <c r="D111" s="563">
        <v>93099677</v>
      </c>
      <c r="E111" s="595">
        <f t="shared" si="1"/>
        <v>384.47773964697421</v>
      </c>
      <c r="F111" s="565">
        <f t="shared" si="2"/>
        <v>0.96119434911743551</v>
      </c>
    </row>
    <row r="112" spans="1:10" ht="26.25" customHeight="1" x14ac:dyDescent="0.45">
      <c r="A112" s="444" t="s">
        <v>97</v>
      </c>
      <c r="B112" s="445">
        <v>1</v>
      </c>
      <c r="C112" s="562">
        <v>5</v>
      </c>
      <c r="D112" s="563">
        <v>92591986</v>
      </c>
      <c r="E112" s="595">
        <f t="shared" si="1"/>
        <v>382.3811062921763</v>
      </c>
      <c r="F112" s="565">
        <f t="shared" si="2"/>
        <v>0.95595276573044075</v>
      </c>
    </row>
    <row r="113" spans="1:10" ht="26.25" customHeight="1" x14ac:dyDescent="0.45">
      <c r="A113" s="444" t="s">
        <v>99</v>
      </c>
      <c r="B113" s="445">
        <v>1</v>
      </c>
      <c r="C113" s="566">
        <v>6</v>
      </c>
      <c r="D113" s="567">
        <v>92633789</v>
      </c>
      <c r="E113" s="596">
        <f t="shared" si="1"/>
        <v>382.55374193891936</v>
      </c>
      <c r="F113" s="568">
        <f t="shared" si="2"/>
        <v>0.95638435484729845</v>
      </c>
    </row>
    <row r="114" spans="1:10" ht="26.25" customHeight="1" x14ac:dyDescent="0.45">
      <c r="A114" s="444" t="s">
        <v>100</v>
      </c>
      <c r="B114" s="445">
        <v>1</v>
      </c>
      <c r="C114" s="562"/>
      <c r="D114" s="517"/>
      <c r="E114" s="419"/>
      <c r="F114" s="569"/>
    </row>
    <row r="115" spans="1:10" ht="26.25" customHeight="1" x14ac:dyDescent="0.45">
      <c r="A115" s="444" t="s">
        <v>101</v>
      </c>
      <c r="B115" s="445">
        <v>1</v>
      </c>
      <c r="C115" s="562"/>
      <c r="D115" s="570" t="s">
        <v>70</v>
      </c>
      <c r="E115" s="598">
        <f>AVERAGE(E108:E113)</f>
        <v>377.98210404567061</v>
      </c>
      <c r="F115" s="571">
        <f>AVERAGE(F108:F113)</f>
        <v>0.9449552601141763</v>
      </c>
    </row>
    <row r="116" spans="1:10" ht="27" customHeight="1" x14ac:dyDescent="0.45">
      <c r="A116" s="444" t="s">
        <v>102</v>
      </c>
      <c r="B116" s="476">
        <f>(B115/B114)*(B113/B112)*(B111/B110)*(B109/B108)*B107</f>
        <v>900</v>
      </c>
      <c r="C116" s="572"/>
      <c r="D116" s="535" t="s">
        <v>83</v>
      </c>
      <c r="E116" s="573">
        <f>STDEV(E108:E113)/E115</f>
        <v>1.5526990136829419E-2</v>
      </c>
      <c r="F116" s="573">
        <f>STDEV(F108:F113)/F115</f>
        <v>1.5526990136829413E-2</v>
      </c>
      <c r="I116" s="419"/>
    </row>
    <row r="117" spans="1:10" ht="27" customHeight="1" x14ac:dyDescent="0.45">
      <c r="A117" s="843" t="s">
        <v>77</v>
      </c>
      <c r="B117" s="844"/>
      <c r="C117" s="574"/>
      <c r="D117" s="575" t="s">
        <v>19</v>
      </c>
      <c r="E117" s="576">
        <f>COUNT(E108:E113)</f>
        <v>6</v>
      </c>
      <c r="F117" s="576">
        <f>COUNT(F108:F113)</f>
        <v>6</v>
      </c>
      <c r="I117" s="419"/>
      <c r="J117" s="555"/>
    </row>
    <row r="118" spans="1:10" ht="19.5" customHeight="1" x14ac:dyDescent="0.35">
      <c r="A118" s="845"/>
      <c r="B118" s="846"/>
      <c r="C118" s="419"/>
      <c r="D118" s="419"/>
      <c r="E118" s="419"/>
      <c r="F118" s="517"/>
      <c r="G118" s="419"/>
      <c r="H118" s="419"/>
      <c r="I118" s="419"/>
    </row>
    <row r="119" spans="1:10" ht="18" x14ac:dyDescent="0.35">
      <c r="A119" s="585"/>
      <c r="B119" s="440"/>
      <c r="C119" s="419"/>
      <c r="D119" s="419"/>
      <c r="E119" s="419"/>
      <c r="F119" s="517"/>
      <c r="G119" s="419"/>
      <c r="H119" s="419"/>
      <c r="I119" s="419"/>
    </row>
    <row r="120" spans="1:10" ht="26.25" customHeight="1" x14ac:dyDescent="0.45">
      <c r="A120" s="428" t="s">
        <v>105</v>
      </c>
      <c r="B120" s="524" t="s">
        <v>122</v>
      </c>
      <c r="C120" s="847" t="str">
        <f>B20</f>
        <v>PYRAZINAMIDE</v>
      </c>
      <c r="D120" s="847"/>
      <c r="E120" s="525" t="s">
        <v>123</v>
      </c>
      <c r="F120" s="525"/>
      <c r="G120" s="526">
        <f>F115</f>
        <v>0.9449552601141763</v>
      </c>
      <c r="H120" s="419"/>
      <c r="I120" s="419"/>
    </row>
    <row r="121" spans="1:10" ht="19.5" customHeight="1" x14ac:dyDescent="0.35">
      <c r="A121" s="577"/>
      <c r="B121" s="577"/>
      <c r="C121" s="578"/>
      <c r="D121" s="578"/>
      <c r="E121" s="578"/>
      <c r="F121" s="578"/>
      <c r="G121" s="578"/>
      <c r="H121" s="578"/>
    </row>
    <row r="122" spans="1:10" ht="18" x14ac:dyDescent="0.35">
      <c r="B122" s="848" t="s">
        <v>25</v>
      </c>
      <c r="C122" s="848"/>
      <c r="E122" s="531" t="s">
        <v>26</v>
      </c>
      <c r="F122" s="579"/>
      <c r="G122" s="848" t="s">
        <v>27</v>
      </c>
      <c r="H122" s="848"/>
    </row>
    <row r="123" spans="1:10" ht="69.900000000000006" customHeight="1" x14ac:dyDescent="0.35">
      <c r="A123" s="580" t="s">
        <v>28</v>
      </c>
      <c r="B123" s="581"/>
      <c r="C123" s="581"/>
      <c r="E123" s="581"/>
      <c r="F123" s="419"/>
      <c r="G123" s="582"/>
      <c r="H123" s="582"/>
    </row>
    <row r="124" spans="1:10" ht="69.900000000000006" customHeight="1" x14ac:dyDescent="0.35">
      <c r="A124" s="580" t="s">
        <v>29</v>
      </c>
      <c r="B124" s="583"/>
      <c r="C124" s="583"/>
      <c r="E124" s="583"/>
      <c r="F124" s="419"/>
      <c r="G124" s="584"/>
      <c r="H124" s="584"/>
    </row>
    <row r="125" spans="1:10" ht="18" x14ac:dyDescent="0.35">
      <c r="A125" s="516"/>
      <c r="B125" s="516"/>
      <c r="C125" s="517"/>
      <c r="D125" s="517"/>
      <c r="E125" s="517"/>
      <c r="F125" s="521"/>
      <c r="G125" s="517"/>
      <c r="H125" s="517"/>
      <c r="I125" s="419"/>
    </row>
    <row r="126" spans="1:10" ht="18" x14ac:dyDescent="0.35">
      <c r="A126" s="516"/>
      <c r="B126" s="516"/>
      <c r="C126" s="517"/>
      <c r="D126" s="517"/>
      <c r="E126" s="517"/>
      <c r="F126" s="521"/>
      <c r="G126" s="517"/>
      <c r="H126" s="517"/>
      <c r="I126" s="419"/>
    </row>
    <row r="127" spans="1:10" ht="18" x14ac:dyDescent="0.35">
      <c r="A127" s="516"/>
      <c r="B127" s="516"/>
      <c r="C127" s="517"/>
      <c r="D127" s="517"/>
      <c r="E127" s="517"/>
      <c r="F127" s="521"/>
      <c r="G127" s="517"/>
      <c r="H127" s="517"/>
      <c r="I127" s="419"/>
    </row>
    <row r="128" spans="1:10" ht="18" x14ac:dyDescent="0.35">
      <c r="A128" s="516"/>
      <c r="B128" s="516"/>
      <c r="C128" s="517"/>
      <c r="D128" s="517"/>
      <c r="E128" s="517"/>
      <c r="F128" s="521"/>
      <c r="G128" s="517"/>
      <c r="H128" s="517"/>
      <c r="I128" s="419"/>
    </row>
    <row r="129" spans="1:9" ht="18" x14ac:dyDescent="0.35">
      <c r="A129" s="516"/>
      <c r="B129" s="516"/>
      <c r="C129" s="517"/>
      <c r="D129" s="517"/>
      <c r="E129" s="517"/>
      <c r="F129" s="521"/>
      <c r="G129" s="517"/>
      <c r="H129" s="517"/>
      <c r="I129" s="419"/>
    </row>
    <row r="130" spans="1:9" ht="18" x14ac:dyDescent="0.35">
      <c r="A130" s="516"/>
      <c r="B130" s="516"/>
      <c r="C130" s="517"/>
      <c r="D130" s="517"/>
      <c r="E130" s="517"/>
      <c r="F130" s="521"/>
      <c r="G130" s="517"/>
      <c r="H130" s="517"/>
      <c r="I130" s="419"/>
    </row>
    <row r="131" spans="1:9" ht="18" x14ac:dyDescent="0.35">
      <c r="A131" s="516"/>
      <c r="B131" s="516"/>
      <c r="C131" s="517"/>
      <c r="D131" s="517"/>
      <c r="E131" s="517"/>
      <c r="F131" s="521"/>
      <c r="G131" s="517"/>
      <c r="H131" s="517"/>
      <c r="I131" s="419"/>
    </row>
    <row r="132" spans="1:9" ht="18" x14ac:dyDescent="0.35">
      <c r="A132" s="516"/>
      <c r="B132" s="516"/>
      <c r="C132" s="517"/>
      <c r="D132" s="517"/>
      <c r="E132" s="517"/>
      <c r="F132" s="521"/>
      <c r="G132" s="517"/>
      <c r="H132" s="517"/>
      <c r="I132" s="419"/>
    </row>
    <row r="133" spans="1:9" ht="18" x14ac:dyDescent="0.35">
      <c r="A133" s="516"/>
      <c r="B133" s="516"/>
      <c r="C133" s="517"/>
      <c r="D133" s="517"/>
      <c r="E133" s="517"/>
      <c r="F133" s="521"/>
      <c r="G133" s="517"/>
      <c r="H133" s="517"/>
      <c r="I133" s="419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67" zoomScale="70" zoomScaleNormal="70" zoomScalePageLayoutView="55" workbookViewId="0">
      <selection activeCell="E81" sqref="E8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841" t="s">
        <v>44</v>
      </c>
      <c r="B1" s="841"/>
      <c r="C1" s="841"/>
      <c r="D1" s="841"/>
      <c r="E1" s="841"/>
      <c r="F1" s="841"/>
      <c r="G1" s="841"/>
      <c r="H1" s="841"/>
      <c r="I1" s="841"/>
    </row>
    <row r="2" spans="1:9" ht="18.75" customHeight="1" x14ac:dyDescent="0.3">
      <c r="A2" s="841"/>
      <c r="B2" s="841"/>
      <c r="C2" s="841"/>
      <c r="D2" s="841"/>
      <c r="E2" s="841"/>
      <c r="F2" s="841"/>
      <c r="G2" s="841"/>
      <c r="H2" s="841"/>
      <c r="I2" s="841"/>
    </row>
    <row r="3" spans="1:9" ht="18.75" customHeight="1" x14ac:dyDescent="0.3">
      <c r="A3" s="841"/>
      <c r="B3" s="841"/>
      <c r="C3" s="841"/>
      <c r="D3" s="841"/>
      <c r="E3" s="841"/>
      <c r="F3" s="841"/>
      <c r="G3" s="841"/>
      <c r="H3" s="841"/>
      <c r="I3" s="841"/>
    </row>
    <row r="4" spans="1:9" ht="18.75" customHeight="1" x14ac:dyDescent="0.3">
      <c r="A4" s="841"/>
      <c r="B4" s="841"/>
      <c r="C4" s="841"/>
      <c r="D4" s="841"/>
      <c r="E4" s="841"/>
      <c r="F4" s="841"/>
      <c r="G4" s="841"/>
      <c r="H4" s="841"/>
      <c r="I4" s="841"/>
    </row>
    <row r="5" spans="1:9" ht="18.75" customHeight="1" x14ac:dyDescent="0.3">
      <c r="A5" s="841"/>
      <c r="B5" s="841"/>
      <c r="C5" s="841"/>
      <c r="D5" s="841"/>
      <c r="E5" s="841"/>
      <c r="F5" s="841"/>
      <c r="G5" s="841"/>
      <c r="H5" s="841"/>
      <c r="I5" s="841"/>
    </row>
    <row r="6" spans="1:9" ht="18.75" customHeight="1" x14ac:dyDescent="0.3">
      <c r="A6" s="841"/>
      <c r="B6" s="841"/>
      <c r="C6" s="841"/>
      <c r="D6" s="841"/>
      <c r="E6" s="841"/>
      <c r="F6" s="841"/>
      <c r="G6" s="841"/>
      <c r="H6" s="841"/>
      <c r="I6" s="841"/>
    </row>
    <row r="7" spans="1:9" ht="18.75" customHeight="1" x14ac:dyDescent="0.3">
      <c r="A7" s="841"/>
      <c r="B7" s="841"/>
      <c r="C7" s="841"/>
      <c r="D7" s="841"/>
      <c r="E7" s="841"/>
      <c r="F7" s="841"/>
      <c r="G7" s="841"/>
      <c r="H7" s="841"/>
      <c r="I7" s="841"/>
    </row>
    <row r="8" spans="1:9" x14ac:dyDescent="0.3">
      <c r="A8" s="842" t="s">
        <v>45</v>
      </c>
      <c r="B8" s="842"/>
      <c r="C8" s="842"/>
      <c r="D8" s="842"/>
      <c r="E8" s="842"/>
      <c r="F8" s="842"/>
      <c r="G8" s="842"/>
      <c r="H8" s="842"/>
      <c r="I8" s="842"/>
    </row>
    <row r="9" spans="1:9" x14ac:dyDescent="0.3">
      <c r="A9" s="842"/>
      <c r="B9" s="842"/>
      <c r="C9" s="842"/>
      <c r="D9" s="842"/>
      <c r="E9" s="842"/>
      <c r="F9" s="842"/>
      <c r="G9" s="842"/>
      <c r="H9" s="842"/>
      <c r="I9" s="842"/>
    </row>
    <row r="10" spans="1:9" x14ac:dyDescent="0.3">
      <c r="A10" s="842"/>
      <c r="B10" s="842"/>
      <c r="C10" s="842"/>
      <c r="D10" s="842"/>
      <c r="E10" s="842"/>
      <c r="F10" s="842"/>
      <c r="G10" s="842"/>
      <c r="H10" s="842"/>
      <c r="I10" s="842"/>
    </row>
    <row r="11" spans="1:9" x14ac:dyDescent="0.3">
      <c r="A11" s="842"/>
      <c r="B11" s="842"/>
      <c r="C11" s="842"/>
      <c r="D11" s="842"/>
      <c r="E11" s="842"/>
      <c r="F11" s="842"/>
      <c r="G11" s="842"/>
      <c r="H11" s="842"/>
      <c r="I11" s="842"/>
    </row>
    <row r="12" spans="1:9" x14ac:dyDescent="0.3">
      <c r="A12" s="842"/>
      <c r="B12" s="842"/>
      <c r="C12" s="842"/>
      <c r="D12" s="842"/>
      <c r="E12" s="842"/>
      <c r="F12" s="842"/>
      <c r="G12" s="842"/>
      <c r="H12" s="842"/>
      <c r="I12" s="842"/>
    </row>
    <row r="13" spans="1:9" x14ac:dyDescent="0.3">
      <c r="A13" s="842"/>
      <c r="B13" s="842"/>
      <c r="C13" s="842"/>
      <c r="D13" s="842"/>
      <c r="E13" s="842"/>
      <c r="F13" s="842"/>
      <c r="G13" s="842"/>
      <c r="H13" s="842"/>
      <c r="I13" s="842"/>
    </row>
    <row r="14" spans="1:9" x14ac:dyDescent="0.3">
      <c r="A14" s="842"/>
      <c r="B14" s="842"/>
      <c r="C14" s="842"/>
      <c r="D14" s="842"/>
      <c r="E14" s="842"/>
      <c r="F14" s="842"/>
      <c r="G14" s="842"/>
      <c r="H14" s="842"/>
      <c r="I14" s="842"/>
    </row>
    <row r="15" spans="1:9" ht="19.5" customHeight="1" x14ac:dyDescent="0.35">
      <c r="A15" s="600"/>
    </row>
    <row r="16" spans="1:9" ht="19.5" customHeight="1" x14ac:dyDescent="0.35">
      <c r="A16" s="875" t="s">
        <v>30</v>
      </c>
      <c r="B16" s="876"/>
      <c r="C16" s="876"/>
      <c r="D16" s="876"/>
      <c r="E16" s="876"/>
      <c r="F16" s="876"/>
      <c r="G16" s="876"/>
      <c r="H16" s="877"/>
    </row>
    <row r="17" spans="1:14" ht="20.25" customHeight="1" x14ac:dyDescent="0.3">
      <c r="A17" s="878" t="s">
        <v>46</v>
      </c>
      <c r="B17" s="878"/>
      <c r="C17" s="878"/>
      <c r="D17" s="878"/>
      <c r="E17" s="878"/>
      <c r="F17" s="878"/>
      <c r="G17" s="878"/>
      <c r="H17" s="878"/>
    </row>
    <row r="18" spans="1:14" ht="26.25" customHeight="1" x14ac:dyDescent="0.5">
      <c r="A18" s="602" t="s">
        <v>32</v>
      </c>
      <c r="B18" s="832" t="s">
        <v>140</v>
      </c>
      <c r="C18" s="832"/>
      <c r="D18" s="767"/>
      <c r="E18" s="603"/>
      <c r="F18" s="604"/>
      <c r="G18" s="604"/>
      <c r="H18" s="604"/>
    </row>
    <row r="19" spans="1:14" ht="26.25" customHeight="1" x14ac:dyDescent="0.5">
      <c r="A19" s="602" t="s">
        <v>33</v>
      </c>
      <c r="B19" s="784" t="str">
        <f>Rifampicin!B19</f>
        <v>NDQD2016061087</v>
      </c>
      <c r="C19" s="780">
        <v>29</v>
      </c>
      <c r="D19" s="604"/>
      <c r="E19" s="604"/>
      <c r="F19" s="604"/>
      <c r="G19" s="604"/>
      <c r="H19" s="604"/>
    </row>
    <row r="20" spans="1:14" ht="26.25" customHeight="1" x14ac:dyDescent="0.5">
      <c r="A20" s="602" t="s">
        <v>34</v>
      </c>
      <c r="B20" s="882" t="s">
        <v>135</v>
      </c>
      <c r="C20" s="879"/>
      <c r="D20" s="604"/>
      <c r="E20" s="604"/>
      <c r="F20" s="604"/>
      <c r="G20" s="604"/>
      <c r="H20" s="604"/>
    </row>
    <row r="21" spans="1:14" ht="26.25" customHeight="1" x14ac:dyDescent="0.5">
      <c r="A21" s="602" t="s">
        <v>35</v>
      </c>
      <c r="B21" s="879" t="s">
        <v>10</v>
      </c>
      <c r="C21" s="879"/>
      <c r="D21" s="879"/>
      <c r="E21" s="879"/>
      <c r="F21" s="879"/>
      <c r="G21" s="879"/>
      <c r="H21" s="879"/>
      <c r="I21" s="605"/>
    </row>
    <row r="22" spans="1:14" ht="26.25" customHeight="1" x14ac:dyDescent="0.5">
      <c r="A22" s="602" t="s">
        <v>36</v>
      </c>
      <c r="B22" s="606" t="s">
        <v>11</v>
      </c>
      <c r="C22" s="604"/>
      <c r="D22" s="604"/>
      <c r="E22" s="604"/>
      <c r="F22" s="604"/>
      <c r="G22" s="604"/>
      <c r="H22" s="604"/>
    </row>
    <row r="23" spans="1:14" ht="26.25" customHeight="1" x14ac:dyDescent="0.5">
      <c r="A23" s="602" t="s">
        <v>37</v>
      </c>
      <c r="B23" s="606"/>
      <c r="C23" s="604"/>
      <c r="D23" s="604"/>
      <c r="E23" s="604"/>
      <c r="F23" s="604"/>
      <c r="G23" s="604"/>
      <c r="H23" s="604"/>
    </row>
    <row r="24" spans="1:14" ht="18" x14ac:dyDescent="0.35">
      <c r="A24" s="602"/>
      <c r="B24" s="607"/>
    </row>
    <row r="25" spans="1:14" ht="18" x14ac:dyDescent="0.35">
      <c r="A25" s="608" t="s">
        <v>1</v>
      </c>
      <c r="B25" s="607"/>
    </row>
    <row r="26" spans="1:14" ht="26.25" customHeight="1" x14ac:dyDescent="0.45">
      <c r="A26" s="609" t="s">
        <v>4</v>
      </c>
      <c r="B26" s="874" t="s">
        <v>127</v>
      </c>
      <c r="C26" s="874"/>
    </row>
    <row r="27" spans="1:14" ht="26.25" customHeight="1" x14ac:dyDescent="0.5">
      <c r="A27" s="610" t="s">
        <v>47</v>
      </c>
      <c r="B27" s="872" t="s">
        <v>138</v>
      </c>
      <c r="C27" s="872"/>
    </row>
    <row r="28" spans="1:14" ht="27" customHeight="1" x14ac:dyDescent="0.45">
      <c r="A28" s="610" t="s">
        <v>6</v>
      </c>
      <c r="B28" s="611">
        <v>100</v>
      </c>
    </row>
    <row r="29" spans="1:14" s="14" customFormat="1" ht="27" customHeight="1" x14ac:dyDescent="0.5">
      <c r="A29" s="610" t="s">
        <v>48</v>
      </c>
      <c r="B29" s="612">
        <v>0</v>
      </c>
      <c r="C29" s="849" t="s">
        <v>49</v>
      </c>
      <c r="D29" s="850"/>
      <c r="E29" s="850"/>
      <c r="F29" s="850"/>
      <c r="G29" s="851"/>
      <c r="I29" s="613"/>
      <c r="J29" s="613"/>
      <c r="K29" s="613"/>
      <c r="L29" s="613"/>
    </row>
    <row r="30" spans="1:14" s="14" customFormat="1" ht="19.5" customHeight="1" x14ac:dyDescent="0.35">
      <c r="A30" s="610" t="s">
        <v>50</v>
      </c>
      <c r="B30" s="614">
        <f>B28-B29</f>
        <v>100</v>
      </c>
      <c r="C30" s="615"/>
      <c r="D30" s="615"/>
      <c r="E30" s="615"/>
      <c r="F30" s="615"/>
      <c r="G30" s="616"/>
      <c r="I30" s="613"/>
      <c r="J30" s="613"/>
      <c r="K30" s="613"/>
      <c r="L30" s="613"/>
    </row>
    <row r="31" spans="1:14" s="14" customFormat="1" ht="27" customHeight="1" x14ac:dyDescent="0.45">
      <c r="A31" s="610" t="s">
        <v>51</v>
      </c>
      <c r="B31" s="617">
        <v>1</v>
      </c>
      <c r="C31" s="852" t="s">
        <v>52</v>
      </c>
      <c r="D31" s="853"/>
      <c r="E31" s="853"/>
      <c r="F31" s="853"/>
      <c r="G31" s="853"/>
      <c r="H31" s="854"/>
      <c r="I31" s="613"/>
      <c r="J31" s="613"/>
      <c r="K31" s="613"/>
      <c r="L31" s="613"/>
    </row>
    <row r="32" spans="1:14" s="14" customFormat="1" ht="27" customHeight="1" x14ac:dyDescent="0.45">
      <c r="A32" s="610" t="s">
        <v>53</v>
      </c>
      <c r="B32" s="617">
        <v>1</v>
      </c>
      <c r="C32" s="852" t="s">
        <v>54</v>
      </c>
      <c r="D32" s="853"/>
      <c r="E32" s="853"/>
      <c r="F32" s="853"/>
      <c r="G32" s="853"/>
      <c r="H32" s="854"/>
      <c r="I32" s="613"/>
      <c r="J32" s="613"/>
      <c r="K32" s="613"/>
      <c r="L32" s="618"/>
      <c r="M32" s="618"/>
      <c r="N32" s="619"/>
    </row>
    <row r="33" spans="1:14" s="14" customFormat="1" ht="17.25" customHeight="1" x14ac:dyDescent="0.35">
      <c r="A33" s="610"/>
      <c r="B33" s="620"/>
      <c r="C33" s="621"/>
      <c r="D33" s="621"/>
      <c r="E33" s="621"/>
      <c r="F33" s="621"/>
      <c r="G33" s="621"/>
      <c r="H33" s="621"/>
      <c r="I33" s="613"/>
      <c r="J33" s="613"/>
      <c r="K33" s="613"/>
      <c r="L33" s="618"/>
      <c r="M33" s="618"/>
      <c r="N33" s="619"/>
    </row>
    <row r="34" spans="1:14" s="14" customFormat="1" ht="18" x14ac:dyDescent="0.35">
      <c r="A34" s="610" t="s">
        <v>55</v>
      </c>
      <c r="B34" s="622">
        <f>B31/B32</f>
        <v>1</v>
      </c>
      <c r="C34" s="601" t="s">
        <v>56</v>
      </c>
      <c r="D34" s="601"/>
      <c r="E34" s="601"/>
      <c r="F34" s="601"/>
      <c r="G34" s="601"/>
      <c r="I34" s="613"/>
      <c r="J34" s="613"/>
      <c r="K34" s="613"/>
      <c r="L34" s="618"/>
      <c r="M34" s="618"/>
      <c r="N34" s="619"/>
    </row>
    <row r="35" spans="1:14" s="14" customFormat="1" ht="19.5" customHeight="1" x14ac:dyDescent="0.35">
      <c r="A35" s="610"/>
      <c r="B35" s="614"/>
      <c r="G35" s="601"/>
      <c r="I35" s="613"/>
      <c r="J35" s="613"/>
      <c r="K35" s="613"/>
      <c r="L35" s="618"/>
      <c r="M35" s="618"/>
      <c r="N35" s="619"/>
    </row>
    <row r="36" spans="1:14" s="14" customFormat="1" ht="27" customHeight="1" x14ac:dyDescent="0.45">
      <c r="A36" s="623" t="s">
        <v>57</v>
      </c>
      <c r="B36" s="624">
        <v>100</v>
      </c>
      <c r="C36" s="601"/>
      <c r="D36" s="855" t="s">
        <v>58</v>
      </c>
      <c r="E36" s="873"/>
      <c r="F36" s="855" t="s">
        <v>59</v>
      </c>
      <c r="G36" s="856"/>
      <c r="J36" s="613"/>
      <c r="K36" s="613"/>
      <c r="L36" s="618"/>
      <c r="M36" s="618"/>
      <c r="N36" s="619"/>
    </row>
    <row r="37" spans="1:14" s="14" customFormat="1" ht="27" customHeight="1" x14ac:dyDescent="0.45">
      <c r="A37" s="625" t="s">
        <v>60</v>
      </c>
      <c r="B37" s="626">
        <v>1</v>
      </c>
      <c r="C37" s="627" t="s">
        <v>61</v>
      </c>
      <c r="D37" s="628" t="s">
        <v>62</v>
      </c>
      <c r="E37" s="629" t="s">
        <v>63</v>
      </c>
      <c r="F37" s="628" t="s">
        <v>62</v>
      </c>
      <c r="G37" s="630" t="s">
        <v>63</v>
      </c>
      <c r="I37" s="631" t="s">
        <v>64</v>
      </c>
      <c r="J37" s="613"/>
      <c r="K37" s="613"/>
      <c r="L37" s="618"/>
      <c r="M37" s="618"/>
      <c r="N37" s="619"/>
    </row>
    <row r="38" spans="1:14" s="14" customFormat="1" ht="26.25" customHeight="1" x14ac:dyDescent="0.45">
      <c r="A38" s="625" t="s">
        <v>65</v>
      </c>
      <c r="B38" s="626">
        <v>1</v>
      </c>
      <c r="C38" s="632">
        <v>1</v>
      </c>
      <c r="D38" s="633">
        <v>33875740</v>
      </c>
      <c r="E38" s="634">
        <f>IF(ISBLANK(D38),"-",$D$48/$D$45*D38)</f>
        <v>2037025.8568851475</v>
      </c>
      <c r="F38" s="633">
        <v>26550956</v>
      </c>
      <c r="G38" s="635">
        <f>IF(ISBLANK(F38),"-",$D$48/$F$45*F38)</f>
        <v>2018316.6856708478</v>
      </c>
      <c r="I38" s="636"/>
      <c r="J38" s="613"/>
      <c r="K38" s="613"/>
      <c r="L38" s="618"/>
      <c r="M38" s="618"/>
      <c r="N38" s="619"/>
    </row>
    <row r="39" spans="1:14" s="14" customFormat="1" ht="26.25" customHeight="1" x14ac:dyDescent="0.45">
      <c r="A39" s="625" t="s">
        <v>66</v>
      </c>
      <c r="B39" s="626">
        <v>1</v>
      </c>
      <c r="C39" s="637">
        <v>2</v>
      </c>
      <c r="D39" s="638">
        <v>33798891</v>
      </c>
      <c r="E39" s="639">
        <f>IF(ISBLANK(D39),"-",$D$48/$D$45*D39)</f>
        <v>2032404.7504509923</v>
      </c>
      <c r="F39" s="638">
        <v>26460873</v>
      </c>
      <c r="G39" s="640">
        <f>IF(ISBLANK(F39),"-",$D$48/$F$45*F39)</f>
        <v>2011468.8711516536</v>
      </c>
      <c r="I39" s="857">
        <f>ABS((F43/D43*D42)-F42)/D42</f>
        <v>8.1311345639148488E-3</v>
      </c>
      <c r="J39" s="613"/>
      <c r="K39" s="613"/>
      <c r="L39" s="618"/>
      <c r="M39" s="618"/>
      <c r="N39" s="619"/>
    </row>
    <row r="40" spans="1:14" ht="26.25" customHeight="1" x14ac:dyDescent="0.45">
      <c r="A40" s="625" t="s">
        <v>67</v>
      </c>
      <c r="B40" s="626">
        <v>1</v>
      </c>
      <c r="C40" s="637">
        <v>3</v>
      </c>
      <c r="D40" s="638">
        <v>33732731</v>
      </c>
      <c r="E40" s="639">
        <f>IF(ISBLANK(D40),"-",$D$48/$D$45*D40)</f>
        <v>2028426.3980757669</v>
      </c>
      <c r="F40" s="638">
        <v>26380923</v>
      </c>
      <c r="G40" s="640">
        <f>IF(ISBLANK(F40),"-",$D$48/$F$45*F40)</f>
        <v>2005391.3340935009</v>
      </c>
      <c r="I40" s="857"/>
      <c r="L40" s="618"/>
      <c r="M40" s="618"/>
      <c r="N40" s="641"/>
    </row>
    <row r="41" spans="1:14" ht="27" customHeight="1" x14ac:dyDescent="0.45">
      <c r="A41" s="625" t="s">
        <v>68</v>
      </c>
      <c r="B41" s="626">
        <v>1</v>
      </c>
      <c r="C41" s="642">
        <v>4</v>
      </c>
      <c r="D41" s="643"/>
      <c r="E41" s="644" t="str">
        <f>IF(ISBLANK(D41),"-",$D$48/$D$45*D41)</f>
        <v>-</v>
      </c>
      <c r="F41" s="643"/>
      <c r="G41" s="645" t="str">
        <f>IF(ISBLANK(F41),"-",$D$48/$F$45*F41)</f>
        <v>-</v>
      </c>
      <c r="I41" s="646"/>
      <c r="L41" s="618"/>
      <c r="M41" s="618"/>
      <c r="N41" s="641"/>
    </row>
    <row r="42" spans="1:14" ht="27" customHeight="1" x14ac:dyDescent="0.45">
      <c r="A42" s="625" t="s">
        <v>69</v>
      </c>
      <c r="B42" s="626">
        <v>1</v>
      </c>
      <c r="C42" s="647" t="s">
        <v>70</v>
      </c>
      <c r="D42" s="648">
        <f>AVERAGE(D38:D41)</f>
        <v>33802454</v>
      </c>
      <c r="E42" s="649">
        <f>AVERAGE(E38:E41)</f>
        <v>2032619.0018039688</v>
      </c>
      <c r="F42" s="648">
        <f>AVERAGE(F38:F41)</f>
        <v>26464250.666666668</v>
      </c>
      <c r="G42" s="650">
        <f>AVERAGE(G38:G41)</f>
        <v>2011725.630305334</v>
      </c>
      <c r="H42" s="651"/>
    </row>
    <row r="43" spans="1:14" ht="26.25" customHeight="1" x14ac:dyDescent="0.45">
      <c r="A43" s="625" t="s">
        <v>71</v>
      </c>
      <c r="B43" s="626">
        <v>1</v>
      </c>
      <c r="C43" s="652" t="s">
        <v>72</v>
      </c>
      <c r="D43" s="653">
        <v>33.26</v>
      </c>
      <c r="E43" s="641"/>
      <c r="F43" s="653">
        <v>26.31</v>
      </c>
      <c r="H43" s="651"/>
    </row>
    <row r="44" spans="1:14" ht="26.25" customHeight="1" x14ac:dyDescent="0.45">
      <c r="A44" s="625" t="s">
        <v>73</v>
      </c>
      <c r="B44" s="626">
        <v>1</v>
      </c>
      <c r="C44" s="654" t="s">
        <v>74</v>
      </c>
      <c r="D44" s="655">
        <f>D43*$B$34</f>
        <v>33.26</v>
      </c>
      <c r="E44" s="656"/>
      <c r="F44" s="655">
        <f>F43*$B$34</f>
        <v>26.31</v>
      </c>
      <c r="H44" s="651"/>
    </row>
    <row r="45" spans="1:14" ht="19.5" customHeight="1" x14ac:dyDescent="0.35">
      <c r="A45" s="625" t="s">
        <v>75</v>
      </c>
      <c r="B45" s="657">
        <f>(B44/B43)*(B42/B41)*(B40/B39)*(B38/B37)*B36</f>
        <v>100</v>
      </c>
      <c r="C45" s="654" t="s">
        <v>76</v>
      </c>
      <c r="D45" s="658">
        <f>D44*$B$30/100</f>
        <v>33.26</v>
      </c>
      <c r="E45" s="659"/>
      <c r="F45" s="658">
        <f>F44*$B$30/100</f>
        <v>26.31</v>
      </c>
      <c r="H45" s="651"/>
    </row>
    <row r="46" spans="1:14" ht="19.5" customHeight="1" x14ac:dyDescent="0.35">
      <c r="A46" s="843" t="s">
        <v>77</v>
      </c>
      <c r="B46" s="844"/>
      <c r="C46" s="654" t="s">
        <v>78</v>
      </c>
      <c r="D46" s="660">
        <f>D45/$B$45</f>
        <v>0.33260000000000001</v>
      </c>
      <c r="E46" s="661"/>
      <c r="F46" s="662">
        <f>F45/$B$45</f>
        <v>0.2631</v>
      </c>
      <c r="H46" s="651"/>
    </row>
    <row r="47" spans="1:14" ht="27" customHeight="1" x14ac:dyDescent="0.45">
      <c r="A47" s="845"/>
      <c r="B47" s="846"/>
      <c r="C47" s="663" t="s">
        <v>79</v>
      </c>
      <c r="D47" s="664">
        <v>0.02</v>
      </c>
      <c r="E47" s="665"/>
      <c r="F47" s="661"/>
      <c r="H47" s="651"/>
    </row>
    <row r="48" spans="1:14" ht="18" x14ac:dyDescent="0.35">
      <c r="C48" s="666" t="s">
        <v>80</v>
      </c>
      <c r="D48" s="658">
        <f>D47*$B$45</f>
        <v>2</v>
      </c>
      <c r="F48" s="667"/>
      <c r="H48" s="651"/>
    </row>
    <row r="49" spans="1:12" ht="19.5" customHeight="1" x14ac:dyDescent="0.35">
      <c r="C49" s="668" t="s">
        <v>81</v>
      </c>
      <c r="D49" s="669">
        <f>D48/B34</f>
        <v>2</v>
      </c>
      <c r="F49" s="667"/>
      <c r="H49" s="651"/>
    </row>
    <row r="50" spans="1:12" ht="18" x14ac:dyDescent="0.35">
      <c r="C50" s="623" t="s">
        <v>82</v>
      </c>
      <c r="D50" s="670">
        <f>AVERAGE(E38:E41,G38:G41)</f>
        <v>2022172.3160546515</v>
      </c>
      <c r="F50" s="671"/>
      <c r="H50" s="651"/>
    </row>
    <row r="51" spans="1:12" ht="18" x14ac:dyDescent="0.35">
      <c r="C51" s="625" t="s">
        <v>83</v>
      </c>
      <c r="D51" s="672">
        <f>STDEV(E38:E41,G38:G41)/D50</f>
        <v>6.1585817599949791E-3</v>
      </c>
      <c r="F51" s="671"/>
      <c r="H51" s="651"/>
    </row>
    <row r="52" spans="1:12" ht="19.5" customHeight="1" x14ac:dyDescent="0.35">
      <c r="C52" s="673" t="s">
        <v>19</v>
      </c>
      <c r="D52" s="674">
        <f>COUNT(E38:E41,G38:G41)</f>
        <v>6</v>
      </c>
      <c r="F52" s="671"/>
    </row>
    <row r="54" spans="1:12" ht="18" x14ac:dyDescent="0.35">
      <c r="A54" s="675" t="s">
        <v>1</v>
      </c>
      <c r="B54" s="676" t="s">
        <v>84</v>
      </c>
    </row>
    <row r="55" spans="1:12" ht="18" x14ac:dyDescent="0.35">
      <c r="A55" s="601" t="s">
        <v>85</v>
      </c>
      <c r="B55" s="677" t="str">
        <f>B21</f>
        <v>RIFAMPICIN 150mg, ISONIAZID 75mg, PYRAZINAMIDE 400mg &amp; ETHAMBUTOL HCl 275mg</v>
      </c>
    </row>
    <row r="56" spans="1:12" ht="26.25" customHeight="1" x14ac:dyDescent="0.45">
      <c r="A56" s="678" t="s">
        <v>86</v>
      </c>
      <c r="B56" s="679">
        <v>275</v>
      </c>
      <c r="C56" s="601" t="str">
        <f>B20</f>
        <v>ETHAMBUTOL HCl</v>
      </c>
      <c r="H56" s="680"/>
    </row>
    <row r="57" spans="1:12" ht="18" x14ac:dyDescent="0.35">
      <c r="A57" s="677" t="s">
        <v>87</v>
      </c>
      <c r="B57" s="768">
        <f>Rifampicin!B57</f>
        <v>1256.6105000000002</v>
      </c>
      <c r="H57" s="680"/>
    </row>
    <row r="58" spans="1:12" ht="19.5" customHeight="1" x14ac:dyDescent="0.35">
      <c r="H58" s="680"/>
    </row>
    <row r="59" spans="1:12" s="14" customFormat="1" ht="27" customHeight="1" x14ac:dyDescent="0.45">
      <c r="A59" s="623" t="s">
        <v>88</v>
      </c>
      <c r="B59" s="624">
        <v>200</v>
      </c>
      <c r="C59" s="601"/>
      <c r="D59" s="681" t="s">
        <v>89</v>
      </c>
      <c r="E59" s="682" t="s">
        <v>61</v>
      </c>
      <c r="F59" s="682" t="s">
        <v>62</v>
      </c>
      <c r="G59" s="682" t="s">
        <v>90</v>
      </c>
      <c r="H59" s="627" t="s">
        <v>91</v>
      </c>
      <c r="L59" s="613"/>
    </row>
    <row r="60" spans="1:12" s="14" customFormat="1" ht="26.25" customHeight="1" x14ac:dyDescent="0.45">
      <c r="A60" s="625" t="s">
        <v>92</v>
      </c>
      <c r="B60" s="626">
        <v>4</v>
      </c>
      <c r="C60" s="860" t="s">
        <v>93</v>
      </c>
      <c r="D60" s="863">
        <v>1243.6600000000001</v>
      </c>
      <c r="E60" s="683">
        <v>1</v>
      </c>
      <c r="F60" s="684">
        <v>29778335</v>
      </c>
      <c r="G60" s="769">
        <f>IF(ISBLANK(F60),"-",(F60/$D$50*$D$47*$B$68)*($B$57/$D$60))</f>
        <v>297.58515622583099</v>
      </c>
      <c r="H60" s="685">
        <f t="shared" ref="H60:H71" si="0">IF(ISBLANK(F60),"-",G60/$B$56)</f>
        <v>1.0821278408212036</v>
      </c>
      <c r="L60" s="613"/>
    </row>
    <row r="61" spans="1:12" s="14" customFormat="1" ht="26.25" customHeight="1" x14ac:dyDescent="0.45">
      <c r="A61" s="625" t="s">
        <v>94</v>
      </c>
      <c r="B61" s="626">
        <v>20</v>
      </c>
      <c r="C61" s="861"/>
      <c r="D61" s="864"/>
      <c r="E61" s="686">
        <v>2</v>
      </c>
      <c r="F61" s="638">
        <v>29700458</v>
      </c>
      <c r="G61" s="770">
        <f>IF(ISBLANK(F61),"-",(F61/$D$50*$D$47*$B$68)*($B$57/$D$60))</f>
        <v>296.80690454683679</v>
      </c>
      <c r="H61" s="687">
        <f t="shared" si="0"/>
        <v>1.0792978347157702</v>
      </c>
      <c r="L61" s="613"/>
    </row>
    <row r="62" spans="1:12" s="14" customFormat="1" ht="26.25" customHeight="1" x14ac:dyDescent="0.45">
      <c r="A62" s="625" t="s">
        <v>95</v>
      </c>
      <c r="B62" s="626">
        <v>1</v>
      </c>
      <c r="C62" s="861"/>
      <c r="D62" s="864"/>
      <c r="E62" s="686">
        <v>3</v>
      </c>
      <c r="F62" s="688">
        <v>29646073</v>
      </c>
      <c r="G62" s="770">
        <f>IF(ISBLANK(F62),"-",(F62/$D$50*$D$47*$B$68)*($B$57/$D$60))</f>
        <v>296.26341651362941</v>
      </c>
      <c r="H62" s="687">
        <f t="shared" si="0"/>
        <v>1.0773215145950161</v>
      </c>
      <c r="L62" s="613"/>
    </row>
    <row r="63" spans="1:12" ht="27" customHeight="1" x14ac:dyDescent="0.45">
      <c r="A63" s="625" t="s">
        <v>96</v>
      </c>
      <c r="B63" s="626">
        <v>1</v>
      </c>
      <c r="C63" s="871"/>
      <c r="D63" s="865"/>
      <c r="E63" s="689">
        <v>4</v>
      </c>
      <c r="F63" s="690"/>
      <c r="G63" s="770" t="str">
        <f>IF(ISBLANK(F63),"-",(F63/$D$50*$D$47*$B$68)*($B$57/$D$60))</f>
        <v>-</v>
      </c>
      <c r="H63" s="687" t="str">
        <f t="shared" si="0"/>
        <v>-</v>
      </c>
    </row>
    <row r="64" spans="1:12" ht="26.25" customHeight="1" x14ac:dyDescent="0.45">
      <c r="A64" s="625" t="s">
        <v>97</v>
      </c>
      <c r="B64" s="626">
        <v>1</v>
      </c>
      <c r="C64" s="860" t="s">
        <v>98</v>
      </c>
      <c r="D64" s="863">
        <v>1259.98</v>
      </c>
      <c r="E64" s="683">
        <v>1</v>
      </c>
      <c r="F64" s="684">
        <v>29232887</v>
      </c>
      <c r="G64" s="771">
        <f>IF(ISBLANK(F64),"-",(F64/$D$50*$D$47*$B$68)*($B$57/$D$64))</f>
        <v>288.35041164021095</v>
      </c>
      <c r="H64" s="691">
        <f t="shared" si="0"/>
        <v>1.0485469514189489</v>
      </c>
    </row>
    <row r="65" spans="1:8" ht="26.25" customHeight="1" x14ac:dyDescent="0.45">
      <c r="A65" s="625" t="s">
        <v>99</v>
      </c>
      <c r="B65" s="626">
        <v>1</v>
      </c>
      <c r="C65" s="861"/>
      <c r="D65" s="864"/>
      <c r="E65" s="686">
        <v>2</v>
      </c>
      <c r="F65" s="638">
        <v>29159989</v>
      </c>
      <c r="G65" s="772">
        <f>IF(ISBLANK(F65),"-",(F65/$D$50*$D$47*$B$68)*($B$57/$D$64))</f>
        <v>287.63135271497555</v>
      </c>
      <c r="H65" s="692">
        <f t="shared" si="0"/>
        <v>1.0459321916908202</v>
      </c>
    </row>
    <row r="66" spans="1:8" ht="26.25" customHeight="1" x14ac:dyDescent="0.45">
      <c r="A66" s="625" t="s">
        <v>100</v>
      </c>
      <c r="B66" s="626">
        <v>1</v>
      </c>
      <c r="C66" s="861"/>
      <c r="D66" s="864"/>
      <c r="E66" s="686">
        <v>3</v>
      </c>
      <c r="F66" s="638">
        <v>28963259</v>
      </c>
      <c r="G66" s="772">
        <f>IF(ISBLANK(F66),"-",(F66/$D$50*$D$47*$B$68)*($B$57/$D$64))</f>
        <v>285.69082674222511</v>
      </c>
      <c r="H66" s="692">
        <f t="shared" si="0"/>
        <v>1.0388757336080914</v>
      </c>
    </row>
    <row r="67" spans="1:8" ht="27" customHeight="1" x14ac:dyDescent="0.45">
      <c r="A67" s="625" t="s">
        <v>101</v>
      </c>
      <c r="B67" s="626">
        <v>1</v>
      </c>
      <c r="C67" s="871"/>
      <c r="D67" s="865"/>
      <c r="E67" s="689">
        <v>4</v>
      </c>
      <c r="F67" s="690"/>
      <c r="G67" s="773" t="str">
        <f>IF(ISBLANK(F67),"-",(F67/$D$50*$D$47*$B$68)*($B$57/$D$64))</f>
        <v>-</v>
      </c>
      <c r="H67" s="693" t="str">
        <f t="shared" si="0"/>
        <v>-</v>
      </c>
    </row>
    <row r="68" spans="1:8" ht="26.25" customHeight="1" x14ac:dyDescent="0.5">
      <c r="A68" s="625" t="s">
        <v>102</v>
      </c>
      <c r="B68" s="694">
        <f>(B67/B66)*(B65/B64)*(B63/B62)*(B61/B60)*B59</f>
        <v>1000</v>
      </c>
      <c r="C68" s="860" t="s">
        <v>103</v>
      </c>
      <c r="D68" s="863">
        <v>1256.8</v>
      </c>
      <c r="E68" s="683">
        <v>1</v>
      </c>
      <c r="F68" s="684">
        <v>29108815</v>
      </c>
      <c r="G68" s="771">
        <f>IF(ISBLANK(F68),"-",(F68/$D$50*$D$47*$B$68)*($B$57/$D$68))</f>
        <v>287.85307511972377</v>
      </c>
      <c r="H68" s="687">
        <f t="shared" si="0"/>
        <v>1.0467384549808136</v>
      </c>
    </row>
    <row r="69" spans="1:8" ht="27" customHeight="1" x14ac:dyDescent="0.5">
      <c r="A69" s="673" t="s">
        <v>104</v>
      </c>
      <c r="B69" s="695">
        <f>(D47*B68)/B56*B57</f>
        <v>91.389854545454554</v>
      </c>
      <c r="C69" s="861"/>
      <c r="D69" s="864"/>
      <c r="E69" s="686">
        <v>2</v>
      </c>
      <c r="F69" s="638">
        <v>28964124</v>
      </c>
      <c r="G69" s="772">
        <f>IF(ISBLANK(F69),"-",(F69/$D$50*$D$47*$B$68)*($B$57/$D$68))</f>
        <v>286.42224568567957</v>
      </c>
      <c r="H69" s="687">
        <f t="shared" si="0"/>
        <v>1.0415354388570166</v>
      </c>
    </row>
    <row r="70" spans="1:8" ht="26.25" customHeight="1" x14ac:dyDescent="0.45">
      <c r="A70" s="866" t="s">
        <v>77</v>
      </c>
      <c r="B70" s="867"/>
      <c r="C70" s="861"/>
      <c r="D70" s="864"/>
      <c r="E70" s="686">
        <v>3</v>
      </c>
      <c r="F70" s="638">
        <v>28638307</v>
      </c>
      <c r="G70" s="772">
        <f>IF(ISBLANK(F70),"-",(F70/$D$50*$D$47*$B$68)*($B$57/$D$68))</f>
        <v>283.2002861048349</v>
      </c>
      <c r="H70" s="687">
        <f t="shared" si="0"/>
        <v>1.0298192221993996</v>
      </c>
    </row>
    <row r="71" spans="1:8" ht="27" customHeight="1" x14ac:dyDescent="0.45">
      <c r="A71" s="868"/>
      <c r="B71" s="869"/>
      <c r="C71" s="862"/>
      <c r="D71" s="865"/>
      <c r="E71" s="689">
        <v>4</v>
      </c>
      <c r="F71" s="690"/>
      <c r="G71" s="773" t="str">
        <f>IF(ISBLANK(F71),"-",(F71/$D$50*$D$47*$B$68)*($B$57/$D$68))</f>
        <v>-</v>
      </c>
      <c r="H71" s="696" t="str">
        <f t="shared" si="0"/>
        <v>-</v>
      </c>
    </row>
    <row r="72" spans="1:8" ht="26.25" customHeight="1" x14ac:dyDescent="0.45">
      <c r="A72" s="697"/>
      <c r="B72" s="697"/>
      <c r="C72" s="697"/>
      <c r="D72" s="697"/>
      <c r="E72" s="697"/>
      <c r="F72" s="699" t="s">
        <v>70</v>
      </c>
      <c r="G72" s="778">
        <f>AVERAGE(G60:G71)</f>
        <v>289.97818614377189</v>
      </c>
      <c r="H72" s="700">
        <f>AVERAGE(H60:H71)</f>
        <v>1.0544661314318979</v>
      </c>
    </row>
    <row r="73" spans="1:8" ht="26.25" customHeight="1" x14ac:dyDescent="0.45">
      <c r="C73" s="697"/>
      <c r="D73" s="697"/>
      <c r="E73" s="697"/>
      <c r="F73" s="701" t="s">
        <v>83</v>
      </c>
      <c r="G73" s="774">
        <f>STDEV(G60:G71)/G72</f>
        <v>1.8636492680469748E-2</v>
      </c>
      <c r="H73" s="774">
        <f>STDEV(H60:H71)/H72</f>
        <v>1.8636492680469786E-2</v>
      </c>
    </row>
    <row r="74" spans="1:8" ht="27" customHeight="1" x14ac:dyDescent="0.45">
      <c r="A74" s="697"/>
      <c r="B74" s="697"/>
      <c r="C74" s="698"/>
      <c r="D74" s="698"/>
      <c r="E74" s="702"/>
      <c r="F74" s="703" t="s">
        <v>19</v>
      </c>
      <c r="G74" s="704">
        <f>COUNT(G60:G71)</f>
        <v>9</v>
      </c>
      <c r="H74" s="704">
        <f>COUNT(H60:H71)</f>
        <v>9</v>
      </c>
    </row>
    <row r="76" spans="1:8" ht="26.25" customHeight="1" x14ac:dyDescent="0.45">
      <c r="A76" s="609" t="s">
        <v>105</v>
      </c>
      <c r="B76" s="705" t="s">
        <v>106</v>
      </c>
      <c r="C76" s="847" t="str">
        <f>B20</f>
        <v>ETHAMBUTOL HCl</v>
      </c>
      <c r="D76" s="847"/>
      <c r="E76" s="706" t="s">
        <v>107</v>
      </c>
      <c r="F76" s="706"/>
      <c r="G76" s="707">
        <f>ROUNDUP(H72,3)</f>
        <v>1.0549999999999999</v>
      </c>
      <c r="H76" s="708"/>
    </row>
    <row r="77" spans="1:8" ht="18" x14ac:dyDescent="0.35">
      <c r="A77" s="608" t="s">
        <v>108</v>
      </c>
      <c r="B77" s="608" t="s">
        <v>109</v>
      </c>
    </row>
    <row r="78" spans="1:8" ht="18" x14ac:dyDescent="0.35">
      <c r="A78" s="608"/>
      <c r="B78" s="608"/>
    </row>
    <row r="79" spans="1:8" ht="26.25" customHeight="1" x14ac:dyDescent="0.45">
      <c r="A79" s="609" t="s">
        <v>4</v>
      </c>
      <c r="B79" s="870" t="str">
        <f>B26</f>
        <v>ETHAMBUTOL HYDROCHLORIDE</v>
      </c>
      <c r="C79" s="870"/>
    </row>
    <row r="80" spans="1:8" ht="26.25" customHeight="1" x14ac:dyDescent="0.45">
      <c r="A80" s="610" t="s">
        <v>47</v>
      </c>
      <c r="B80" s="870" t="str">
        <f>B27</f>
        <v>E12 3</v>
      </c>
      <c r="C80" s="870"/>
    </row>
    <row r="81" spans="1:12" ht="27" customHeight="1" x14ac:dyDescent="0.45">
      <c r="A81" s="610" t="s">
        <v>6</v>
      </c>
      <c r="B81" s="709">
        <f>B28</f>
        <v>100</v>
      </c>
    </row>
    <row r="82" spans="1:12" s="14" customFormat="1" ht="27" customHeight="1" x14ac:dyDescent="0.5">
      <c r="A82" s="610" t="s">
        <v>48</v>
      </c>
      <c r="B82" s="612">
        <v>0</v>
      </c>
      <c r="C82" s="849" t="s">
        <v>49</v>
      </c>
      <c r="D82" s="850"/>
      <c r="E82" s="850"/>
      <c r="F82" s="850"/>
      <c r="G82" s="851"/>
      <c r="I82" s="613"/>
      <c r="J82" s="613"/>
      <c r="K82" s="613"/>
      <c r="L82" s="613"/>
    </row>
    <row r="83" spans="1:12" s="14" customFormat="1" ht="19.5" customHeight="1" x14ac:dyDescent="0.35">
      <c r="A83" s="610" t="s">
        <v>50</v>
      </c>
      <c r="B83" s="614">
        <f>B81-B82</f>
        <v>100</v>
      </c>
      <c r="C83" s="615"/>
      <c r="D83" s="615"/>
      <c r="E83" s="615"/>
      <c r="F83" s="615"/>
      <c r="G83" s="616"/>
      <c r="I83" s="613"/>
      <c r="J83" s="613"/>
      <c r="K83" s="613"/>
      <c r="L83" s="613"/>
    </row>
    <row r="84" spans="1:12" s="14" customFormat="1" ht="27" customHeight="1" x14ac:dyDescent="0.45">
      <c r="A84" s="610" t="s">
        <v>51</v>
      </c>
      <c r="B84" s="617">
        <v>1</v>
      </c>
      <c r="C84" s="852" t="s">
        <v>110</v>
      </c>
      <c r="D84" s="853"/>
      <c r="E84" s="853"/>
      <c r="F84" s="853"/>
      <c r="G84" s="853"/>
      <c r="H84" s="854"/>
      <c r="I84" s="613"/>
      <c r="J84" s="613"/>
      <c r="K84" s="613"/>
      <c r="L84" s="613"/>
    </row>
    <row r="85" spans="1:12" s="14" customFormat="1" ht="27" customHeight="1" x14ac:dyDescent="0.45">
      <c r="A85" s="610" t="s">
        <v>53</v>
      </c>
      <c r="B85" s="617">
        <v>1</v>
      </c>
      <c r="C85" s="852" t="s">
        <v>111</v>
      </c>
      <c r="D85" s="853"/>
      <c r="E85" s="853"/>
      <c r="F85" s="853"/>
      <c r="G85" s="853"/>
      <c r="H85" s="854"/>
      <c r="I85" s="613"/>
      <c r="J85" s="613"/>
      <c r="K85" s="613"/>
      <c r="L85" s="613"/>
    </row>
    <row r="86" spans="1:12" s="14" customFormat="1" ht="18" x14ac:dyDescent="0.35">
      <c r="A86" s="610"/>
      <c r="B86" s="620"/>
      <c r="C86" s="621"/>
      <c r="D86" s="621"/>
      <c r="E86" s="621"/>
      <c r="F86" s="621"/>
      <c r="G86" s="621"/>
      <c r="H86" s="621"/>
      <c r="I86" s="613"/>
      <c r="J86" s="613"/>
      <c r="K86" s="613"/>
      <c r="L86" s="613"/>
    </row>
    <row r="87" spans="1:12" s="14" customFormat="1" ht="18" x14ac:dyDescent="0.35">
      <c r="A87" s="610" t="s">
        <v>55</v>
      </c>
      <c r="B87" s="622">
        <f>B84/B85</f>
        <v>1</v>
      </c>
      <c r="C87" s="601" t="s">
        <v>56</v>
      </c>
      <c r="D87" s="601"/>
      <c r="E87" s="601"/>
      <c r="F87" s="601"/>
      <c r="G87" s="601"/>
      <c r="I87" s="613"/>
      <c r="J87" s="613"/>
      <c r="K87" s="613"/>
      <c r="L87" s="613"/>
    </row>
    <row r="88" spans="1:12" ht="19.5" customHeight="1" x14ac:dyDescent="0.35">
      <c r="A88" s="608"/>
      <c r="B88" s="608"/>
    </row>
    <row r="89" spans="1:12" ht="27" customHeight="1" x14ac:dyDescent="0.45">
      <c r="A89" s="623" t="s">
        <v>57</v>
      </c>
      <c r="B89" s="624">
        <v>100</v>
      </c>
      <c r="D89" s="710" t="s">
        <v>58</v>
      </c>
      <c r="E89" s="711"/>
      <c r="F89" s="855" t="s">
        <v>59</v>
      </c>
      <c r="G89" s="856"/>
    </row>
    <row r="90" spans="1:12" ht="27" customHeight="1" x14ac:dyDescent="0.45">
      <c r="A90" s="625" t="s">
        <v>60</v>
      </c>
      <c r="B90" s="626">
        <v>1</v>
      </c>
      <c r="C90" s="712" t="s">
        <v>61</v>
      </c>
      <c r="D90" s="628" t="s">
        <v>62</v>
      </c>
      <c r="E90" s="629" t="s">
        <v>63</v>
      </c>
      <c r="F90" s="628" t="s">
        <v>62</v>
      </c>
      <c r="G90" s="713" t="s">
        <v>63</v>
      </c>
      <c r="I90" s="631" t="s">
        <v>64</v>
      </c>
    </row>
    <row r="91" spans="1:12" ht="26.25" customHeight="1" x14ac:dyDescent="0.45">
      <c r="A91" s="625" t="s">
        <v>65</v>
      </c>
      <c r="B91" s="626">
        <v>1</v>
      </c>
      <c r="C91" s="714">
        <v>1</v>
      </c>
      <c r="D91" s="633">
        <v>33875740</v>
      </c>
      <c r="E91" s="634">
        <f>IF(ISBLANK(D91),"-",$D$101/$D$98*D91)</f>
        <v>31121228.369078644</v>
      </c>
      <c r="F91" s="633">
        <v>26550956</v>
      </c>
      <c r="G91" s="635">
        <f>IF(ISBLANK(F91),"-",$D$101/$F$98*F91)</f>
        <v>30835393.808860175</v>
      </c>
      <c r="I91" s="636"/>
    </row>
    <row r="92" spans="1:12" ht="26.25" customHeight="1" x14ac:dyDescent="0.45">
      <c r="A92" s="625" t="s">
        <v>66</v>
      </c>
      <c r="B92" s="626">
        <v>1</v>
      </c>
      <c r="C92" s="698">
        <v>2</v>
      </c>
      <c r="D92" s="638">
        <v>33798891</v>
      </c>
      <c r="E92" s="639">
        <f>IF(ISBLANK(D92),"-",$D$101/$D$98*D92)</f>
        <v>31050628.131890163</v>
      </c>
      <c r="F92" s="638">
        <v>26460873</v>
      </c>
      <c r="G92" s="640">
        <f>IF(ISBLANK(F92),"-",$D$101/$F$98*F92)</f>
        <v>30730774.420372486</v>
      </c>
      <c r="I92" s="857">
        <f>ABS((F96/D96*D95)-F95)/D95</f>
        <v>8.1311345639148488E-3</v>
      </c>
    </row>
    <row r="93" spans="1:12" ht="26.25" customHeight="1" x14ac:dyDescent="0.45">
      <c r="A93" s="625" t="s">
        <v>67</v>
      </c>
      <c r="B93" s="626">
        <v>1</v>
      </c>
      <c r="C93" s="698">
        <v>3</v>
      </c>
      <c r="D93" s="638">
        <v>33732731</v>
      </c>
      <c r="E93" s="639">
        <f>IF(ISBLANK(D93),"-",$D$101/$D$98*D93)</f>
        <v>30989847.748379774</v>
      </c>
      <c r="F93" s="638">
        <v>26380923</v>
      </c>
      <c r="G93" s="640">
        <f>IF(ISBLANK(F93),"-",$D$101/$F$98*F93)</f>
        <v>30637923.15976182</v>
      </c>
      <c r="I93" s="857"/>
    </row>
    <row r="94" spans="1:12" ht="27" customHeight="1" x14ac:dyDescent="0.45">
      <c r="A94" s="625" t="s">
        <v>68</v>
      </c>
      <c r="B94" s="626">
        <v>1</v>
      </c>
      <c r="C94" s="715">
        <v>4</v>
      </c>
      <c r="D94" s="643"/>
      <c r="E94" s="644" t="str">
        <f>IF(ISBLANK(D94),"-",$D$101/$D$98*D94)</f>
        <v>-</v>
      </c>
      <c r="F94" s="643"/>
      <c r="G94" s="645" t="str">
        <f>IF(ISBLANK(F94),"-",$D$101/$F$98*F94)</f>
        <v>-</v>
      </c>
      <c r="I94" s="646"/>
    </row>
    <row r="95" spans="1:12" ht="27" customHeight="1" x14ac:dyDescent="0.45">
      <c r="A95" s="625" t="s">
        <v>69</v>
      </c>
      <c r="B95" s="626">
        <v>1</v>
      </c>
      <c r="C95" s="716" t="s">
        <v>70</v>
      </c>
      <c r="D95" s="717">
        <f>AVERAGE(D91:D94)</f>
        <v>33802454</v>
      </c>
      <c r="E95" s="649">
        <f>AVERAGE(E91:E94)</f>
        <v>31053901.416449528</v>
      </c>
      <c r="F95" s="718">
        <f>AVERAGE(F91:F94)</f>
        <v>26464250.666666668</v>
      </c>
      <c r="G95" s="719">
        <f>AVERAGE(G91:G94)</f>
        <v>30734697.129664827</v>
      </c>
    </row>
    <row r="96" spans="1:12" ht="26.25" customHeight="1" x14ac:dyDescent="0.45">
      <c r="A96" s="625" t="s">
        <v>71</v>
      </c>
      <c r="B96" s="611">
        <v>1</v>
      </c>
      <c r="C96" s="720" t="s">
        <v>112</v>
      </c>
      <c r="D96" s="721">
        <f>D43</f>
        <v>33.26</v>
      </c>
      <c r="E96" s="641"/>
      <c r="F96" s="653">
        <f>F43</f>
        <v>26.31</v>
      </c>
    </row>
    <row r="97" spans="1:10" ht="26.25" customHeight="1" x14ac:dyDescent="0.45">
      <c r="A97" s="625" t="s">
        <v>73</v>
      </c>
      <c r="B97" s="611">
        <v>1</v>
      </c>
      <c r="C97" s="722" t="s">
        <v>113</v>
      </c>
      <c r="D97" s="723">
        <f>D96*$B$87</f>
        <v>33.26</v>
      </c>
      <c r="E97" s="656"/>
      <c r="F97" s="655">
        <f>F96*$B$87</f>
        <v>26.31</v>
      </c>
    </row>
    <row r="98" spans="1:10" ht="19.5" customHeight="1" x14ac:dyDescent="0.35">
      <c r="A98" s="625" t="s">
        <v>75</v>
      </c>
      <c r="B98" s="724">
        <f>(B97/B96)*(B95/B94)*(B93/B92)*(B91/B90)*B89</f>
        <v>100</v>
      </c>
      <c r="C98" s="722" t="s">
        <v>114</v>
      </c>
      <c r="D98" s="725">
        <f>D97*$B$83/100</f>
        <v>33.26</v>
      </c>
      <c r="E98" s="659"/>
      <c r="F98" s="658">
        <f>F97*$B$83/100</f>
        <v>26.31</v>
      </c>
    </row>
    <row r="99" spans="1:10" ht="19.5" customHeight="1" x14ac:dyDescent="0.35">
      <c r="A99" s="843" t="s">
        <v>77</v>
      </c>
      <c r="B99" s="858"/>
      <c r="C99" s="722" t="s">
        <v>115</v>
      </c>
      <c r="D99" s="726">
        <f>D98/$B$98</f>
        <v>0.33260000000000001</v>
      </c>
      <c r="E99" s="659"/>
      <c r="F99" s="662">
        <f>F98/$B$98</f>
        <v>0.2631</v>
      </c>
      <c r="G99" s="727"/>
      <c r="H99" s="651"/>
    </row>
    <row r="100" spans="1:10" ht="19.5" customHeight="1" x14ac:dyDescent="0.35">
      <c r="A100" s="845"/>
      <c r="B100" s="859"/>
      <c r="C100" s="722" t="s">
        <v>79</v>
      </c>
      <c r="D100" s="728">
        <f>$B$56/$B$116</f>
        <v>0.30555555555555558</v>
      </c>
      <c r="F100" s="667"/>
      <c r="G100" s="729"/>
      <c r="H100" s="651"/>
    </row>
    <row r="101" spans="1:10" ht="18" x14ac:dyDescent="0.35">
      <c r="C101" s="722" t="s">
        <v>80</v>
      </c>
      <c r="D101" s="723">
        <f>D100*$B$98</f>
        <v>30.555555555555557</v>
      </c>
      <c r="F101" s="667"/>
      <c r="G101" s="727"/>
      <c r="H101" s="651"/>
    </row>
    <row r="102" spans="1:10" ht="19.5" customHeight="1" x14ac:dyDescent="0.35">
      <c r="C102" s="730" t="s">
        <v>81</v>
      </c>
      <c r="D102" s="731">
        <f>D101/B34</f>
        <v>30.555555555555557</v>
      </c>
      <c r="F102" s="671"/>
      <c r="G102" s="727"/>
      <c r="H102" s="651"/>
      <c r="J102" s="732"/>
    </row>
    <row r="103" spans="1:10" ht="18" x14ac:dyDescent="0.35">
      <c r="C103" s="733" t="s">
        <v>116</v>
      </c>
      <c r="D103" s="734">
        <f>AVERAGE(E91:E94,G91:G94)</f>
        <v>30894299.273057178</v>
      </c>
      <c r="F103" s="671"/>
      <c r="G103" s="735"/>
      <c r="H103" s="651"/>
      <c r="J103" s="736"/>
    </row>
    <row r="104" spans="1:10" ht="18" x14ac:dyDescent="0.35">
      <c r="C104" s="701" t="s">
        <v>83</v>
      </c>
      <c r="D104" s="737">
        <f>STDEV(E91:E94,G91:G94)/D103</f>
        <v>6.1585817599949955E-3</v>
      </c>
      <c r="F104" s="671"/>
      <c r="G104" s="727"/>
      <c r="H104" s="651"/>
      <c r="J104" s="736"/>
    </row>
    <row r="105" spans="1:10" ht="19.5" customHeight="1" x14ac:dyDescent="0.35">
      <c r="C105" s="703" t="s">
        <v>19</v>
      </c>
      <c r="D105" s="738">
        <f>COUNT(E91:E94,G91:G94)</f>
        <v>6</v>
      </c>
      <c r="F105" s="671"/>
      <c r="G105" s="727"/>
      <c r="H105" s="651"/>
      <c r="J105" s="736"/>
    </row>
    <row r="106" spans="1:10" ht="19.5" customHeight="1" x14ac:dyDescent="0.35">
      <c r="A106" s="675"/>
      <c r="B106" s="675"/>
      <c r="C106" s="675"/>
      <c r="D106" s="675"/>
      <c r="E106" s="675"/>
    </row>
    <row r="107" spans="1:10" ht="26.25" customHeight="1" x14ac:dyDescent="0.45">
      <c r="A107" s="623" t="s">
        <v>117</v>
      </c>
      <c r="B107" s="624">
        <v>900</v>
      </c>
      <c r="C107" s="739" t="s">
        <v>118</v>
      </c>
      <c r="D107" s="740" t="s">
        <v>62</v>
      </c>
      <c r="E107" s="741" t="s">
        <v>119</v>
      </c>
      <c r="F107" s="742" t="s">
        <v>120</v>
      </c>
    </row>
    <row r="108" spans="1:10" ht="26.25" customHeight="1" x14ac:dyDescent="0.45">
      <c r="A108" s="625" t="s">
        <v>121</v>
      </c>
      <c r="B108" s="626">
        <v>1</v>
      </c>
      <c r="C108" s="743">
        <v>1</v>
      </c>
      <c r="D108" s="744">
        <v>29671716</v>
      </c>
      <c r="E108" s="775">
        <f t="shared" ref="E108:E113" si="1">IF(ISBLANK(D108),"-",D108/$D$103*$D$100*$B$116)</f>
        <v>264.11739680129494</v>
      </c>
      <c r="F108" s="745">
        <f t="shared" ref="F108:F113" si="2">IF(ISBLANK(D108), "-", E108/$B$56)</f>
        <v>0.96042689745925436</v>
      </c>
    </row>
    <row r="109" spans="1:10" ht="26.25" customHeight="1" x14ac:dyDescent="0.45">
      <c r="A109" s="625" t="s">
        <v>94</v>
      </c>
      <c r="B109" s="626">
        <v>1</v>
      </c>
      <c r="C109" s="743">
        <v>2</v>
      </c>
      <c r="D109" s="744">
        <v>29611752</v>
      </c>
      <c r="E109" s="776">
        <f t="shared" si="1"/>
        <v>263.58363813422653</v>
      </c>
      <c r="F109" s="746">
        <f t="shared" si="2"/>
        <v>0.95848595685173288</v>
      </c>
    </row>
    <row r="110" spans="1:10" ht="26.25" customHeight="1" x14ac:dyDescent="0.45">
      <c r="A110" s="625" t="s">
        <v>95</v>
      </c>
      <c r="B110" s="626">
        <v>1</v>
      </c>
      <c r="C110" s="743">
        <v>3</v>
      </c>
      <c r="D110" s="744">
        <v>29588679</v>
      </c>
      <c r="E110" s="776">
        <f t="shared" si="1"/>
        <v>263.37825801073126</v>
      </c>
      <c r="F110" s="746">
        <f t="shared" si="2"/>
        <v>0.95773912003902273</v>
      </c>
    </row>
    <row r="111" spans="1:10" ht="26.25" customHeight="1" x14ac:dyDescent="0.45">
      <c r="A111" s="625" t="s">
        <v>96</v>
      </c>
      <c r="B111" s="626">
        <v>1</v>
      </c>
      <c r="C111" s="743">
        <v>4</v>
      </c>
      <c r="D111" s="744">
        <v>29451854</v>
      </c>
      <c r="E111" s="776">
        <f t="shared" si="1"/>
        <v>262.16033509662219</v>
      </c>
      <c r="F111" s="746">
        <f t="shared" si="2"/>
        <v>0.95331030944226247</v>
      </c>
    </row>
    <row r="112" spans="1:10" ht="26.25" customHeight="1" x14ac:dyDescent="0.45">
      <c r="A112" s="625" t="s">
        <v>97</v>
      </c>
      <c r="B112" s="626">
        <v>1</v>
      </c>
      <c r="C112" s="743">
        <v>5</v>
      </c>
      <c r="D112" s="744">
        <v>29519114</v>
      </c>
      <c r="E112" s="776">
        <f t="shared" si="1"/>
        <v>262.75903778401835</v>
      </c>
      <c r="F112" s="746">
        <f t="shared" si="2"/>
        <v>0.95548741012370308</v>
      </c>
    </row>
    <row r="113" spans="1:10" ht="26.25" customHeight="1" x14ac:dyDescent="0.45">
      <c r="A113" s="625" t="s">
        <v>99</v>
      </c>
      <c r="B113" s="626">
        <v>1</v>
      </c>
      <c r="C113" s="747">
        <v>6</v>
      </c>
      <c r="D113" s="748">
        <v>29484655</v>
      </c>
      <c r="E113" s="777">
        <f t="shared" si="1"/>
        <v>262.45230724722109</v>
      </c>
      <c r="F113" s="749">
        <f t="shared" si="2"/>
        <v>0.95437202635353124</v>
      </c>
    </row>
    <row r="114" spans="1:10" ht="26.25" customHeight="1" x14ac:dyDescent="0.45">
      <c r="A114" s="625" t="s">
        <v>100</v>
      </c>
      <c r="B114" s="626">
        <v>1</v>
      </c>
      <c r="C114" s="743"/>
      <c r="D114" s="698"/>
      <c r="E114" s="600"/>
      <c r="F114" s="750"/>
    </row>
    <row r="115" spans="1:10" ht="26.25" customHeight="1" x14ac:dyDescent="0.45">
      <c r="A115" s="625" t="s">
        <v>101</v>
      </c>
      <c r="B115" s="626">
        <v>1</v>
      </c>
      <c r="C115" s="743"/>
      <c r="D115" s="751" t="s">
        <v>70</v>
      </c>
      <c r="E115" s="779">
        <f>AVERAGE(E108:E113)</f>
        <v>263.07516217901906</v>
      </c>
      <c r="F115" s="752">
        <f>AVERAGE(F108:F113)</f>
        <v>0.95663695337825105</v>
      </c>
    </row>
    <row r="116" spans="1:10" ht="27" customHeight="1" x14ac:dyDescent="0.45">
      <c r="A116" s="625" t="s">
        <v>102</v>
      </c>
      <c r="B116" s="657">
        <f>(B115/B114)*(B113/B112)*(B111/B110)*(B109/B108)*B107</f>
        <v>900</v>
      </c>
      <c r="C116" s="753"/>
      <c r="D116" s="716" t="s">
        <v>83</v>
      </c>
      <c r="E116" s="754">
        <f>STDEV(E108:E113)/E115</f>
        <v>2.8249091187358406E-3</v>
      </c>
      <c r="F116" s="754">
        <f>STDEV(F108:F113)/F115</f>
        <v>2.8249091187358536E-3</v>
      </c>
      <c r="I116" s="600"/>
    </row>
    <row r="117" spans="1:10" ht="27" customHeight="1" x14ac:dyDescent="0.45">
      <c r="A117" s="843" t="s">
        <v>77</v>
      </c>
      <c r="B117" s="844"/>
      <c r="C117" s="755"/>
      <c r="D117" s="756" t="s">
        <v>19</v>
      </c>
      <c r="E117" s="757">
        <f>COUNT(E108:E113)</f>
        <v>6</v>
      </c>
      <c r="F117" s="757">
        <f>COUNT(F108:F113)</f>
        <v>6</v>
      </c>
      <c r="I117" s="600"/>
      <c r="J117" s="736"/>
    </row>
    <row r="118" spans="1:10" ht="19.5" customHeight="1" x14ac:dyDescent="0.35">
      <c r="A118" s="845"/>
      <c r="B118" s="846"/>
      <c r="C118" s="600"/>
      <c r="D118" s="600"/>
      <c r="E118" s="600"/>
      <c r="F118" s="698"/>
      <c r="G118" s="600"/>
      <c r="H118" s="600"/>
      <c r="I118" s="600"/>
    </row>
    <row r="119" spans="1:10" ht="18" x14ac:dyDescent="0.35">
      <c r="A119" s="766"/>
      <c r="B119" s="621"/>
      <c r="C119" s="600"/>
      <c r="D119" s="600"/>
      <c r="E119" s="600"/>
      <c r="F119" s="698"/>
      <c r="G119" s="600"/>
      <c r="H119" s="600"/>
      <c r="I119" s="600"/>
    </row>
    <row r="120" spans="1:10" ht="26.25" customHeight="1" x14ac:dyDescent="0.45">
      <c r="A120" s="609" t="s">
        <v>105</v>
      </c>
      <c r="B120" s="705" t="s">
        <v>122</v>
      </c>
      <c r="C120" s="847" t="str">
        <f>B20</f>
        <v>ETHAMBUTOL HCl</v>
      </c>
      <c r="D120" s="847"/>
      <c r="E120" s="706" t="s">
        <v>123</v>
      </c>
      <c r="F120" s="706"/>
      <c r="G120" s="707">
        <f>F115</f>
        <v>0.95663695337825105</v>
      </c>
      <c r="H120" s="600"/>
      <c r="I120" s="600"/>
    </row>
    <row r="121" spans="1:10" ht="19.5" customHeight="1" x14ac:dyDescent="0.35">
      <c r="A121" s="758"/>
      <c r="B121" s="758"/>
      <c r="C121" s="759"/>
      <c r="D121" s="759"/>
      <c r="E121" s="759"/>
      <c r="F121" s="759"/>
      <c r="G121" s="759"/>
      <c r="H121" s="759"/>
    </row>
    <row r="122" spans="1:10" ht="18" x14ac:dyDescent="0.35">
      <c r="B122" s="848" t="s">
        <v>25</v>
      </c>
      <c r="C122" s="848"/>
      <c r="E122" s="712" t="s">
        <v>26</v>
      </c>
      <c r="F122" s="760"/>
      <c r="G122" s="848" t="s">
        <v>27</v>
      </c>
      <c r="H122" s="848"/>
    </row>
    <row r="123" spans="1:10" ht="69.900000000000006" customHeight="1" x14ac:dyDescent="0.35">
      <c r="A123" s="761" t="s">
        <v>28</v>
      </c>
      <c r="B123" s="762"/>
      <c r="C123" s="762"/>
      <c r="E123" s="762"/>
      <c r="F123" s="600"/>
      <c r="G123" s="763"/>
      <c r="H123" s="763"/>
    </row>
    <row r="124" spans="1:10" ht="69.900000000000006" customHeight="1" x14ac:dyDescent="0.35">
      <c r="A124" s="761" t="s">
        <v>29</v>
      </c>
      <c r="B124" s="764"/>
      <c r="C124" s="764"/>
      <c r="E124" s="764"/>
      <c r="F124" s="600"/>
      <c r="G124" s="765"/>
      <c r="H124" s="765"/>
    </row>
    <row r="125" spans="1:10" ht="18" x14ac:dyDescent="0.35">
      <c r="A125" s="697"/>
      <c r="B125" s="697"/>
      <c r="C125" s="698"/>
      <c r="D125" s="698"/>
      <c r="E125" s="698"/>
      <c r="F125" s="702"/>
      <c r="G125" s="698"/>
      <c r="H125" s="698"/>
      <c r="I125" s="600"/>
    </row>
    <row r="126" spans="1:10" ht="18" x14ac:dyDescent="0.35">
      <c r="A126" s="697"/>
      <c r="B126" s="697"/>
      <c r="C126" s="698"/>
      <c r="D126" s="698"/>
      <c r="E126" s="698"/>
      <c r="F126" s="702"/>
      <c r="G126" s="698"/>
      <c r="H126" s="698"/>
      <c r="I126" s="600"/>
    </row>
    <row r="127" spans="1:10" ht="18" x14ac:dyDescent="0.35">
      <c r="A127" s="697"/>
      <c r="B127" s="697"/>
      <c r="C127" s="698"/>
      <c r="D127" s="698"/>
      <c r="E127" s="698"/>
      <c r="F127" s="702"/>
      <c r="G127" s="698"/>
      <c r="H127" s="698"/>
      <c r="I127" s="600"/>
    </row>
    <row r="128" spans="1:10" ht="18" x14ac:dyDescent="0.35">
      <c r="A128" s="697"/>
      <c r="B128" s="697"/>
      <c r="C128" s="698"/>
      <c r="D128" s="698"/>
      <c r="E128" s="698"/>
      <c r="F128" s="702"/>
      <c r="G128" s="698"/>
      <c r="H128" s="698"/>
      <c r="I128" s="600"/>
    </row>
    <row r="129" spans="1:9" ht="18" x14ac:dyDescent="0.35">
      <c r="A129" s="697"/>
      <c r="B129" s="697"/>
      <c r="C129" s="698"/>
      <c r="D129" s="698"/>
      <c r="E129" s="698"/>
      <c r="F129" s="702"/>
      <c r="G129" s="698"/>
      <c r="H129" s="698"/>
      <c r="I129" s="600"/>
    </row>
    <row r="130" spans="1:9" ht="18" x14ac:dyDescent="0.35">
      <c r="A130" s="697"/>
      <c r="B130" s="697"/>
      <c r="C130" s="698"/>
      <c r="D130" s="698"/>
      <c r="E130" s="698"/>
      <c r="F130" s="702"/>
      <c r="G130" s="698"/>
      <c r="H130" s="698"/>
      <c r="I130" s="600"/>
    </row>
    <row r="131" spans="1:9" ht="18" x14ac:dyDescent="0.35">
      <c r="A131" s="697"/>
      <c r="B131" s="697"/>
      <c r="C131" s="698"/>
      <c r="D131" s="698"/>
      <c r="E131" s="698"/>
      <c r="F131" s="702"/>
      <c r="G131" s="698"/>
      <c r="H131" s="698"/>
      <c r="I131" s="600"/>
    </row>
    <row r="132" spans="1:9" ht="18" x14ac:dyDescent="0.35">
      <c r="A132" s="697"/>
      <c r="B132" s="697"/>
      <c r="C132" s="698"/>
      <c r="D132" s="698"/>
      <c r="E132" s="698"/>
      <c r="F132" s="702"/>
      <c r="G132" s="698"/>
      <c r="H132" s="698"/>
      <c r="I132" s="600"/>
    </row>
    <row r="133" spans="1:9" ht="18" x14ac:dyDescent="0.35">
      <c r="A133" s="697"/>
      <c r="B133" s="697"/>
      <c r="C133" s="698"/>
      <c r="D133" s="698"/>
      <c r="E133" s="698"/>
      <c r="F133" s="702"/>
      <c r="G133" s="698"/>
      <c r="H133" s="698"/>
      <c r="I133" s="600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5"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" zoomScale="60" zoomScaleNormal="100" workbookViewId="0">
      <selection activeCell="B41" sqref="B41"/>
    </sheetView>
  </sheetViews>
  <sheetFormatPr defaultColWidth="9.109375" defaultRowHeight="13.8" x14ac:dyDescent="0.3"/>
  <cols>
    <col min="1" max="1" width="27.5546875" style="727" customWidth="1"/>
    <col min="2" max="2" width="20.44140625" style="727" customWidth="1"/>
    <col min="3" max="3" width="35.109375" style="727" customWidth="1"/>
    <col min="4" max="4" width="32.6640625" style="727" customWidth="1"/>
    <col min="5" max="5" width="29.6640625" style="727" customWidth="1"/>
    <col min="6" max="6" width="23.109375" style="727" customWidth="1"/>
    <col min="7" max="7" width="28.44140625" style="727" customWidth="1"/>
    <col min="8" max="8" width="21.5546875" style="727" customWidth="1"/>
    <col min="9" max="9" width="9.109375" style="727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880" t="s">
        <v>0</v>
      </c>
      <c r="B15" s="880"/>
      <c r="C15" s="880"/>
      <c r="D15" s="880"/>
      <c r="E15" s="880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55" t="s">
        <v>139</v>
      </c>
      <c r="C18" s="53"/>
      <c r="D18" s="53"/>
      <c r="E18" s="53"/>
    </row>
    <row r="19" spans="1:5" ht="16.5" customHeight="1" x14ac:dyDescent="0.3">
      <c r="A19" s="55" t="s">
        <v>6</v>
      </c>
      <c r="B19" s="12">
        <f>'SST I'!B19</f>
        <v>98.5</v>
      </c>
      <c r="C19" s="53"/>
      <c r="D19" s="53"/>
      <c r="E19" s="53"/>
    </row>
    <row r="20" spans="1:5" ht="16.5" customHeight="1" x14ac:dyDescent="0.3">
      <c r="A20" s="8" t="s">
        <v>7</v>
      </c>
      <c r="B20" s="12">
        <v>33.26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B20/100</f>
        <v>0.33260000000000001</v>
      </c>
      <c r="C21" s="53"/>
      <c r="D21" s="53"/>
      <c r="E21" s="53"/>
    </row>
    <row r="22" spans="1:5" ht="15.75" customHeight="1" x14ac:dyDescent="0.3">
      <c r="A22" s="53"/>
      <c r="B22" s="53"/>
      <c r="C22" s="53"/>
      <c r="D22" s="53"/>
      <c r="E22" s="5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34157562</v>
      </c>
      <c r="C24" s="18">
        <v>7477.7</v>
      </c>
      <c r="D24" s="19">
        <v>1.1000000000000001</v>
      </c>
      <c r="E24" s="20">
        <v>4.8</v>
      </c>
    </row>
    <row r="25" spans="1:5" ht="16.5" customHeight="1" x14ac:dyDescent="0.3">
      <c r="A25" s="17">
        <v>2</v>
      </c>
      <c r="B25" s="18">
        <v>34076630</v>
      </c>
      <c r="C25" s="18">
        <v>7517</v>
      </c>
      <c r="D25" s="19">
        <v>1.1000000000000001</v>
      </c>
      <c r="E25" s="19">
        <v>4.8</v>
      </c>
    </row>
    <row r="26" spans="1:5" ht="16.5" customHeight="1" x14ac:dyDescent="0.3">
      <c r="A26" s="17">
        <v>3</v>
      </c>
      <c r="B26" s="18">
        <v>34030613</v>
      </c>
      <c r="C26" s="18">
        <v>7498</v>
      </c>
      <c r="D26" s="19">
        <v>1.1000000000000001</v>
      </c>
      <c r="E26" s="19">
        <v>4.8</v>
      </c>
    </row>
    <row r="27" spans="1:5" ht="16.5" customHeight="1" x14ac:dyDescent="0.3">
      <c r="A27" s="17">
        <v>4</v>
      </c>
      <c r="B27" s="18">
        <v>33998577</v>
      </c>
      <c r="C27" s="18">
        <v>7517.1</v>
      </c>
      <c r="D27" s="19">
        <v>1.1000000000000001</v>
      </c>
      <c r="E27" s="19">
        <v>4.8</v>
      </c>
    </row>
    <row r="28" spans="1:5" ht="16.5" customHeight="1" x14ac:dyDescent="0.3">
      <c r="A28" s="17">
        <v>5</v>
      </c>
      <c r="B28" s="18">
        <v>33934808</v>
      </c>
      <c r="C28" s="18">
        <v>7538.8</v>
      </c>
      <c r="D28" s="19">
        <v>1.1000000000000001</v>
      </c>
      <c r="E28" s="19">
        <v>4.8</v>
      </c>
    </row>
    <row r="29" spans="1:5" ht="16.5" customHeight="1" x14ac:dyDescent="0.3">
      <c r="A29" s="17"/>
      <c r="B29" s="21"/>
      <c r="C29" s="21"/>
      <c r="D29" s="22"/>
      <c r="E29" s="22"/>
    </row>
    <row r="30" spans="1:5" ht="16.5" customHeight="1" x14ac:dyDescent="0.3">
      <c r="A30" s="23" t="s">
        <v>17</v>
      </c>
      <c r="B30" s="24">
        <f>AVERAGE(B24:B29)</f>
        <v>34039638</v>
      </c>
      <c r="C30" s="25">
        <f>AVERAGE(C24:C29)</f>
        <v>7509.7200000000012</v>
      </c>
      <c r="D30" s="26">
        <f>AVERAGE(D24:D29)</f>
        <v>1.1000000000000001</v>
      </c>
      <c r="E30" s="26">
        <f>AVERAGE(E24:E29)</f>
        <v>4.8</v>
      </c>
    </row>
    <row r="31" spans="1:5" ht="16.5" customHeight="1" x14ac:dyDescent="0.3">
      <c r="A31" s="27" t="s">
        <v>18</v>
      </c>
      <c r="B31" s="28">
        <f>(STDEV(B24:B29)/B30)</f>
        <v>2.4592710942259368E-3</v>
      </c>
      <c r="C31" s="29"/>
      <c r="D31" s="29"/>
      <c r="E31" s="30"/>
    </row>
    <row r="32" spans="1:5" s="727" customFormat="1" ht="16.5" customHeight="1" x14ac:dyDescent="0.3">
      <c r="A32" s="31" t="s">
        <v>19</v>
      </c>
      <c r="B32" s="32">
        <f>COUNT(B24:B29)</f>
        <v>5</v>
      </c>
      <c r="C32" s="33"/>
      <c r="D32" s="54"/>
      <c r="E32" s="35"/>
    </row>
    <row r="33" spans="1:5" s="727" customFormat="1" ht="15.75" customHeight="1" x14ac:dyDescent="0.3">
      <c r="A33" s="53"/>
      <c r="B33" s="53"/>
      <c r="C33" s="53"/>
      <c r="D33" s="53"/>
      <c r="E33" s="53"/>
    </row>
    <row r="34" spans="1:5" s="727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3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24</v>
      </c>
    </row>
    <row r="39" spans="1:5" ht="16.5" customHeight="1" x14ac:dyDescent="0.3">
      <c r="A39" s="55" t="s">
        <v>4</v>
      </c>
      <c r="B39" s="55" t="s">
        <v>139</v>
      </c>
      <c r="C39" s="53"/>
      <c r="D39" s="53"/>
      <c r="E39" s="53"/>
    </row>
    <row r="40" spans="1:5" ht="16.5" customHeight="1" x14ac:dyDescent="0.3">
      <c r="A40" s="55" t="s">
        <v>6</v>
      </c>
      <c r="B40" s="12" t="s">
        <v>136</v>
      </c>
      <c r="C40" s="53"/>
      <c r="D40" s="53"/>
      <c r="E40" s="53"/>
    </row>
    <row r="41" spans="1:5" ht="16.5" customHeight="1" x14ac:dyDescent="0.3">
      <c r="A41" s="8" t="s">
        <v>7</v>
      </c>
      <c r="B41" s="12">
        <v>33.26</v>
      </c>
      <c r="C41" s="53"/>
      <c r="D41" s="53"/>
      <c r="E41" s="53"/>
    </row>
    <row r="42" spans="1:5" ht="16.5" customHeight="1" x14ac:dyDescent="0.3">
      <c r="A42" s="8" t="s">
        <v>9</v>
      </c>
      <c r="B42" s="13">
        <v>33.26</v>
      </c>
      <c r="C42" s="53"/>
      <c r="D42" s="53"/>
      <c r="E42" s="53"/>
    </row>
    <row r="43" spans="1:5" ht="15.75" customHeight="1" x14ac:dyDescent="0.3">
      <c r="A43" s="53"/>
      <c r="B43" s="53"/>
      <c r="C43" s="53"/>
      <c r="D43" s="53"/>
      <c r="E43" s="5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34157562</v>
      </c>
      <c r="C45" s="18">
        <v>7477.7</v>
      </c>
      <c r="D45" s="19">
        <v>1.1000000000000001</v>
      </c>
      <c r="E45" s="20">
        <v>4.8</v>
      </c>
    </row>
    <row r="46" spans="1:5" ht="16.5" customHeight="1" x14ac:dyDescent="0.3">
      <c r="A46" s="17">
        <v>2</v>
      </c>
      <c r="B46" s="18">
        <v>34076630</v>
      </c>
      <c r="C46" s="18">
        <v>7517</v>
      </c>
      <c r="D46" s="19">
        <v>1.1000000000000001</v>
      </c>
      <c r="E46" s="19">
        <v>4.8</v>
      </c>
    </row>
    <row r="47" spans="1:5" ht="16.5" customHeight="1" x14ac:dyDescent="0.3">
      <c r="A47" s="17">
        <v>3</v>
      </c>
      <c r="B47" s="18">
        <v>34030613</v>
      </c>
      <c r="C47" s="18">
        <v>7498</v>
      </c>
      <c r="D47" s="19">
        <v>1.1000000000000001</v>
      </c>
      <c r="E47" s="19">
        <v>4.8</v>
      </c>
    </row>
    <row r="48" spans="1:5" ht="16.5" customHeight="1" x14ac:dyDescent="0.3">
      <c r="A48" s="17">
        <v>4</v>
      </c>
      <c r="B48" s="18">
        <v>33998577</v>
      </c>
      <c r="C48" s="18">
        <v>7517.1</v>
      </c>
      <c r="D48" s="19">
        <v>1.1000000000000001</v>
      </c>
      <c r="E48" s="19">
        <v>4.8</v>
      </c>
    </row>
    <row r="49" spans="1:7" ht="16.5" customHeight="1" x14ac:dyDescent="0.3">
      <c r="A49" s="17">
        <v>5</v>
      </c>
      <c r="B49" s="18">
        <v>33934808</v>
      </c>
      <c r="C49" s="18">
        <v>7538.8</v>
      </c>
      <c r="D49" s="19">
        <v>1.1000000000000001</v>
      </c>
      <c r="E49" s="19">
        <v>4.8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>
        <f>AVERAGE(B45:B50)</f>
        <v>34039638</v>
      </c>
      <c r="C51" s="25">
        <f>AVERAGE(C45:C50)</f>
        <v>7509.7200000000012</v>
      </c>
      <c r="D51" s="26">
        <f>AVERAGE(D45:D50)</f>
        <v>1.1000000000000001</v>
      </c>
      <c r="E51" s="26">
        <f>AVERAGE(E45:E50)</f>
        <v>4.8</v>
      </c>
    </row>
    <row r="52" spans="1:7" ht="16.5" customHeight="1" x14ac:dyDescent="0.3">
      <c r="A52" s="27" t="s">
        <v>18</v>
      </c>
      <c r="B52" s="28">
        <f>(STDEV(B45:B50)/B51)</f>
        <v>2.4592710942259368E-3</v>
      </c>
      <c r="C52" s="29"/>
      <c r="D52" s="29"/>
      <c r="E52" s="30"/>
    </row>
    <row r="53" spans="1:7" s="727" customFormat="1" ht="16.5" customHeight="1" x14ac:dyDescent="0.3">
      <c r="A53" s="31" t="s">
        <v>19</v>
      </c>
      <c r="B53" s="32">
        <f>COUNT(B45:B50)</f>
        <v>5</v>
      </c>
      <c r="C53" s="33"/>
      <c r="D53" s="54"/>
      <c r="E53" s="35"/>
    </row>
    <row r="54" spans="1:7" s="727" customFormat="1" ht="15.75" customHeight="1" x14ac:dyDescent="0.3">
      <c r="A54" s="53"/>
      <c r="B54" s="53"/>
      <c r="C54" s="53"/>
      <c r="D54" s="53"/>
      <c r="E54" s="53"/>
    </row>
    <row r="55" spans="1:7" s="727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22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5">
      <c r="A58" s="41"/>
      <c r="B58" s="651"/>
      <c r="D58" s="43"/>
      <c r="F58" s="44"/>
      <c r="G58" s="44"/>
    </row>
    <row r="59" spans="1:7" ht="15" customHeight="1" x14ac:dyDescent="0.3">
      <c r="B59" s="881" t="s">
        <v>25</v>
      </c>
      <c r="C59" s="881"/>
      <c r="E59" s="830" t="s">
        <v>26</v>
      </c>
      <c r="F59" s="46"/>
      <c r="G59" s="830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90" zoomScaleNormal="100" zoomScaleSheetLayoutView="90" workbookViewId="0">
      <selection activeCell="B36" sqref="B36"/>
    </sheetView>
  </sheetViews>
  <sheetFormatPr defaultColWidth="9.109375" defaultRowHeight="13.8" x14ac:dyDescent="0.3"/>
  <cols>
    <col min="1" max="1" width="27.5546875" style="727" customWidth="1"/>
    <col min="2" max="2" width="20.44140625" style="727" customWidth="1"/>
    <col min="3" max="3" width="35.109375" style="727" customWidth="1"/>
    <col min="4" max="4" width="32.6640625" style="727" customWidth="1"/>
    <col min="5" max="5" width="29.6640625" style="727" customWidth="1"/>
    <col min="6" max="6" width="23.109375" style="727" customWidth="1"/>
    <col min="7" max="7" width="28.44140625" style="727" customWidth="1"/>
    <col min="8" max="8" width="21.5546875" style="727" customWidth="1"/>
    <col min="9" max="9" width="9.109375" style="727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880" t="s">
        <v>0</v>
      </c>
      <c r="B15" s="880"/>
      <c r="C15" s="880"/>
      <c r="D15" s="880"/>
      <c r="E15" s="880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783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12">
        <f>'SST I'!B19</f>
        <v>98.5</v>
      </c>
      <c r="C19" s="53"/>
      <c r="D19" s="53"/>
      <c r="E19" s="53"/>
    </row>
    <row r="20" spans="1:5" ht="16.5" customHeight="1" x14ac:dyDescent="0.3">
      <c r="A20" s="8" t="s">
        <v>7</v>
      </c>
      <c r="B20" s="12">
        <v>16.47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B20/100</f>
        <v>0.16469999999999999</v>
      </c>
      <c r="C21" s="53"/>
      <c r="D21" s="53"/>
      <c r="E21" s="53"/>
    </row>
    <row r="22" spans="1:5" ht="15.75" customHeight="1" x14ac:dyDescent="0.3">
      <c r="A22" s="53"/>
      <c r="B22" s="53"/>
      <c r="C22" s="53"/>
      <c r="D22" s="53"/>
      <c r="E22" s="5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52277988</v>
      </c>
      <c r="C24" s="18">
        <v>74546.98</v>
      </c>
      <c r="D24" s="19">
        <v>1.1000000000000001</v>
      </c>
      <c r="E24" s="20">
        <v>7.51</v>
      </c>
    </row>
    <row r="25" spans="1:5" ht="16.5" customHeight="1" x14ac:dyDescent="0.3">
      <c r="A25" s="17">
        <v>2</v>
      </c>
      <c r="B25" s="18">
        <v>52303186</v>
      </c>
      <c r="C25" s="18">
        <v>75359.63</v>
      </c>
      <c r="D25" s="19">
        <v>1.1599999999999999</v>
      </c>
      <c r="E25" s="19">
        <v>7.51</v>
      </c>
    </row>
    <row r="26" spans="1:5" ht="16.5" customHeight="1" x14ac:dyDescent="0.3">
      <c r="A26" s="17">
        <v>3</v>
      </c>
      <c r="B26" s="18">
        <v>52247560</v>
      </c>
      <c r="C26" s="18">
        <v>75293.11</v>
      </c>
      <c r="D26" s="19">
        <v>1.1499999999999999</v>
      </c>
      <c r="E26" s="19">
        <v>7.51</v>
      </c>
    </row>
    <row r="27" spans="1:5" ht="16.5" customHeight="1" x14ac:dyDescent="0.3">
      <c r="A27" s="17">
        <v>4</v>
      </c>
      <c r="B27" s="18">
        <v>52361842</v>
      </c>
      <c r="C27" s="18">
        <v>74858.679999999993</v>
      </c>
      <c r="D27" s="19">
        <v>1.1200000000000001</v>
      </c>
      <c r="E27" s="19">
        <v>7.51</v>
      </c>
    </row>
    <row r="28" spans="1:5" ht="16.5" customHeight="1" x14ac:dyDescent="0.3">
      <c r="A28" s="17">
        <v>5</v>
      </c>
      <c r="B28" s="18">
        <v>52604758</v>
      </c>
      <c r="C28" s="18">
        <v>74307.789999999994</v>
      </c>
      <c r="D28" s="19">
        <v>1.1000000000000001</v>
      </c>
      <c r="E28" s="19">
        <v>7.51</v>
      </c>
    </row>
    <row r="29" spans="1:5" ht="16.5" customHeight="1" x14ac:dyDescent="0.3">
      <c r="A29" s="17">
        <v>6</v>
      </c>
      <c r="B29" s="21">
        <v>52672334</v>
      </c>
      <c r="C29" s="21">
        <v>75085</v>
      </c>
      <c r="D29" s="22">
        <v>1.1599999999999999</v>
      </c>
      <c r="E29" s="22">
        <v>7.51</v>
      </c>
    </row>
    <row r="30" spans="1:5" ht="16.5" customHeight="1" x14ac:dyDescent="0.3">
      <c r="A30" s="23" t="s">
        <v>17</v>
      </c>
      <c r="B30" s="24">
        <f>AVERAGE(B24:B29)</f>
        <v>52411278</v>
      </c>
      <c r="C30" s="25">
        <f>AVERAGE(C24:C29)</f>
        <v>74908.531666666662</v>
      </c>
      <c r="D30" s="26">
        <f>AVERAGE(D24:D29)</f>
        <v>1.1316666666666666</v>
      </c>
      <c r="E30" s="26">
        <f>AVERAGE(E24:E29)</f>
        <v>7.5099999999999989</v>
      </c>
    </row>
    <row r="31" spans="1:5" ht="16.5" customHeight="1" x14ac:dyDescent="0.3">
      <c r="A31" s="27" t="s">
        <v>18</v>
      </c>
      <c r="B31" s="28">
        <f>(STDEV(B24:B29)/B30)</f>
        <v>3.4584834656078999E-3</v>
      </c>
      <c r="C31" s="29"/>
      <c r="D31" s="29"/>
      <c r="E31" s="30"/>
    </row>
    <row r="32" spans="1:5" s="727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727" customFormat="1" ht="15.75" customHeight="1" x14ac:dyDescent="0.3">
      <c r="A33" s="53"/>
      <c r="B33" s="53"/>
      <c r="C33" s="53"/>
      <c r="D33" s="53"/>
      <c r="E33" s="53"/>
    </row>
    <row r="34" spans="1:5" s="727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142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3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884" t="s">
        <v>24</v>
      </c>
    </row>
    <row r="39" spans="1:5" ht="16.5" customHeight="1" x14ac:dyDescent="0.3">
      <c r="A39" s="55" t="s">
        <v>4</v>
      </c>
      <c r="B39" s="883" t="s">
        <v>133</v>
      </c>
      <c r="C39" s="53"/>
      <c r="D39" s="53"/>
      <c r="E39" s="53"/>
    </row>
    <row r="40" spans="1:5" ht="16.5" customHeight="1" x14ac:dyDescent="0.3">
      <c r="A40" s="55" t="s">
        <v>6</v>
      </c>
      <c r="B40" s="12">
        <v>99.6</v>
      </c>
      <c r="C40" s="53"/>
      <c r="D40" s="53"/>
      <c r="E40" s="53"/>
    </row>
    <row r="41" spans="1:5" ht="16.5" customHeight="1" x14ac:dyDescent="0.3">
      <c r="A41" s="8" t="s">
        <v>7</v>
      </c>
      <c r="B41" s="12">
        <v>14.4</v>
      </c>
      <c r="C41" s="53"/>
      <c r="D41" s="53"/>
      <c r="E41" s="53"/>
    </row>
    <row r="42" spans="1:5" ht="16.5" customHeight="1" x14ac:dyDescent="0.3">
      <c r="A42" s="8" t="s">
        <v>9</v>
      </c>
      <c r="B42" s="13">
        <f>B41/5*3/50</f>
        <v>0.17280000000000001</v>
      </c>
      <c r="C42" s="53"/>
      <c r="D42" s="53"/>
      <c r="E42" s="53"/>
    </row>
    <row r="43" spans="1:5" ht="15.75" customHeight="1" x14ac:dyDescent="0.3">
      <c r="A43" s="53"/>
      <c r="B43" s="53"/>
      <c r="C43" s="53"/>
      <c r="D43" s="53"/>
      <c r="E43" s="5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49860274</v>
      </c>
      <c r="C45" s="18">
        <v>68038.03</v>
      </c>
      <c r="D45" s="19">
        <v>1.1399999999999999</v>
      </c>
      <c r="E45" s="20">
        <v>7.01</v>
      </c>
    </row>
    <row r="46" spans="1:5" ht="16.5" customHeight="1" x14ac:dyDescent="0.3">
      <c r="A46" s="17">
        <v>2</v>
      </c>
      <c r="B46" s="18">
        <v>50013796</v>
      </c>
      <c r="C46" s="18">
        <v>68000.95</v>
      </c>
      <c r="D46" s="19">
        <v>1.1000000000000001</v>
      </c>
      <c r="E46" s="19">
        <v>7.01</v>
      </c>
    </row>
    <row r="47" spans="1:5" ht="16.5" customHeight="1" x14ac:dyDescent="0.3">
      <c r="A47" s="17">
        <v>3</v>
      </c>
      <c r="B47" s="18">
        <v>49858324</v>
      </c>
      <c r="C47" s="18">
        <v>68302.66</v>
      </c>
      <c r="D47" s="19">
        <v>1.1599999999999999</v>
      </c>
      <c r="E47" s="19">
        <v>7.01</v>
      </c>
    </row>
    <row r="48" spans="1:5" ht="16.5" customHeight="1" x14ac:dyDescent="0.3">
      <c r="A48" s="17">
        <v>4</v>
      </c>
      <c r="B48" s="18">
        <v>50102811</v>
      </c>
      <c r="C48" s="18">
        <v>68705.02</v>
      </c>
      <c r="D48" s="19">
        <v>1.1299999999999999</v>
      </c>
      <c r="E48" s="19">
        <v>7.03</v>
      </c>
    </row>
    <row r="49" spans="1:7" ht="16.5" customHeight="1" x14ac:dyDescent="0.3">
      <c r="A49" s="17">
        <v>5</v>
      </c>
      <c r="B49" s="18">
        <v>49995776</v>
      </c>
      <c r="C49" s="18">
        <v>68681.38</v>
      </c>
      <c r="D49" s="19">
        <v>1.1299999999999999</v>
      </c>
      <c r="E49" s="19">
        <v>7.02</v>
      </c>
    </row>
    <row r="50" spans="1:7" ht="16.5" customHeight="1" x14ac:dyDescent="0.3">
      <c r="A50" s="17">
        <v>6</v>
      </c>
      <c r="B50" s="21">
        <v>50099415</v>
      </c>
      <c r="C50" s="21">
        <v>68683.100000000006</v>
      </c>
      <c r="D50" s="22">
        <v>1.1000000000000001</v>
      </c>
      <c r="E50" s="22">
        <v>7.02</v>
      </c>
    </row>
    <row r="51" spans="1:7" ht="16.5" customHeight="1" x14ac:dyDescent="0.3">
      <c r="A51" s="23" t="s">
        <v>17</v>
      </c>
      <c r="B51" s="24">
        <f>AVERAGE(B45:B50)</f>
        <v>49988399.333333336</v>
      </c>
      <c r="C51" s="25">
        <f>AVERAGE(C45:C50)</f>
        <v>68401.856666666674</v>
      </c>
      <c r="D51" s="26">
        <f>AVERAGE(D45:D50)</f>
        <v>1.1266666666666667</v>
      </c>
      <c r="E51" s="26">
        <f>AVERAGE(E45:E50)</f>
        <v>7.0166666666666657</v>
      </c>
    </row>
    <row r="52" spans="1:7" ht="16.5" customHeight="1" x14ac:dyDescent="0.3">
      <c r="A52" s="27" t="s">
        <v>18</v>
      </c>
      <c r="B52" s="28">
        <f>(STDEV(B45:B50)/B51)</f>
        <v>2.181324419591354E-3</v>
      </c>
      <c r="C52" s="29"/>
      <c r="D52" s="29"/>
      <c r="E52" s="30"/>
    </row>
    <row r="53" spans="1:7" s="727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727" customFormat="1" ht="15.75" customHeight="1" x14ac:dyDescent="0.3">
      <c r="A54" s="53"/>
      <c r="B54" s="53"/>
      <c r="C54" s="53"/>
      <c r="D54" s="53"/>
      <c r="E54" s="53"/>
    </row>
    <row r="55" spans="1:7" s="727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142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5">
      <c r="A58" s="41"/>
      <c r="B58" s="651"/>
      <c r="D58" s="43"/>
      <c r="F58" s="44"/>
      <c r="G58" s="44"/>
    </row>
    <row r="59" spans="1:7" ht="15" customHeight="1" x14ac:dyDescent="0.3">
      <c r="B59" s="881" t="s">
        <v>25</v>
      </c>
      <c r="C59" s="881"/>
      <c r="E59" s="782" t="s">
        <v>26</v>
      </c>
      <c r="F59" s="46"/>
      <c r="G59" s="782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Uniformity</vt:lpstr>
      <vt:lpstr>Rifampicin</vt:lpstr>
      <vt:lpstr>SST I</vt:lpstr>
      <vt:lpstr>Isoniazid</vt:lpstr>
      <vt:lpstr>SST P</vt:lpstr>
      <vt:lpstr>Pyrazinamide</vt:lpstr>
      <vt:lpstr>Ethambutol hydrochloride</vt:lpstr>
      <vt:lpstr>SST E</vt:lpstr>
      <vt:lpstr>SST R</vt:lpstr>
      <vt:lpstr>'Ethambutol hydrochloride'!Print_Area</vt:lpstr>
      <vt:lpstr>Isoniazid!Print_Area</vt:lpstr>
      <vt:lpstr>Pyrazinamide!Print_Area</vt:lpstr>
      <vt:lpstr>Rifampicin!Print_Area</vt:lpstr>
      <vt:lpstr>'SST E'!Print_Area</vt:lpstr>
      <vt:lpstr>'SST P'!Print_Area</vt:lpstr>
      <vt:lpstr>'SST R'!Print_Area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2016-06-14T08:02:21Z</cp:lastPrinted>
  <dcterms:created xsi:type="dcterms:W3CDTF">2005-07-05T10:19:27Z</dcterms:created>
  <dcterms:modified xsi:type="dcterms:W3CDTF">2016-06-23T06:06:07Z</dcterms:modified>
</cp:coreProperties>
</file>