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6"/>
  </bookViews>
  <sheets>
    <sheet name="Uniformity" sheetId="2" r:id="rId1"/>
    <sheet name="Rifampicin" sheetId="3" r:id="rId2"/>
    <sheet name="SST I" sheetId="1" r:id="rId3"/>
    <sheet name="Isoniazid" sheetId="4" r:id="rId4"/>
    <sheet name="SST P" sheetId="7" r:id="rId5"/>
    <sheet name="Pyrazinamide" sheetId="5" r:id="rId6"/>
    <sheet name="Ethambutol hydrochloride" sheetId="6" r:id="rId7"/>
    <sheet name="SST R" sheetId="8" r:id="rId8"/>
    <sheet name="SST E" sheetId="9" r:id="rId9"/>
  </sheets>
  <definedNames>
    <definedName name="_xlnm.Print_Area" localSheetId="6">'Ethambutol hydrochloride'!$A$1:$I$125</definedName>
    <definedName name="_xlnm.Print_Area" localSheetId="3">Isoniazid!$A$1:$I$125</definedName>
    <definedName name="_xlnm.Print_Area" localSheetId="5">Pyrazinamide!$A$1:$I$125</definedName>
    <definedName name="_xlnm.Print_Area" localSheetId="1">Rifampicin!$A$1:$I$125</definedName>
    <definedName name="_xlnm.Print_Area" localSheetId="4">'SST P'!$A$1:$F$30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D68" i="6" l="1"/>
  <c r="F96" i="6" l="1"/>
  <c r="D96" i="6"/>
  <c r="D64" i="6"/>
  <c r="D60" i="6"/>
  <c r="B53" i="9"/>
  <c r="E51" i="9"/>
  <c r="D51" i="9"/>
  <c r="C51" i="9"/>
  <c r="B51" i="9"/>
  <c r="B52" i="9" s="1"/>
  <c r="B32" i="9"/>
  <c r="E30" i="9"/>
  <c r="C30" i="9"/>
  <c r="B30" i="9"/>
  <c r="B31" i="9" s="1"/>
  <c r="B21" i="9"/>
  <c r="D68" i="5" l="1"/>
  <c r="D64" i="5"/>
  <c r="D60" i="5"/>
  <c r="D68" i="4"/>
  <c r="D64" i="4"/>
  <c r="D60" i="4"/>
  <c r="B53" i="8"/>
  <c r="E51" i="8"/>
  <c r="D51" i="8"/>
  <c r="C51" i="8"/>
  <c r="B51" i="8"/>
  <c r="B52" i="8" s="1"/>
  <c r="B32" i="8"/>
  <c r="E30" i="8"/>
  <c r="D30" i="8"/>
  <c r="C30" i="8"/>
  <c r="B30" i="8"/>
  <c r="B31" i="8" s="1"/>
  <c r="B21" i="8"/>
  <c r="B9" i="7" l="1"/>
  <c r="B21" i="1"/>
  <c r="B20" i="7"/>
  <c r="E18" i="7"/>
  <c r="D18" i="7"/>
  <c r="C18" i="7"/>
  <c r="B18" i="7"/>
  <c r="B19" i="7" s="1"/>
  <c r="C120" i="6" l="1"/>
  <c r="B116" i="6"/>
  <c r="D100" i="6" s="1"/>
  <c r="B98" i="6"/>
  <c r="F95" i="6"/>
  <c r="D95" i="6"/>
  <c r="B87" i="6"/>
  <c r="F97" i="6" s="1"/>
  <c r="B81" i="6"/>
  <c r="B83" i="6" s="1"/>
  <c r="B80" i="6"/>
  <c r="B79" i="6"/>
  <c r="C76" i="6"/>
  <c r="B68" i="6"/>
  <c r="C56" i="6"/>
  <c r="B55" i="6"/>
  <c r="B45" i="6"/>
  <c r="D48" i="6" s="1"/>
  <c r="D49" i="6" s="1"/>
  <c r="F42" i="6"/>
  <c r="D42" i="6"/>
  <c r="B34" i="6"/>
  <c r="D44" i="6" s="1"/>
  <c r="D45" i="6" s="1"/>
  <c r="B30" i="6"/>
  <c r="C120" i="5"/>
  <c r="B116" i="5"/>
  <c r="D100" i="5"/>
  <c r="D101" i="5" s="1"/>
  <c r="B98" i="5"/>
  <c r="D97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D101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3" s="1"/>
  <c r="C45" i="2"/>
  <c r="D41" i="2"/>
  <c r="D37" i="2"/>
  <c r="D33" i="2"/>
  <c r="D29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6" l="1"/>
  <c r="D98" i="6" s="1"/>
  <c r="D101" i="6"/>
  <c r="G92" i="6" s="1"/>
  <c r="I92" i="6"/>
  <c r="I39" i="6"/>
  <c r="D46" i="6"/>
  <c r="E38" i="6"/>
  <c r="F98" i="5"/>
  <c r="F99" i="5" s="1"/>
  <c r="D97" i="4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D102" i="6"/>
  <c r="B69" i="3"/>
  <c r="D49" i="4"/>
  <c r="E40" i="4"/>
  <c r="G91" i="4"/>
  <c r="D46" i="5"/>
  <c r="E38" i="5"/>
  <c r="G91" i="5"/>
  <c r="D26" i="2"/>
  <c r="D30" i="2"/>
  <c r="D34" i="2"/>
  <c r="D38" i="2"/>
  <c r="D42" i="2"/>
  <c r="B49" i="2"/>
  <c r="D50" i="2"/>
  <c r="D44" i="3"/>
  <c r="D45" i="3" s="1"/>
  <c r="E39" i="3" s="1"/>
  <c r="D49" i="3"/>
  <c r="D98" i="5"/>
  <c r="D99" i="5" s="1"/>
  <c r="D102" i="5"/>
  <c r="G93" i="5"/>
  <c r="G94" i="5"/>
  <c r="G92" i="5"/>
  <c r="D27" i="2"/>
  <c r="D31" i="2"/>
  <c r="D35" i="2"/>
  <c r="D39" i="2"/>
  <c r="D43" i="2"/>
  <c r="C49" i="2"/>
  <c r="B57" i="4"/>
  <c r="B69" i="4" s="1"/>
  <c r="D98" i="4"/>
  <c r="E91" i="4" s="1"/>
  <c r="D102" i="4"/>
  <c r="G93" i="4"/>
  <c r="D28" i="2"/>
  <c r="D32" i="2"/>
  <c r="D36" i="2"/>
  <c r="D40" i="2"/>
  <c r="D49" i="2"/>
  <c r="F44" i="4"/>
  <c r="F45" i="4" s="1"/>
  <c r="F46" i="4" s="1"/>
  <c r="B57" i="6"/>
  <c r="B69" i="6" s="1"/>
  <c r="B57" i="5"/>
  <c r="C50" i="2"/>
  <c r="D49" i="5"/>
  <c r="E40" i="5"/>
  <c r="E41" i="5"/>
  <c r="E39" i="5"/>
  <c r="B69" i="5"/>
  <c r="F98" i="6"/>
  <c r="F44" i="5"/>
  <c r="F45" i="5" s="1"/>
  <c r="F46" i="5" s="1"/>
  <c r="E39" i="6"/>
  <c r="F44" i="6"/>
  <c r="F45" i="6" s="1"/>
  <c r="G39" i="6" s="1"/>
  <c r="E41" i="6"/>
  <c r="E40" i="6"/>
  <c r="E91" i="6" l="1"/>
  <c r="E92" i="6"/>
  <c r="E42" i="6"/>
  <c r="G92" i="4"/>
  <c r="E94" i="4"/>
  <c r="E91" i="3"/>
  <c r="G91" i="3"/>
  <c r="E92" i="3"/>
  <c r="D102" i="3"/>
  <c r="G92" i="3"/>
  <c r="F99" i="4"/>
  <c r="G95" i="4"/>
  <c r="E38" i="4"/>
  <c r="E92" i="4"/>
  <c r="E39" i="4"/>
  <c r="E41" i="4"/>
  <c r="G39" i="3"/>
  <c r="F46" i="3"/>
  <c r="E93" i="3"/>
  <c r="E94" i="3"/>
  <c r="G95" i="5"/>
  <c r="E93" i="5"/>
  <c r="E94" i="5"/>
  <c r="E92" i="5"/>
  <c r="G93" i="3"/>
  <c r="G40" i="3"/>
  <c r="G41" i="3"/>
  <c r="G94" i="3"/>
  <c r="D99" i="6"/>
  <c r="E93" i="6"/>
  <c r="G40" i="6"/>
  <c r="E38" i="3"/>
  <c r="E41" i="3"/>
  <c r="D46" i="3"/>
  <c r="E40" i="3"/>
  <c r="G41" i="5"/>
  <c r="E42" i="5"/>
  <c r="G39" i="4"/>
  <c r="G38" i="4"/>
  <c r="G91" i="6"/>
  <c r="F99" i="6"/>
  <c r="G39" i="5"/>
  <c r="G38" i="6"/>
  <c r="G93" i="6"/>
  <c r="G94" i="6"/>
  <c r="E94" i="6"/>
  <c r="G38" i="5"/>
  <c r="E91" i="5"/>
  <c r="G41" i="4"/>
  <c r="E95" i="6"/>
  <c r="G40" i="5"/>
  <c r="D99" i="4"/>
  <c r="E93" i="4"/>
  <c r="G41" i="6"/>
  <c r="F46" i="6"/>
  <c r="G40" i="4"/>
  <c r="D103" i="6" l="1"/>
  <c r="E113" i="6" s="1"/>
  <c r="F113" i="6" s="1"/>
  <c r="G95" i="6"/>
  <c r="G42" i="6"/>
  <c r="D50" i="6"/>
  <c r="D51" i="6" s="1"/>
  <c r="D105" i="6"/>
  <c r="D105" i="3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112" i="4"/>
  <c r="F112" i="4" s="1"/>
  <c r="E112" i="6"/>
  <c r="F112" i="6" s="1"/>
  <c r="E110" i="6"/>
  <c r="F110" i="6" s="1"/>
  <c r="E95" i="5"/>
  <c r="D103" i="5"/>
  <c r="D105" i="5"/>
  <c r="D52" i="6"/>
  <c r="E109" i="6" l="1"/>
  <c r="F109" i="6" s="1"/>
  <c r="D104" i="6"/>
  <c r="E111" i="6"/>
  <c r="F111" i="6" s="1"/>
  <c r="E108" i="6"/>
  <c r="G69" i="6"/>
  <c r="H69" i="6" s="1"/>
  <c r="G63" i="6"/>
  <c r="H63" i="6" s="1"/>
  <c r="G68" i="6"/>
  <c r="H68" i="6" s="1"/>
  <c r="G64" i="6"/>
  <c r="H64" i="6" s="1"/>
  <c r="G70" i="6"/>
  <c r="H70" i="6" s="1"/>
  <c r="G61" i="6"/>
  <c r="H61" i="6" s="1"/>
  <c r="G71" i="6"/>
  <c r="H71" i="6" s="1"/>
  <c r="G62" i="6"/>
  <c r="H62" i="6" s="1"/>
  <c r="G67" i="6"/>
  <c r="H67" i="6" s="1"/>
  <c r="G60" i="6"/>
  <c r="G65" i="6"/>
  <c r="H65" i="6" s="1"/>
  <c r="G66" i="6"/>
  <c r="H66" i="6" s="1"/>
  <c r="E110" i="4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6" l="1"/>
  <c r="E116" i="6" s="1"/>
  <c r="F108" i="6"/>
  <c r="F115" i="6" s="1"/>
  <c r="E117" i="6"/>
  <c r="G74" i="6"/>
  <c r="G72" i="6"/>
  <c r="G73" i="6" s="1"/>
  <c r="H60" i="6"/>
  <c r="E115" i="4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H72" i="4"/>
  <c r="E115" i="5"/>
  <c r="E116" i="5" s="1"/>
  <c r="E117" i="5"/>
  <c r="F108" i="5"/>
  <c r="F117" i="4"/>
  <c r="F115" i="4"/>
  <c r="F117" i="6"/>
  <c r="G74" i="3"/>
  <c r="G72" i="3"/>
  <c r="G73" i="3" s="1"/>
  <c r="H60" i="3"/>
  <c r="H74" i="5"/>
  <c r="H72" i="5"/>
  <c r="H72" i="6" l="1"/>
  <c r="H74" i="6"/>
  <c r="F115" i="3"/>
  <c r="F116" i="3" s="1"/>
  <c r="G76" i="5"/>
  <c r="H73" i="5"/>
  <c r="H74" i="3"/>
  <c r="H72" i="3"/>
  <c r="G120" i="4"/>
  <c r="F116" i="4"/>
  <c r="F117" i="5"/>
  <c r="F115" i="5"/>
  <c r="G120" i="6"/>
  <c r="F116" i="6"/>
  <c r="G76" i="4"/>
  <c r="H73" i="4"/>
  <c r="G76" i="6" l="1"/>
  <c r="H73" i="6"/>
  <c r="G120" i="3"/>
  <c r="G120" i="5"/>
  <c r="F116" i="5"/>
  <c r="G76" i="3"/>
  <c r="H73" i="3"/>
</calcChain>
</file>

<file path=xl/sharedStrings.xml><?xml version="1.0" encoding="utf-8"?>
<sst xmlns="http://schemas.openxmlformats.org/spreadsheetml/2006/main" count="835" uniqueCount="139">
  <si>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</si>
  <si>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</si>
  <si>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</si>
  <si>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</si>
  <si>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</si>
  <si>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</si>
  <si>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</si>
  <si>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NDQD2016061088</t>
  </si>
  <si>
    <t>Weight (mg):</t>
  </si>
  <si>
    <t>RIFAMPICIN, ISONIAZID, PYRAZINAMIDE &amp; ETHAMBUTOL HCl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</si>
  <si>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</si>
  <si>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</si>
  <si>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</si>
  <si>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</si>
  <si>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</si>
  <si>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</si>
  <si>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</si>
  <si>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</si>
  <si>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</si>
  <si>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</si>
  <si>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</si>
  <si>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</si>
  <si>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</si>
  <si>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</si>
  <si>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</si>
  <si>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</si>
  <si>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</si>
  <si>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</si>
  <si>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</si>
  <si>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</si>
  <si>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</si>
  <si>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</si>
  <si>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</si>
  <si>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</si>
  <si>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</si>
  <si>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</si>
  <si>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</si>
  <si>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</si>
  <si>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</si>
  <si>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</si>
  <si>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</si>
  <si>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</si>
  <si>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</si>
  <si>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</si>
  <si>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</si>
  <si>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</si>
  <si>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</si>
  <si>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</si>
  <si>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</si>
  <si>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</si>
  <si>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</si>
  <si>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</si>
  <si>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</si>
  <si>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</si>
  <si>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</si>
  <si>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</si>
  <si>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</si>
  <si>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</si>
  <si>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</si>
  <si>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</si>
  <si>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</si>
  <si>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</si>
  <si>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</si>
  <si>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</si>
  <si>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</si>
  <si>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</si>
  <si>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</si>
  <si>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</si>
  <si>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</si>
  <si>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</si>
  <si>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</si>
  <si>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</si>
  <si>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</si>
  <si>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</si>
  <si>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</si>
  <si>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</si>
  <si>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</si>
  <si>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</si>
  <si>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</si>
  <si>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</si>
  <si>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</si>
  <si>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</si>
  <si>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</si>
  <si>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</si>
  <si>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</si>
  <si>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</si>
  <si>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</si>
  <si>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</si>
  <si>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</si>
  <si>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</si>
  <si>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</si>
  <si>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</si>
  <si>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</si>
  <si>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</si>
  <si>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</si>
  <si>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</si>
  <si>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</si>
  <si>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</si>
  <si>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</si>
  <si>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</si>
  <si>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</si>
  <si>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</si>
  <si>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</si>
  <si>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</si>
  <si>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</si>
  <si>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</si>
  <si>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</si>
  <si>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</si>
  <si>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</si>
  <si>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</si>
  <si>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</si>
  <si>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</si>
  <si>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</si>
  <si>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</si>
  <si>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</si>
  <si>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</si>
  <si>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</si>
  <si>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</si>
  <si>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</si>
  <si>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</si>
  <si>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</si>
  <si>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</si>
  <si>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</si>
  <si>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</si>
  <si>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</si>
  <si>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</si>
  <si>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</si>
  <si>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</si>
  <si>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</si>
  <si>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</si>
  <si>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</si>
  <si>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</si>
  <si>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</si>
  <si>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</si>
  <si>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>E12 3</t>
  </si>
  <si>
    <t>Ethambutol</t>
  </si>
  <si>
    <t>Pyrazinamide</t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</si>
  <si>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than10000</t>
    </r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</si>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</sst>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6" fillId="3" borderId="3" xfId="0" applyFont="1" applyFill="1" applyBorder="1" applyAlignment="1" applyProtection="1">
      <alignment horizontal="center"/>
      <protection locked="0"/>
    </xf>
    <xf numFmtId="2" fontId="6" fillId="3" borderId="3" xfId="0" applyNumberFormat="1" applyFont="1" applyFill="1" applyBorder="1" applyAlignment="1" applyProtection="1">
      <alignment horizontal="center"/>
      <protection locked="0"/>
    </xf>
    <xf numFmtId="2" fontId="6" fillId="3" borderId="4" xfId="0" applyNumberFormat="1" applyFont="1" applyFill="1" applyBorder="1" applyAlignment="1" applyProtection="1">
      <alignment horizontal="center"/>
      <protection locked="0"/>
    </xf>
    <xf numFmtId="0" fontId="6" fillId="3" borderId="5" xfId="0" applyFont="1" applyFill="1" applyBorder="1" applyAlignment="1" applyProtection="1">
      <alignment horizontal="center"/>
      <protection locked="0"/>
    </xf>
    <xf numFmtId="2" fontId="6" fillId="3" borderId="5" xfId="0" applyNumberFormat="1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>
      <alignment horizontal="center"/>
    </xf>
    <xf numFmtId="173" fontId="6" fillId="3" borderId="3" xfId="0" applyNumberFormat="1" applyFont="1" applyFill="1" applyBorder="1" applyAlignment="1" applyProtection="1">
      <alignment horizontal="center"/>
      <protection locked="0"/>
    </xf>
    <xf numFmtId="173" fontId="6" fillId="3" borderId="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C46" sqref="C46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832" t="s">
        <v>31</v>
      </c>
      <c r="B11" s="833"/>
      <c r="C11" s="833"/>
      <c r="D11" s="833"/>
      <c r="E11" s="833"/>
      <c r="F11" s="834"/>
      <c r="G11" s="91"/>
    </row>
    <row r="12" spans="1:7" ht="16.5" customHeight="1" x14ac:dyDescent="0.3">
      <c r="A12" s="831" t="s">
        <v>32</v>
      </c>
      <c r="B12" s="831"/>
      <c r="C12" s="831"/>
      <c r="D12" s="831"/>
      <c r="E12" s="831"/>
      <c r="F12" s="831"/>
      <c r="G12" s="90"/>
    </row>
    <row r="14" spans="1:7" ht="16.5" customHeight="1" x14ac:dyDescent="0.3">
      <c r="A14" s="836" t="s">
        <v>33</v>
      </c>
      <c r="B14" s="836"/>
      <c r="C14" s="60" t="s">
        <v>5</v>
      </c>
    </row>
    <row r="15" spans="1:7" ht="16.5" customHeight="1" x14ac:dyDescent="0.3">
      <c r="A15" s="836" t="s">
        <v>34</v>
      </c>
      <c r="B15" s="836"/>
      <c r="C15" s="60" t="s">
        <v>7</v>
      </c>
    </row>
    <row r="16" spans="1:7" ht="16.5" customHeight="1" x14ac:dyDescent="0.3">
      <c r="A16" s="836" t="s">
        <v>35</v>
      </c>
      <c r="B16" s="836"/>
      <c r="C16" s="60" t="s">
        <v>9</v>
      </c>
    </row>
    <row r="17" spans="1:5" ht="16.5" customHeight="1" x14ac:dyDescent="0.3">
      <c r="A17" s="836" t="s">
        <v>36</v>
      </c>
      <c r="B17" s="836"/>
      <c r="C17" s="60" t="s">
        <v>11</v>
      </c>
    </row>
    <row r="18" spans="1:5" ht="16.5" customHeight="1" x14ac:dyDescent="0.3">
      <c r="A18" s="836" t="s">
        <v>37</v>
      </c>
      <c r="B18" s="836"/>
      <c r="C18" s="97" t="s">
        <v>12</v>
      </c>
    </row>
    <row r="19" spans="1:5" ht="16.5" customHeight="1" x14ac:dyDescent="0.3">
      <c r="A19" s="836" t="s">
        <v>38</v>
      </c>
      <c r="B19" s="83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831" t="s">
        <v>1</v>
      </c>
      <c r="B21" s="831"/>
      <c r="C21" s="59" t="s">
        <v>39</v>
      </c>
      <c r="D21" s="66"/>
    </row>
    <row r="22" spans="1:5" ht="15.75" customHeight="1" x14ac:dyDescent="0.3">
      <c r="A22" s="835"/>
      <c r="B22" s="835"/>
      <c r="C22" s="57"/>
      <c r="D22" s="835"/>
      <c r="E22" s="83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1154.57</v>
      </c>
      <c r="D24" s="87">
        <f t="shared" ref="D24:D43" si="0">(C24-$C$46)/$C$46</f>
        <v>7.6034759994153657E-3</v>
      </c>
      <c r="E24" s="53"/>
    </row>
    <row r="25" spans="1:5" ht="15.75" customHeight="1" x14ac:dyDescent="0.3">
      <c r="C25" s="95">
        <v>1155.19</v>
      </c>
      <c r="D25" s="88">
        <f t="shared" si="0"/>
        <v>8.1445554966478907E-3</v>
      </c>
      <c r="E25" s="53"/>
    </row>
    <row r="26" spans="1:5" ht="15.75" customHeight="1" x14ac:dyDescent="0.3">
      <c r="C26" s="95">
        <v>1124.58</v>
      </c>
      <c r="D26" s="88">
        <f t="shared" si="0"/>
        <v>-1.8569062907036801E-2</v>
      </c>
      <c r="E26" s="53"/>
    </row>
    <row r="27" spans="1:5" ht="15.75" customHeight="1" x14ac:dyDescent="0.3">
      <c r="C27" s="95">
        <v>1150.06</v>
      </c>
      <c r="D27" s="88">
        <f t="shared" si="0"/>
        <v>3.6675590114827548E-3</v>
      </c>
      <c r="E27" s="53"/>
    </row>
    <row r="28" spans="1:5" ht="15.75" customHeight="1" x14ac:dyDescent="0.3">
      <c r="C28" s="95">
        <v>1139.67</v>
      </c>
      <c r="D28" s="88">
        <f t="shared" si="0"/>
        <v>-5.3998861114927235E-3</v>
      </c>
      <c r="E28" s="53"/>
    </row>
    <row r="29" spans="1:5" ht="15.75" customHeight="1" x14ac:dyDescent="0.3">
      <c r="C29" s="95">
        <v>1147.95</v>
      </c>
      <c r="D29" s="88">
        <f t="shared" si="0"/>
        <v>1.8261433031595991E-3</v>
      </c>
      <c r="E29" s="53"/>
    </row>
    <row r="30" spans="1:5" ht="15.75" customHeight="1" x14ac:dyDescent="0.3">
      <c r="C30" s="95">
        <v>1146.31</v>
      </c>
      <c r="D30" s="88">
        <f t="shared" si="0"/>
        <v>3.9490076209310504E-4</v>
      </c>
      <c r="E30" s="53"/>
    </row>
    <row r="31" spans="1:5" ht="15.75" customHeight="1" x14ac:dyDescent="0.3">
      <c r="C31" s="95">
        <v>1130.1600000000001</v>
      </c>
      <c r="D31" s="88">
        <f t="shared" si="0"/>
        <v>-1.3699347431944868E-2</v>
      </c>
      <c r="E31" s="53"/>
    </row>
    <row r="32" spans="1:5" ht="15.75" customHeight="1" x14ac:dyDescent="0.3">
      <c r="C32" s="95">
        <v>1166.32</v>
      </c>
      <c r="D32" s="88">
        <f t="shared" si="0"/>
        <v>1.7857805180836267E-2</v>
      </c>
      <c r="E32" s="53"/>
    </row>
    <row r="33" spans="1:7" ht="15.75" customHeight="1" x14ac:dyDescent="0.3">
      <c r="C33" s="95">
        <v>1140.1400000000001</v>
      </c>
      <c r="D33" s="88">
        <f t="shared" si="0"/>
        <v>-4.9897129442358634E-3</v>
      </c>
      <c r="E33" s="53"/>
    </row>
    <row r="34" spans="1:7" ht="15.75" customHeight="1" x14ac:dyDescent="0.3">
      <c r="C34" s="95">
        <v>1145.5899999999999</v>
      </c>
      <c r="D34" s="88">
        <f t="shared" si="0"/>
        <v>-2.3344962178973151E-4</v>
      </c>
      <c r="E34" s="53"/>
    </row>
    <row r="35" spans="1:7" ht="15.75" customHeight="1" x14ac:dyDescent="0.3">
      <c r="C35" s="95">
        <v>1128.04</v>
      </c>
      <c r="D35" s="88">
        <f t="shared" si="0"/>
        <v>-1.5549490228933252E-2</v>
      </c>
      <c r="E35" s="53"/>
    </row>
    <row r="36" spans="1:7" ht="15.75" customHeight="1" x14ac:dyDescent="0.3">
      <c r="C36" s="95">
        <v>1124.8</v>
      </c>
      <c r="D36" s="88">
        <f t="shared" si="0"/>
        <v>-1.8377066956405917E-2</v>
      </c>
      <c r="E36" s="53"/>
    </row>
    <row r="37" spans="1:7" ht="15.75" customHeight="1" x14ac:dyDescent="0.3">
      <c r="C37" s="95">
        <v>1143.0999999999999</v>
      </c>
      <c r="D37" s="88">
        <f t="shared" si="0"/>
        <v>-2.4064946993844669E-3</v>
      </c>
      <c r="E37" s="53"/>
    </row>
    <row r="38" spans="1:7" ht="15.75" customHeight="1" x14ac:dyDescent="0.3">
      <c r="C38" s="95">
        <v>1171.95</v>
      </c>
      <c r="D38" s="88">
        <f t="shared" si="0"/>
        <v>2.2771156099253356E-2</v>
      </c>
      <c r="E38" s="53"/>
    </row>
    <row r="39" spans="1:7" ht="15.75" customHeight="1" x14ac:dyDescent="0.3">
      <c r="C39" s="95">
        <v>1148.07</v>
      </c>
      <c r="D39" s="88">
        <f t="shared" si="0"/>
        <v>1.9308683671399726E-3</v>
      </c>
      <c r="E39" s="53"/>
    </row>
    <row r="40" spans="1:7" ht="15.75" customHeight="1" x14ac:dyDescent="0.3">
      <c r="C40" s="95">
        <v>1132.45</v>
      </c>
      <c r="D40" s="88">
        <f t="shared" si="0"/>
        <v>-1.1700844127650952E-2</v>
      </c>
      <c r="E40" s="53"/>
    </row>
    <row r="41" spans="1:7" ht="15.75" customHeight="1" x14ac:dyDescent="0.3">
      <c r="C41" s="95">
        <v>1168.3800000000001</v>
      </c>
      <c r="D41" s="88">
        <f t="shared" si="0"/>
        <v>1.9655585445834466E-2</v>
      </c>
      <c r="E41" s="53"/>
    </row>
    <row r="42" spans="1:7" ht="15.75" customHeight="1" x14ac:dyDescent="0.3">
      <c r="C42" s="95">
        <v>1164.6199999999999</v>
      </c>
      <c r="D42" s="88">
        <f t="shared" si="0"/>
        <v>1.6374200107779586E-2</v>
      </c>
      <c r="E42" s="53"/>
    </row>
    <row r="43" spans="1:7" ht="16.5" customHeight="1" x14ac:dyDescent="0.3">
      <c r="C43" s="96">
        <v>1135.2</v>
      </c>
      <c r="D43" s="89">
        <f t="shared" si="0"/>
        <v>-9.3008947447652101E-3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22917.149999999998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1145.8574999999998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829">
        <f>C46</f>
        <v>1145.8574999999998</v>
      </c>
      <c r="C49" s="93">
        <f>-IF(C46&lt;=80,10%,IF(C46&lt;250,7.5%,5%))</f>
        <v>-0.05</v>
      </c>
      <c r="D49" s="81">
        <f>IF(C46&lt;=80,C46*0.9,IF(C46&lt;250,C46*0.925,C46*0.95))</f>
        <v>1088.5646249999998</v>
      </c>
    </row>
    <row r="50" spans="1:6" ht="17.25" customHeight="1" x14ac:dyDescent="0.3">
      <c r="B50" s="830"/>
      <c r="C50" s="94">
        <f>IF(C46&lt;=80, 10%, IF(C46&lt;250, 7.5%, 5%))</f>
        <v>0.05</v>
      </c>
      <c r="D50" s="81">
        <f>IF(C46&lt;=80, C46*1.1, IF(C46&lt;250, C46*1.075, C46*1.05))</f>
        <v>1203.1503749999999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0" zoomScale="40" zoomScaleNormal="40" zoomScalePageLayoutView="40" workbookViewId="0">
      <selection activeCell="B58" sqref="B5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7" t="s">
        <v>45</v>
      </c>
      <c r="B1" s="837"/>
      <c r="C1" s="837"/>
      <c r="D1" s="837"/>
      <c r="E1" s="837"/>
      <c r="F1" s="837"/>
      <c r="G1" s="837"/>
      <c r="H1" s="837"/>
      <c r="I1" s="837"/>
    </row>
    <row r="2" spans="1:9" ht="18.75" customHeight="1" x14ac:dyDescent="0.25">
      <c r="A2" s="837"/>
      <c r="B2" s="837"/>
      <c r="C2" s="837"/>
      <c r="D2" s="837"/>
      <c r="E2" s="837"/>
      <c r="F2" s="837"/>
      <c r="G2" s="837"/>
      <c r="H2" s="837"/>
      <c r="I2" s="837"/>
    </row>
    <row r="3" spans="1:9" ht="18.75" customHeight="1" x14ac:dyDescent="0.25">
      <c r="A3" s="837"/>
      <c r="B3" s="837"/>
      <c r="C3" s="837"/>
      <c r="D3" s="837"/>
      <c r="E3" s="837"/>
      <c r="F3" s="837"/>
      <c r="G3" s="837"/>
      <c r="H3" s="837"/>
      <c r="I3" s="837"/>
    </row>
    <row r="4" spans="1:9" ht="18.75" customHeight="1" x14ac:dyDescent="0.25">
      <c r="A4" s="837"/>
      <c r="B4" s="837"/>
      <c r="C4" s="837"/>
      <c r="D4" s="837"/>
      <c r="E4" s="837"/>
      <c r="F4" s="837"/>
      <c r="G4" s="837"/>
      <c r="H4" s="837"/>
      <c r="I4" s="837"/>
    </row>
    <row r="5" spans="1:9" ht="18.75" customHeight="1" x14ac:dyDescent="0.25">
      <c r="A5" s="837"/>
      <c r="B5" s="837"/>
      <c r="C5" s="837"/>
      <c r="D5" s="837"/>
      <c r="E5" s="837"/>
      <c r="F5" s="837"/>
      <c r="G5" s="837"/>
      <c r="H5" s="837"/>
      <c r="I5" s="837"/>
    </row>
    <row r="6" spans="1:9" ht="18.75" customHeight="1" x14ac:dyDescent="0.25">
      <c r="A6" s="837"/>
      <c r="B6" s="837"/>
      <c r="C6" s="837"/>
      <c r="D6" s="837"/>
      <c r="E6" s="837"/>
      <c r="F6" s="837"/>
      <c r="G6" s="837"/>
      <c r="H6" s="837"/>
      <c r="I6" s="837"/>
    </row>
    <row r="7" spans="1:9" ht="18.75" customHeight="1" x14ac:dyDescent="0.25">
      <c r="A7" s="837"/>
      <c r="B7" s="837"/>
      <c r="C7" s="837"/>
      <c r="D7" s="837"/>
      <c r="E7" s="837"/>
      <c r="F7" s="837"/>
      <c r="G7" s="837"/>
      <c r="H7" s="837"/>
      <c r="I7" s="837"/>
    </row>
    <row r="8" spans="1:9" x14ac:dyDescent="0.25">
      <c r="A8" s="838" t="s">
        <v>46</v>
      </c>
      <c r="B8" s="838"/>
      <c r="C8" s="838"/>
      <c r="D8" s="838"/>
      <c r="E8" s="838"/>
      <c r="F8" s="838"/>
      <c r="G8" s="838"/>
      <c r="H8" s="838"/>
      <c r="I8" s="838"/>
    </row>
    <row r="9" spans="1:9" x14ac:dyDescent="0.25">
      <c r="A9" s="838"/>
      <c r="B9" s="838"/>
      <c r="C9" s="838"/>
      <c r="D9" s="838"/>
      <c r="E9" s="838"/>
      <c r="F9" s="838"/>
      <c r="G9" s="838"/>
      <c r="H9" s="838"/>
      <c r="I9" s="838"/>
    </row>
    <row r="10" spans="1:9" x14ac:dyDescent="0.25">
      <c r="A10" s="838"/>
      <c r="B10" s="838"/>
      <c r="C10" s="838"/>
      <c r="D10" s="838"/>
      <c r="E10" s="838"/>
      <c r="F10" s="838"/>
      <c r="G10" s="838"/>
      <c r="H10" s="838"/>
      <c r="I10" s="838"/>
    </row>
    <row r="11" spans="1:9" x14ac:dyDescent="0.25">
      <c r="A11" s="838"/>
      <c r="B11" s="838"/>
      <c r="C11" s="838"/>
      <c r="D11" s="838"/>
      <c r="E11" s="838"/>
      <c r="F11" s="838"/>
      <c r="G11" s="838"/>
      <c r="H11" s="838"/>
      <c r="I11" s="838"/>
    </row>
    <row r="12" spans="1:9" x14ac:dyDescent="0.25">
      <c r="A12" s="838"/>
      <c r="B12" s="838"/>
      <c r="C12" s="838"/>
      <c r="D12" s="838"/>
      <c r="E12" s="838"/>
      <c r="F12" s="838"/>
      <c r="G12" s="838"/>
      <c r="H12" s="838"/>
      <c r="I12" s="838"/>
    </row>
    <row r="13" spans="1:9" x14ac:dyDescent="0.25">
      <c r="A13" s="838"/>
      <c r="B13" s="838"/>
      <c r="C13" s="838"/>
      <c r="D13" s="838"/>
      <c r="E13" s="838"/>
      <c r="F13" s="838"/>
      <c r="G13" s="838"/>
      <c r="H13" s="838"/>
      <c r="I13" s="838"/>
    </row>
    <row r="14" spans="1:9" x14ac:dyDescent="0.25">
      <c r="A14" s="838"/>
      <c r="B14" s="838"/>
      <c r="C14" s="838"/>
      <c r="D14" s="838"/>
      <c r="E14" s="838"/>
      <c r="F14" s="838"/>
      <c r="G14" s="838"/>
      <c r="H14" s="838"/>
      <c r="I14" s="838"/>
    </row>
    <row r="15" spans="1:9" ht="19.5" customHeight="1" x14ac:dyDescent="0.3">
      <c r="A15" s="98"/>
    </row>
    <row r="16" spans="1:9" ht="19.5" customHeight="1" x14ac:dyDescent="0.3">
      <c r="A16" s="871" t="s">
        <v>31</v>
      </c>
      <c r="B16" s="872"/>
      <c r="C16" s="872"/>
      <c r="D16" s="872"/>
      <c r="E16" s="872"/>
      <c r="F16" s="872"/>
      <c r="G16" s="872"/>
      <c r="H16" s="873"/>
    </row>
    <row r="17" spans="1:14" ht="20.25" customHeight="1" x14ac:dyDescent="0.25">
      <c r="A17" s="874" t="s">
        <v>47</v>
      </c>
      <c r="B17" s="874"/>
      <c r="C17" s="874"/>
      <c r="D17" s="874"/>
      <c r="E17" s="874"/>
      <c r="F17" s="874"/>
      <c r="G17" s="874"/>
      <c r="H17" s="874"/>
    </row>
    <row r="18" spans="1:14" ht="26.25" customHeight="1" x14ac:dyDescent="0.4">
      <c r="A18" s="100" t="s">
        <v>33</v>
      </c>
      <c r="B18" s="870" t="s">
        <v>5</v>
      </c>
      <c r="C18" s="870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875" t="s">
        <v>125</v>
      </c>
      <c r="C20" s="87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875" t="s">
        <v>131</v>
      </c>
      <c r="C21" s="875"/>
      <c r="D21" s="875"/>
      <c r="E21" s="875"/>
      <c r="F21" s="875"/>
      <c r="G21" s="875"/>
      <c r="H21" s="875"/>
      <c r="I21" s="104"/>
    </row>
    <row r="22" spans="1:14" ht="26.25" customHeight="1" x14ac:dyDescent="0.4">
      <c r="A22" s="100" t="s">
        <v>37</v>
      </c>
      <c r="B22" s="105">
        <v>42531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42535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870" t="s">
        <v>125</v>
      </c>
      <c r="C26" s="870"/>
    </row>
    <row r="27" spans="1:14" ht="26.25" customHeight="1" x14ac:dyDescent="0.4">
      <c r="A27" s="109" t="s">
        <v>48</v>
      </c>
      <c r="B27" s="868" t="s">
        <v>129</v>
      </c>
      <c r="C27" s="868"/>
    </row>
    <row r="28" spans="1:14" ht="27" customHeight="1" x14ac:dyDescent="0.4">
      <c r="A28" s="109" t="s">
        <v>6</v>
      </c>
      <c r="B28" s="110">
        <v>99.6</v>
      </c>
    </row>
    <row r="29" spans="1:14" s="14" customFormat="1" ht="27" customHeight="1" x14ac:dyDescent="0.4">
      <c r="A29" s="109" t="s">
        <v>49</v>
      </c>
      <c r="B29" s="111">
        <v>0</v>
      </c>
      <c r="C29" s="845" t="s">
        <v>50</v>
      </c>
      <c r="D29" s="846"/>
      <c r="E29" s="846"/>
      <c r="F29" s="846"/>
      <c r="G29" s="84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848" t="s">
        <v>53</v>
      </c>
      <c r="D31" s="849"/>
      <c r="E31" s="849"/>
      <c r="F31" s="849"/>
      <c r="G31" s="849"/>
      <c r="H31" s="85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848" t="s">
        <v>55</v>
      </c>
      <c r="D32" s="849"/>
      <c r="E32" s="849"/>
      <c r="F32" s="849"/>
      <c r="G32" s="849"/>
      <c r="H32" s="85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851" t="s">
        <v>59</v>
      </c>
      <c r="E36" s="869"/>
      <c r="F36" s="851" t="s">
        <v>60</v>
      </c>
      <c r="G36" s="85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4277210</v>
      </c>
      <c r="E38" s="133">
        <f>IF(ISBLANK(D38),"-",$D$48/$D$45*D38)</f>
        <v>3868817.6127935168</v>
      </c>
      <c r="F38" s="132">
        <v>3823598</v>
      </c>
      <c r="G38" s="134">
        <f>IF(ISBLANK(F38),"-",$D$48/$F$45*F38)</f>
        <v>3924809.012407457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4271808</v>
      </c>
      <c r="E39" s="138">
        <f>IF(ISBLANK(D39),"-",$D$48/$D$45*D39)</f>
        <v>3863931.4012807994</v>
      </c>
      <c r="F39" s="137">
        <v>3821973</v>
      </c>
      <c r="G39" s="139">
        <f>IF(ISBLANK(F39),"-",$D$48/$F$45*F39)</f>
        <v>3923140.9984987872</v>
      </c>
      <c r="I39" s="853">
        <f>ABS((F43/D43*D42)-F42)/D42</f>
        <v>1.3728148127567693E-2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4260390</v>
      </c>
      <c r="E40" s="138">
        <f>IF(ISBLANK(D40),"-",$D$48/$D$45*D40)</f>
        <v>3853603.6036036042</v>
      </c>
      <c r="F40" s="137">
        <v>3817848</v>
      </c>
      <c r="G40" s="139">
        <f>IF(ISBLANK(F40),"-",$D$48/$F$45*F40)</f>
        <v>3918906.80934601</v>
      </c>
      <c r="I40" s="85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4269802.666666667</v>
      </c>
      <c r="E42" s="148">
        <f>AVERAGE(E38:E41)</f>
        <v>3862117.5392259732</v>
      </c>
      <c r="F42" s="147">
        <f>AVERAGE(F38:F41)</f>
        <v>3821139.6666666665</v>
      </c>
      <c r="G42" s="149">
        <f>AVERAGE(G38:G41)</f>
        <v>3922285.6067507514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17.760000000000002</v>
      </c>
      <c r="E43" s="140"/>
      <c r="F43" s="152">
        <v>15.65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17.760000000000002</v>
      </c>
      <c r="E44" s="155"/>
      <c r="F44" s="154">
        <f>F43*$B$34</f>
        <v>15.65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17.688959999999998</v>
      </c>
      <c r="E45" s="158"/>
      <c r="F45" s="157">
        <f>F44*$B$30/100</f>
        <v>15.587400000000001</v>
      </c>
      <c r="H45" s="150"/>
    </row>
    <row r="46" spans="1:14" ht="19.5" customHeight="1" x14ac:dyDescent="0.3">
      <c r="A46" s="839" t="s">
        <v>78</v>
      </c>
      <c r="B46" s="840"/>
      <c r="C46" s="153" t="s">
        <v>79</v>
      </c>
      <c r="D46" s="159">
        <f>D45/$B$45</f>
        <v>0.17688959999999998</v>
      </c>
      <c r="E46" s="160"/>
      <c r="F46" s="161">
        <f>F45/$B$45</f>
        <v>0.15587400000000001</v>
      </c>
      <c r="H46" s="150"/>
    </row>
    <row r="47" spans="1:14" ht="27" customHeight="1" x14ac:dyDescent="0.4">
      <c r="A47" s="841"/>
      <c r="B47" s="842"/>
      <c r="C47" s="162" t="s">
        <v>80</v>
      </c>
      <c r="D47" s="163">
        <v>0.16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16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3892201.5729883625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8.5748578666984387E-3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RIFAMPICIN 150mg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RIFAMPICIN</v>
      </c>
      <c r="H56" s="179"/>
    </row>
    <row r="57" spans="1:12" ht="18.75" x14ac:dyDescent="0.3">
      <c r="A57" s="176" t="s">
        <v>88</v>
      </c>
      <c r="B57" s="267">
        <f>Uniformity!C46</f>
        <v>1145.8574999999998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856" t="s">
        <v>94</v>
      </c>
      <c r="D60" s="859">
        <v>1146.5999999999999</v>
      </c>
      <c r="E60" s="182">
        <v>1</v>
      </c>
      <c r="F60" s="183">
        <v>3427544</v>
      </c>
      <c r="G60" s="268">
        <f>IF(ISBLANK(F60),"-",(F60/$D$50*$D$47*$B$68)*($B$57/$D$60))</f>
        <v>140.80768931801467</v>
      </c>
      <c r="H60" s="184">
        <f t="shared" ref="H60:H71" si="0">IF(ISBLANK(F60),"-",G60/$B$56)</f>
        <v>0.93871792878676441</v>
      </c>
      <c r="L60" s="112"/>
    </row>
    <row r="61" spans="1:12" s="14" customFormat="1" ht="26.25" customHeight="1" x14ac:dyDescent="0.4">
      <c r="A61" s="124" t="s">
        <v>95</v>
      </c>
      <c r="B61" s="125">
        <v>20</v>
      </c>
      <c r="C61" s="857"/>
      <c r="D61" s="860"/>
      <c r="E61" s="185">
        <v>2</v>
      </c>
      <c r="F61" s="137">
        <v>3401336</v>
      </c>
      <c r="G61" s="269">
        <f>IF(ISBLANK(F61),"-",(F61/$D$50*$D$47*$B$68)*($B$57/$D$60))</f>
        <v>139.73103270276869</v>
      </c>
      <c r="H61" s="186">
        <f t="shared" si="0"/>
        <v>0.93154021801845788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857"/>
      <c r="D62" s="860"/>
      <c r="E62" s="185">
        <v>3</v>
      </c>
      <c r="F62" s="187">
        <v>3368197</v>
      </c>
      <c r="G62" s="269">
        <f>IF(ISBLANK(F62),"-",(F62/$D$50*$D$47*$B$68)*($B$57/$D$60))</f>
        <v>138.36964215130982</v>
      </c>
      <c r="H62" s="186">
        <f t="shared" si="0"/>
        <v>0.92246428100873212</v>
      </c>
      <c r="L62" s="112"/>
    </row>
    <row r="63" spans="1:12" ht="27" customHeight="1" x14ac:dyDescent="0.4">
      <c r="A63" s="124" t="s">
        <v>97</v>
      </c>
      <c r="B63" s="125">
        <v>1</v>
      </c>
      <c r="C63" s="867"/>
      <c r="D63" s="861"/>
      <c r="E63" s="188">
        <v>4</v>
      </c>
      <c r="F63" s="189"/>
      <c r="G63" s="269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856" t="s">
        <v>99</v>
      </c>
      <c r="D64" s="859">
        <v>1138.1500000000001</v>
      </c>
      <c r="E64" s="182">
        <v>1</v>
      </c>
      <c r="F64" s="183">
        <v>3354365</v>
      </c>
      <c r="G64" s="270">
        <f>IF(ISBLANK(F64),"-",(F64/$D$50*$D$47*$B$68)*($B$57/$D$64))</f>
        <v>138.82448968938689</v>
      </c>
      <c r="H64" s="190">
        <f t="shared" si="0"/>
        <v>0.92549659792924599</v>
      </c>
    </row>
    <row r="65" spans="1:8" ht="26.25" customHeight="1" x14ac:dyDescent="0.4">
      <c r="A65" s="124" t="s">
        <v>100</v>
      </c>
      <c r="B65" s="125">
        <v>1</v>
      </c>
      <c r="C65" s="857"/>
      <c r="D65" s="860"/>
      <c r="E65" s="185">
        <v>2</v>
      </c>
      <c r="F65" s="137">
        <v>3347067</v>
      </c>
      <c r="G65" s="271">
        <f>IF(ISBLANK(F65),"-",(F65/$D$50*$D$47*$B$68)*($B$57/$D$64))</f>
        <v>138.52245305182564</v>
      </c>
      <c r="H65" s="191">
        <f t="shared" si="0"/>
        <v>0.92348302034550422</v>
      </c>
    </row>
    <row r="66" spans="1:8" ht="26.25" customHeight="1" x14ac:dyDescent="0.4">
      <c r="A66" s="124" t="s">
        <v>101</v>
      </c>
      <c r="B66" s="125">
        <v>1</v>
      </c>
      <c r="C66" s="857"/>
      <c r="D66" s="860"/>
      <c r="E66" s="185">
        <v>3</v>
      </c>
      <c r="F66" s="137">
        <v>3356258</v>
      </c>
      <c r="G66" s="271">
        <f>IF(ISBLANK(F66),"-",(F66/$D$50*$D$47*$B$68)*($B$57/$D$64))</f>
        <v>138.90283380488478</v>
      </c>
      <c r="H66" s="191">
        <f t="shared" si="0"/>
        <v>0.92601889203256516</v>
      </c>
    </row>
    <row r="67" spans="1:8" ht="27" customHeight="1" x14ac:dyDescent="0.4">
      <c r="A67" s="124" t="s">
        <v>102</v>
      </c>
      <c r="B67" s="125">
        <v>1</v>
      </c>
      <c r="C67" s="867"/>
      <c r="D67" s="861"/>
      <c r="E67" s="188">
        <v>4</v>
      </c>
      <c r="F67" s="189"/>
      <c r="G67" s="272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856" t="s">
        <v>104</v>
      </c>
      <c r="D68" s="859">
        <v>1153.56</v>
      </c>
      <c r="E68" s="182">
        <v>1</v>
      </c>
      <c r="F68" s="183">
        <v>3349559</v>
      </c>
      <c r="G68" s="270">
        <f>IF(ISBLANK(F68),"-",(F68/$D$50*$D$47*$B$68)*($B$57/$D$68))</f>
        <v>136.77373732481411</v>
      </c>
      <c r="H68" s="186">
        <f t="shared" si="0"/>
        <v>0.91182491549876066</v>
      </c>
    </row>
    <row r="69" spans="1:8" ht="27" customHeight="1" x14ac:dyDescent="0.4">
      <c r="A69" s="172" t="s">
        <v>105</v>
      </c>
      <c r="B69" s="194">
        <f>(D47*B68)/B56*B57</f>
        <v>1222.2479999999998</v>
      </c>
      <c r="C69" s="857"/>
      <c r="D69" s="860"/>
      <c r="E69" s="185">
        <v>2</v>
      </c>
      <c r="F69" s="137"/>
      <c r="G69" s="271" t="str">
        <f>IF(ISBLANK(F69),"-",(F69/$D$50*$D$47*$B$68)*($B$57/$D$68))</f>
        <v>-</v>
      </c>
      <c r="H69" s="186" t="str">
        <f t="shared" si="0"/>
        <v>-</v>
      </c>
    </row>
    <row r="70" spans="1:8" ht="26.25" customHeight="1" x14ac:dyDescent="0.4">
      <c r="A70" s="862" t="s">
        <v>78</v>
      </c>
      <c r="B70" s="863"/>
      <c r="C70" s="857"/>
      <c r="D70" s="860"/>
      <c r="E70" s="185">
        <v>3</v>
      </c>
      <c r="F70" s="137"/>
      <c r="G70" s="271" t="str">
        <f>IF(ISBLANK(F70),"-",(F70/$D$50*$D$47*$B$68)*($B$57/$D$68))</f>
        <v>-</v>
      </c>
      <c r="H70" s="186" t="str">
        <f t="shared" si="0"/>
        <v>-</v>
      </c>
    </row>
    <row r="71" spans="1:8" ht="27" customHeight="1" x14ac:dyDescent="0.4">
      <c r="A71" s="864"/>
      <c r="B71" s="865"/>
      <c r="C71" s="858"/>
      <c r="D71" s="861"/>
      <c r="E71" s="188">
        <v>4</v>
      </c>
      <c r="F71" s="189"/>
      <c r="G71" s="272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7">
        <f>AVERAGE(G60:G71)</f>
        <v>138.84741114900064</v>
      </c>
      <c r="H72" s="199">
        <f>AVERAGE(H60:H71)</f>
        <v>0.92564940766000436</v>
      </c>
    </row>
    <row r="73" spans="1:8" ht="26.25" customHeight="1" x14ac:dyDescent="0.4">
      <c r="C73" s="196"/>
      <c r="D73" s="196"/>
      <c r="E73" s="196"/>
      <c r="F73" s="200" t="s">
        <v>84</v>
      </c>
      <c r="G73" s="273">
        <f>STDEV(G60:G71)/G72</f>
        <v>8.947813164713608E-3</v>
      </c>
      <c r="H73" s="273">
        <f>STDEV(H60:H71)/H72</f>
        <v>8.9478131647136097E-3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7</v>
      </c>
      <c r="H74" s="203">
        <f>COUNT(H60:H71)</f>
        <v>7</v>
      </c>
    </row>
    <row r="76" spans="1:8" ht="26.25" customHeight="1" x14ac:dyDescent="0.4">
      <c r="A76" s="108" t="s">
        <v>106</v>
      </c>
      <c r="B76" s="204" t="s">
        <v>107</v>
      </c>
      <c r="C76" s="843" t="str">
        <f>B20</f>
        <v>RIFAMPICIN</v>
      </c>
      <c r="D76" s="843"/>
      <c r="E76" s="205" t="s">
        <v>108</v>
      </c>
      <c r="F76" s="205"/>
      <c r="G76" s="206">
        <f>H72</f>
        <v>0.92564940766000436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866" t="str">
        <f>B26</f>
        <v>RIFAMPICIN</v>
      </c>
      <c r="C79" s="866"/>
    </row>
    <row r="80" spans="1:8" ht="26.25" customHeight="1" x14ac:dyDescent="0.4">
      <c r="A80" s="109" t="s">
        <v>48</v>
      </c>
      <c r="B80" s="866" t="str">
        <f>B27</f>
        <v xml:space="preserve">R5 1 </v>
      </c>
      <c r="C80" s="866"/>
    </row>
    <row r="81" spans="1:12" ht="27" customHeight="1" x14ac:dyDescent="0.4">
      <c r="A81" s="109" t="s">
        <v>6</v>
      </c>
      <c r="B81" s="208">
        <f>B28</f>
        <v>99.6</v>
      </c>
    </row>
    <row r="82" spans="1:12" s="14" customFormat="1" ht="27" customHeight="1" x14ac:dyDescent="0.4">
      <c r="A82" s="109" t="s">
        <v>49</v>
      </c>
      <c r="B82" s="111">
        <v>0</v>
      </c>
      <c r="C82" s="845" t="s">
        <v>50</v>
      </c>
      <c r="D82" s="846"/>
      <c r="E82" s="846"/>
      <c r="F82" s="846"/>
      <c r="G82" s="84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848" t="s">
        <v>111</v>
      </c>
      <c r="D84" s="849"/>
      <c r="E84" s="849"/>
      <c r="F84" s="849"/>
      <c r="G84" s="849"/>
      <c r="H84" s="85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848" t="s">
        <v>112</v>
      </c>
      <c r="D85" s="849"/>
      <c r="E85" s="849"/>
      <c r="F85" s="849"/>
      <c r="G85" s="849"/>
      <c r="H85" s="85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9" t="s">
        <v>59</v>
      </c>
      <c r="E89" s="210"/>
      <c r="F89" s="851" t="s">
        <v>60</v>
      </c>
      <c r="G89" s="852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13">
        <v>1</v>
      </c>
      <c r="D91" s="678">
        <v>4277210</v>
      </c>
      <c r="E91" s="133">
        <f>IF(ISBLANK(D91),"-",$D$101/$D$98*D91)</f>
        <v>4030018.3466599127</v>
      </c>
      <c r="F91" s="678">
        <v>3823598</v>
      </c>
      <c r="G91" s="134">
        <f>IF(ISBLANK(F91),"-",$D$101/$F$98*F91)</f>
        <v>4088342.7212577667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683">
        <v>4271808</v>
      </c>
      <c r="E92" s="138">
        <f>IF(ISBLANK(D92),"-",$D$101/$D$98*D92)</f>
        <v>4024928.5430008317</v>
      </c>
      <c r="F92" s="683">
        <v>3821973</v>
      </c>
      <c r="G92" s="139">
        <f>IF(ISBLANK(F92),"-",$D$101/$F$98*F92)</f>
        <v>4086605.2067695693</v>
      </c>
      <c r="I92" s="853">
        <f>ABS((F96/D96*D95)-F95)/D95</f>
        <v>1.3728148127567693E-2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683">
        <v>4260390</v>
      </c>
      <c r="E93" s="138">
        <f>IF(ISBLANK(D93),"-",$D$101/$D$98*D93)</f>
        <v>4014170.4204204204</v>
      </c>
      <c r="F93" s="683">
        <v>3817848</v>
      </c>
      <c r="G93" s="139">
        <f>IF(ISBLANK(F93),"-",$D$101/$F$98*F93)</f>
        <v>4082194.5930687594</v>
      </c>
      <c r="I93" s="853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688"/>
      <c r="E94" s="143" t="str">
        <f>IF(ISBLANK(D94),"-",$D$101/$D$98*D94)</f>
        <v>-</v>
      </c>
      <c r="F94" s="68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4269802.666666667</v>
      </c>
      <c r="E95" s="148">
        <f>AVERAGE(E91:E94)</f>
        <v>4023039.1033603884</v>
      </c>
      <c r="F95" s="217">
        <f>AVERAGE(F91:F94)</f>
        <v>3821139.6666666665</v>
      </c>
      <c r="G95" s="218">
        <f>AVERAGE(G91:G94)</f>
        <v>4085714.1736986986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v>17.760000000000002</v>
      </c>
      <c r="E96" s="140"/>
      <c r="F96" s="152">
        <v>15.65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17.760000000000002</v>
      </c>
      <c r="E97" s="155"/>
      <c r="F97" s="154">
        <f>F96*$B$87</f>
        <v>15.65</v>
      </c>
    </row>
    <row r="98" spans="1:10" ht="19.5" customHeight="1" x14ac:dyDescent="0.3">
      <c r="A98" s="124" t="s">
        <v>76</v>
      </c>
      <c r="B98" s="223">
        <f>(B97/B96)*(B95/B94)*(B93/B92)*(B91/B90)*B89</f>
        <v>100</v>
      </c>
      <c r="C98" s="221" t="s">
        <v>115</v>
      </c>
      <c r="D98" s="224">
        <f>D97*$B$83/100</f>
        <v>17.688959999999998</v>
      </c>
      <c r="E98" s="158"/>
      <c r="F98" s="157">
        <f>F97*$B$83/100</f>
        <v>15.587400000000001</v>
      </c>
    </row>
    <row r="99" spans="1:10" ht="19.5" customHeight="1" x14ac:dyDescent="0.3">
      <c r="A99" s="839" t="s">
        <v>78</v>
      </c>
      <c r="B99" s="854"/>
      <c r="C99" s="221" t="s">
        <v>116</v>
      </c>
      <c r="D99" s="225">
        <f>D98/$B$98</f>
        <v>0.17688959999999998</v>
      </c>
      <c r="E99" s="158"/>
      <c r="F99" s="161">
        <f>F98/$B$98</f>
        <v>0.15587400000000001</v>
      </c>
      <c r="G99" s="226"/>
      <c r="H99" s="150"/>
    </row>
    <row r="100" spans="1:10" ht="19.5" customHeight="1" x14ac:dyDescent="0.3">
      <c r="A100" s="841"/>
      <c r="B100" s="855"/>
      <c r="C100" s="221" t="s">
        <v>80</v>
      </c>
      <c r="D100" s="227">
        <f>$B$56/$B$116</f>
        <v>0.16666666666666666</v>
      </c>
      <c r="F100" s="166"/>
      <c r="G100" s="228"/>
      <c r="H100" s="150"/>
    </row>
    <row r="101" spans="1:10" ht="18.75" x14ac:dyDescent="0.3">
      <c r="C101" s="221" t="s">
        <v>81</v>
      </c>
      <c r="D101" s="222">
        <f>D100*$B$98</f>
        <v>16.666666666666664</v>
      </c>
      <c r="F101" s="166"/>
      <c r="G101" s="226"/>
      <c r="H101" s="150"/>
    </row>
    <row r="102" spans="1:10" ht="19.5" customHeight="1" x14ac:dyDescent="0.3">
      <c r="C102" s="229" t="s">
        <v>82</v>
      </c>
      <c r="D102" s="230">
        <f>D101/B34</f>
        <v>16.666666666666664</v>
      </c>
      <c r="F102" s="170"/>
      <c r="G102" s="226"/>
      <c r="H102" s="150"/>
      <c r="J102" s="231"/>
    </row>
    <row r="103" spans="1:10" ht="18.75" x14ac:dyDescent="0.3">
      <c r="C103" s="232" t="s">
        <v>117</v>
      </c>
      <c r="D103" s="233">
        <f>AVERAGE(E91:E94,G91:G94)</f>
        <v>4054376.6385295433</v>
      </c>
      <c r="F103" s="170"/>
      <c r="G103" s="234"/>
      <c r="H103" s="150"/>
      <c r="J103" s="235"/>
    </row>
    <row r="104" spans="1:10" ht="18.75" x14ac:dyDescent="0.3">
      <c r="C104" s="200" t="s">
        <v>84</v>
      </c>
      <c r="D104" s="236">
        <f>STDEV(E91:E94,G91:G94)/D103</f>
        <v>8.57485786669843E-3</v>
      </c>
      <c r="F104" s="170"/>
      <c r="G104" s="226"/>
      <c r="H104" s="150"/>
      <c r="J104" s="235"/>
    </row>
    <row r="105" spans="1:10" ht="19.5" customHeight="1" x14ac:dyDescent="0.3">
      <c r="C105" s="202" t="s">
        <v>20</v>
      </c>
      <c r="D105" s="237">
        <f>COUNT(E91:E94,G91:G94)</f>
        <v>6</v>
      </c>
      <c r="F105" s="170"/>
      <c r="G105" s="226"/>
      <c r="H105" s="150"/>
      <c r="J105" s="235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1</v>
      </c>
      <c r="C108" s="242">
        <v>1</v>
      </c>
      <c r="D108" s="243">
        <v>3290724</v>
      </c>
      <c r="E108" s="274">
        <f t="shared" ref="E108:E113" si="1">IF(ISBLANK(D108),"-",D108/$D$103*$D$100*$B$116)</f>
        <v>121.74710048127737</v>
      </c>
      <c r="F108" s="244">
        <f t="shared" ref="F108:F113" si="2">IF(ISBLANK(D108), "-", E108/$B$56)</f>
        <v>0.81164733654184917</v>
      </c>
    </row>
    <row r="109" spans="1:10" ht="26.25" customHeight="1" x14ac:dyDescent="0.4">
      <c r="A109" s="124" t="s">
        <v>95</v>
      </c>
      <c r="B109" s="125">
        <v>1</v>
      </c>
      <c r="C109" s="242">
        <v>2</v>
      </c>
      <c r="D109" s="243">
        <v>3311870</v>
      </c>
      <c r="E109" s="275">
        <f t="shared" si="1"/>
        <v>122.52944022984856</v>
      </c>
      <c r="F109" s="245">
        <f t="shared" si="2"/>
        <v>0.81686293486565709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3391504</v>
      </c>
      <c r="E110" s="275">
        <f t="shared" si="1"/>
        <v>125.47566379637254</v>
      </c>
      <c r="F110" s="245">
        <f t="shared" si="2"/>
        <v>0.83650442530915026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3296699</v>
      </c>
      <c r="E111" s="275">
        <f t="shared" si="1"/>
        <v>121.96815789155416</v>
      </c>
      <c r="F111" s="245">
        <f t="shared" si="2"/>
        <v>0.81312105261036105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3265477</v>
      </c>
      <c r="E112" s="275">
        <f t="shared" si="1"/>
        <v>120.8130358055857</v>
      </c>
      <c r="F112" s="245">
        <f t="shared" si="2"/>
        <v>0.80542023870390467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3284632</v>
      </c>
      <c r="E113" s="276">
        <f t="shared" si="1"/>
        <v>121.52171441543535</v>
      </c>
      <c r="F113" s="248">
        <f t="shared" si="2"/>
        <v>0.81014476276956904</v>
      </c>
    </row>
    <row r="114" spans="1:10" ht="26.25" customHeight="1" x14ac:dyDescent="0.4">
      <c r="A114" s="124" t="s">
        <v>101</v>
      </c>
      <c r="B114" s="125">
        <v>1</v>
      </c>
      <c r="C114" s="242"/>
      <c r="D114" s="197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122.34251877001229</v>
      </c>
      <c r="F115" s="251">
        <f>AVERAGE(F108:F113)</f>
        <v>0.81561679180008184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2"/>
      <c r="D116" s="215" t="s">
        <v>84</v>
      </c>
      <c r="E116" s="253">
        <f>STDEV(E108:E113)/E115</f>
        <v>1.3360678900805723E-2</v>
      </c>
      <c r="F116" s="253">
        <f>STDEV(F108:F113)/F115</f>
        <v>1.3360678900805702E-2</v>
      </c>
      <c r="I116" s="98"/>
    </row>
    <row r="117" spans="1:10" ht="27" customHeight="1" x14ac:dyDescent="0.4">
      <c r="A117" s="839" t="s">
        <v>78</v>
      </c>
      <c r="B117" s="840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841"/>
      <c r="B118" s="84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843" t="str">
        <f>B20</f>
        <v>RIFAMPICIN</v>
      </c>
      <c r="D120" s="843"/>
      <c r="E120" s="205" t="s">
        <v>124</v>
      </c>
      <c r="F120" s="205"/>
      <c r="G120" s="206">
        <f>F115</f>
        <v>0.81561679180008184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844" t="s">
        <v>26</v>
      </c>
      <c r="C122" s="844"/>
      <c r="E122" s="211" t="s">
        <v>27</v>
      </c>
      <c r="F122" s="259"/>
      <c r="G122" s="844" t="s">
        <v>28</v>
      </c>
      <c r="H122" s="844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4" zoomScale="60" zoomScaleNormal="100" workbookViewId="0">
      <selection activeCell="D24" sqref="D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876" t="s">
        <v>0</v>
      </c>
      <c r="B15" s="876"/>
      <c r="C15" s="876"/>
      <c r="D15" s="876"/>
      <c r="E15" s="8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9.86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9.8599999999999993E-2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4035731</v>
      </c>
      <c r="C24" s="18">
        <v>8316</v>
      </c>
      <c r="D24" s="19">
        <v>1.1000000000000001</v>
      </c>
      <c r="E24" s="20">
        <v>2.68</v>
      </c>
    </row>
    <row r="25" spans="1:6" ht="16.5" customHeight="1" x14ac:dyDescent="0.3">
      <c r="A25" s="17">
        <v>2</v>
      </c>
      <c r="B25" s="18">
        <v>4037643</v>
      </c>
      <c r="C25" s="18">
        <v>8309.5</v>
      </c>
      <c r="D25" s="19">
        <v>1.1000000000000001</v>
      </c>
      <c r="E25" s="19">
        <v>2.68</v>
      </c>
    </row>
    <row r="26" spans="1:6" ht="16.5" customHeight="1" x14ac:dyDescent="0.3">
      <c r="A26" s="17">
        <v>3</v>
      </c>
      <c r="B26" s="18">
        <v>4035748</v>
      </c>
      <c r="C26" s="18">
        <v>8321</v>
      </c>
      <c r="D26" s="19">
        <v>1.1000000000000001</v>
      </c>
      <c r="E26" s="19">
        <v>2.68</v>
      </c>
    </row>
    <row r="27" spans="1:6" ht="16.5" customHeight="1" x14ac:dyDescent="0.3">
      <c r="A27" s="17">
        <v>4</v>
      </c>
      <c r="B27" s="18">
        <v>4035223</v>
      </c>
      <c r="C27" s="18">
        <v>8398.1</v>
      </c>
      <c r="D27" s="19">
        <v>1</v>
      </c>
      <c r="E27" s="19">
        <v>2.6869999999999998</v>
      </c>
    </row>
    <row r="28" spans="1:6" ht="16.5" customHeight="1" x14ac:dyDescent="0.3">
      <c r="A28" s="17">
        <v>5</v>
      </c>
      <c r="B28" s="18">
        <v>4034715</v>
      </c>
      <c r="C28" s="18">
        <v>8367.7000000000007</v>
      </c>
      <c r="D28" s="19">
        <v>1.1000000000000001</v>
      </c>
      <c r="E28" s="19">
        <v>2.68</v>
      </c>
    </row>
    <row r="29" spans="1:6" ht="16.5" customHeight="1" x14ac:dyDescent="0.3">
      <c r="A29" s="17">
        <v>6</v>
      </c>
      <c r="B29" s="21">
        <v>4036553</v>
      </c>
      <c r="C29" s="21">
        <v>8363.2000000000007</v>
      </c>
      <c r="D29" s="22">
        <v>1.1000000000000001</v>
      </c>
      <c r="E29" s="22">
        <v>2.68</v>
      </c>
    </row>
    <row r="30" spans="1:6" ht="16.5" customHeight="1" x14ac:dyDescent="0.3">
      <c r="A30" s="23" t="s">
        <v>18</v>
      </c>
      <c r="B30" s="24">
        <f>AVERAGE(B24:B29)</f>
        <v>4035935.5</v>
      </c>
      <c r="C30" s="25">
        <f>AVERAGE(C24:C29)</f>
        <v>8345.9166666666661</v>
      </c>
      <c r="D30" s="26">
        <f>AVERAGE(D24:D29)</f>
        <v>1.0833333333333333</v>
      </c>
      <c r="E30" s="26">
        <f>AVERAGE(E24:E29)</f>
        <v>2.6811666666666665</v>
      </c>
    </row>
    <row r="31" spans="1:6" ht="16.5" customHeight="1" x14ac:dyDescent="0.3">
      <c r="A31" s="27" t="s">
        <v>19</v>
      </c>
      <c r="B31" s="28">
        <f>(STDEV(B24:B29)/B30)</f>
        <v>2.56804734739417E-4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4035731</v>
      </c>
      <c r="C45" s="18">
        <v>8316</v>
      </c>
      <c r="D45" s="19">
        <v>1.1000000000000001</v>
      </c>
      <c r="E45" s="20">
        <v>2.68</v>
      </c>
    </row>
    <row r="46" spans="1:6" ht="16.5" customHeight="1" x14ac:dyDescent="0.3">
      <c r="A46" s="17">
        <v>2</v>
      </c>
      <c r="B46" s="18">
        <v>4037643</v>
      </c>
      <c r="C46" s="18">
        <v>8309.5</v>
      </c>
      <c r="D46" s="19">
        <v>1.1000000000000001</v>
      </c>
      <c r="E46" s="19">
        <v>2.68</v>
      </c>
    </row>
    <row r="47" spans="1:6" ht="16.5" customHeight="1" x14ac:dyDescent="0.3">
      <c r="A47" s="17">
        <v>3</v>
      </c>
      <c r="B47" s="18">
        <v>4035748</v>
      </c>
      <c r="C47" s="18">
        <v>8321</v>
      </c>
      <c r="D47" s="19">
        <v>1.1000000000000001</v>
      </c>
      <c r="E47" s="19">
        <v>2.68</v>
      </c>
    </row>
    <row r="48" spans="1:6" ht="16.5" customHeight="1" x14ac:dyDescent="0.3">
      <c r="A48" s="17">
        <v>4</v>
      </c>
      <c r="B48" s="18">
        <v>4035223</v>
      </c>
      <c r="C48" s="18">
        <v>8398.1</v>
      </c>
      <c r="D48" s="19">
        <v>1</v>
      </c>
      <c r="E48" s="19">
        <v>2.6869999999999998</v>
      </c>
    </row>
    <row r="49" spans="1:7" ht="16.5" customHeight="1" x14ac:dyDescent="0.3">
      <c r="A49" s="17">
        <v>5</v>
      </c>
      <c r="B49" s="18">
        <v>4034715</v>
      </c>
      <c r="C49" s="18">
        <v>8367.7000000000007</v>
      </c>
      <c r="D49" s="19">
        <v>1.1000000000000001</v>
      </c>
      <c r="E49" s="19">
        <v>2.68</v>
      </c>
    </row>
    <row r="50" spans="1:7" ht="16.5" customHeight="1" x14ac:dyDescent="0.3">
      <c r="A50" s="17">
        <v>6</v>
      </c>
      <c r="B50" s="21">
        <v>4036553</v>
      </c>
      <c r="C50" s="21">
        <v>8363.2000000000007</v>
      </c>
      <c r="D50" s="22">
        <v>1.1000000000000001</v>
      </c>
      <c r="E50" s="22">
        <v>2.68</v>
      </c>
    </row>
    <row r="51" spans="1:7" ht="16.5" customHeight="1" x14ac:dyDescent="0.3">
      <c r="A51" s="23" t="s">
        <v>18</v>
      </c>
      <c r="B51" s="24">
        <f>AVERAGE(B45:B50)</f>
        <v>4035935.5</v>
      </c>
      <c r="C51" s="25">
        <f>AVERAGE(C45:C50)</f>
        <v>8345.9166666666661</v>
      </c>
      <c r="D51" s="26">
        <f>AVERAGE(D45:D50)</f>
        <v>1.0833333333333333</v>
      </c>
      <c r="E51" s="26">
        <f>AVERAGE(E45:E50)</f>
        <v>2.6811666666666665</v>
      </c>
    </row>
    <row r="52" spans="1:7" ht="16.5" customHeight="1" x14ac:dyDescent="0.3">
      <c r="A52" s="27" t="s">
        <v>19</v>
      </c>
      <c r="B52" s="28">
        <f>(STDEV(B45:B50)/B51)</f>
        <v>2.56804734739417E-4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877" t="s">
        <v>26</v>
      </c>
      <c r="C59" s="87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9" zoomScale="50" zoomScaleNormal="40" zoomScalePageLayoutView="50" workbookViewId="0">
      <selection activeCell="E123" sqref="E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7" t="s">
        <v>45</v>
      </c>
      <c r="B1" s="837"/>
      <c r="C1" s="837"/>
      <c r="D1" s="837"/>
      <c r="E1" s="837"/>
      <c r="F1" s="837"/>
      <c r="G1" s="837"/>
      <c r="H1" s="837"/>
      <c r="I1" s="837"/>
    </row>
    <row r="2" spans="1:9" ht="18.75" customHeight="1" x14ac:dyDescent="0.25">
      <c r="A2" s="837"/>
      <c r="B2" s="837"/>
      <c r="C2" s="837"/>
      <c r="D2" s="837"/>
      <c r="E2" s="837"/>
      <c r="F2" s="837"/>
      <c r="G2" s="837"/>
      <c r="H2" s="837"/>
      <c r="I2" s="837"/>
    </row>
    <row r="3" spans="1:9" ht="18.75" customHeight="1" x14ac:dyDescent="0.25">
      <c r="A3" s="837"/>
      <c r="B3" s="837"/>
      <c r="C3" s="837"/>
      <c r="D3" s="837"/>
      <c r="E3" s="837"/>
      <c r="F3" s="837"/>
      <c r="G3" s="837"/>
      <c r="H3" s="837"/>
      <c r="I3" s="837"/>
    </row>
    <row r="4" spans="1:9" ht="18.75" customHeight="1" x14ac:dyDescent="0.25">
      <c r="A4" s="837"/>
      <c r="B4" s="837"/>
      <c r="C4" s="837"/>
      <c r="D4" s="837"/>
      <c r="E4" s="837"/>
      <c r="F4" s="837"/>
      <c r="G4" s="837"/>
      <c r="H4" s="837"/>
      <c r="I4" s="837"/>
    </row>
    <row r="5" spans="1:9" ht="18.75" customHeight="1" x14ac:dyDescent="0.25">
      <c r="A5" s="837"/>
      <c r="B5" s="837"/>
      <c r="C5" s="837"/>
      <c r="D5" s="837"/>
      <c r="E5" s="837"/>
      <c r="F5" s="837"/>
      <c r="G5" s="837"/>
      <c r="H5" s="837"/>
      <c r="I5" s="837"/>
    </row>
    <row r="6" spans="1:9" ht="18.75" customHeight="1" x14ac:dyDescent="0.25">
      <c r="A6" s="837"/>
      <c r="B6" s="837"/>
      <c r="C6" s="837"/>
      <c r="D6" s="837"/>
      <c r="E6" s="837"/>
      <c r="F6" s="837"/>
      <c r="G6" s="837"/>
      <c r="H6" s="837"/>
      <c r="I6" s="837"/>
    </row>
    <row r="7" spans="1:9" ht="18.75" customHeight="1" x14ac:dyDescent="0.25">
      <c r="A7" s="837"/>
      <c r="B7" s="837"/>
      <c r="C7" s="837"/>
      <c r="D7" s="837"/>
      <c r="E7" s="837"/>
      <c r="F7" s="837"/>
      <c r="G7" s="837"/>
      <c r="H7" s="837"/>
      <c r="I7" s="837"/>
    </row>
    <row r="8" spans="1:9" x14ac:dyDescent="0.25">
      <c r="A8" s="838" t="s">
        <v>46</v>
      </c>
      <c r="B8" s="838"/>
      <c r="C8" s="838"/>
      <c r="D8" s="838"/>
      <c r="E8" s="838"/>
      <c r="F8" s="838"/>
      <c r="G8" s="838"/>
      <c r="H8" s="838"/>
      <c r="I8" s="838"/>
    </row>
    <row r="9" spans="1:9" x14ac:dyDescent="0.25">
      <c r="A9" s="838"/>
      <c r="B9" s="838"/>
      <c r="C9" s="838"/>
      <c r="D9" s="838"/>
      <c r="E9" s="838"/>
      <c r="F9" s="838"/>
      <c r="G9" s="838"/>
      <c r="H9" s="838"/>
      <c r="I9" s="838"/>
    </row>
    <row r="10" spans="1:9" x14ac:dyDescent="0.25">
      <c r="A10" s="838"/>
      <c r="B10" s="838"/>
      <c r="C10" s="838"/>
      <c r="D10" s="838"/>
      <c r="E10" s="838"/>
      <c r="F10" s="838"/>
      <c r="G10" s="838"/>
      <c r="H10" s="838"/>
      <c r="I10" s="838"/>
    </row>
    <row r="11" spans="1:9" x14ac:dyDescent="0.25">
      <c r="A11" s="838"/>
      <c r="B11" s="838"/>
      <c r="C11" s="838"/>
      <c r="D11" s="838"/>
      <c r="E11" s="838"/>
      <c r="F11" s="838"/>
      <c r="G11" s="838"/>
      <c r="H11" s="838"/>
      <c r="I11" s="838"/>
    </row>
    <row r="12" spans="1:9" x14ac:dyDescent="0.25">
      <c r="A12" s="838"/>
      <c r="B12" s="838"/>
      <c r="C12" s="838"/>
      <c r="D12" s="838"/>
      <c r="E12" s="838"/>
      <c r="F12" s="838"/>
      <c r="G12" s="838"/>
      <c r="H12" s="838"/>
      <c r="I12" s="838"/>
    </row>
    <row r="13" spans="1:9" x14ac:dyDescent="0.25">
      <c r="A13" s="838"/>
      <c r="B13" s="838"/>
      <c r="C13" s="838"/>
      <c r="D13" s="838"/>
      <c r="E13" s="838"/>
      <c r="F13" s="838"/>
      <c r="G13" s="838"/>
      <c r="H13" s="838"/>
      <c r="I13" s="838"/>
    </row>
    <row r="14" spans="1:9" x14ac:dyDescent="0.25">
      <c r="A14" s="838"/>
      <c r="B14" s="838"/>
      <c r="C14" s="838"/>
      <c r="D14" s="838"/>
      <c r="E14" s="838"/>
      <c r="F14" s="838"/>
      <c r="G14" s="838"/>
      <c r="H14" s="838"/>
      <c r="I14" s="838"/>
    </row>
    <row r="15" spans="1:9" ht="19.5" customHeight="1" x14ac:dyDescent="0.3">
      <c r="A15" s="280"/>
    </row>
    <row r="16" spans="1:9" ht="19.5" customHeight="1" x14ac:dyDescent="0.3">
      <c r="A16" s="871" t="s">
        <v>31</v>
      </c>
      <c r="B16" s="872"/>
      <c r="C16" s="872"/>
      <c r="D16" s="872"/>
      <c r="E16" s="872"/>
      <c r="F16" s="872"/>
      <c r="G16" s="872"/>
      <c r="H16" s="873"/>
    </row>
    <row r="17" spans="1:14" ht="20.25" customHeight="1" x14ac:dyDescent="0.25">
      <c r="A17" s="874" t="s">
        <v>47</v>
      </c>
      <c r="B17" s="874"/>
      <c r="C17" s="874"/>
      <c r="D17" s="874"/>
      <c r="E17" s="874"/>
      <c r="F17" s="874"/>
      <c r="G17" s="874"/>
      <c r="H17" s="874"/>
    </row>
    <row r="18" spans="1:14" ht="26.25" customHeight="1" x14ac:dyDescent="0.4">
      <c r="A18" s="282" t="s">
        <v>33</v>
      </c>
      <c r="B18" s="870" t="s">
        <v>5</v>
      </c>
      <c r="C18" s="870"/>
      <c r="D18" s="448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1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875" t="s">
        <v>9</v>
      </c>
      <c r="C20" s="875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875" t="s">
        <v>11</v>
      </c>
      <c r="C21" s="875"/>
      <c r="D21" s="875"/>
      <c r="E21" s="875"/>
      <c r="F21" s="875"/>
      <c r="G21" s="875"/>
      <c r="H21" s="875"/>
      <c r="I21" s="286"/>
    </row>
    <row r="22" spans="1:14" ht="26.25" customHeight="1" x14ac:dyDescent="0.4">
      <c r="A22" s="282" t="s">
        <v>37</v>
      </c>
      <c r="B22" s="287" t="s">
        <v>12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/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870" t="s">
        <v>126</v>
      </c>
      <c r="C26" s="870"/>
    </row>
    <row r="27" spans="1:14" ht="26.25" customHeight="1" x14ac:dyDescent="0.4">
      <c r="A27" s="291" t="s">
        <v>48</v>
      </c>
      <c r="B27" s="868" t="s">
        <v>130</v>
      </c>
      <c r="C27" s="868"/>
    </row>
    <row r="28" spans="1:14" ht="27" customHeight="1" x14ac:dyDescent="0.4">
      <c r="A28" s="291" t="s">
        <v>6</v>
      </c>
      <c r="B28" s="292">
        <v>98.5</v>
      </c>
    </row>
    <row r="29" spans="1:14" s="14" customFormat="1" ht="27" customHeight="1" x14ac:dyDescent="0.4">
      <c r="A29" s="291" t="s">
        <v>49</v>
      </c>
      <c r="B29" s="293">
        <v>0</v>
      </c>
      <c r="C29" s="845" t="s">
        <v>50</v>
      </c>
      <c r="D29" s="846"/>
      <c r="E29" s="846"/>
      <c r="F29" s="846"/>
      <c r="G29" s="847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98.5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848" t="s">
        <v>53</v>
      </c>
      <c r="D31" s="849"/>
      <c r="E31" s="849"/>
      <c r="F31" s="849"/>
      <c r="G31" s="849"/>
      <c r="H31" s="850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848" t="s">
        <v>55</v>
      </c>
      <c r="D32" s="849"/>
      <c r="E32" s="849"/>
      <c r="F32" s="849"/>
      <c r="G32" s="849"/>
      <c r="H32" s="850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100</v>
      </c>
      <c r="C36" s="281"/>
      <c r="D36" s="851" t="s">
        <v>59</v>
      </c>
      <c r="E36" s="869"/>
      <c r="F36" s="851" t="s">
        <v>60</v>
      </c>
      <c r="G36" s="852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1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1</v>
      </c>
      <c r="C38" s="313">
        <v>1</v>
      </c>
      <c r="D38" s="314">
        <v>4029917</v>
      </c>
      <c r="E38" s="315">
        <f>IF(ISBLANK(D38),"-",$D$48/$D$45*D38)</f>
        <v>3319502.0644350862</v>
      </c>
      <c r="F38" s="314">
        <v>3300605</v>
      </c>
      <c r="G38" s="316">
        <f>IF(ISBLANK(F38),"-",$D$48/$F$45*F38)</f>
        <v>3301347.8032557326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4037888</v>
      </c>
      <c r="E39" s="320">
        <f>IF(ISBLANK(D39),"-",$D$48/$D$45*D39)</f>
        <v>3326067.8946880698</v>
      </c>
      <c r="F39" s="319">
        <v>3308864</v>
      </c>
      <c r="G39" s="321">
        <f>IF(ISBLANK(F39),"-",$D$48/$F$45*F39)</f>
        <v>3309608.6619489384</v>
      </c>
      <c r="I39" s="853">
        <f>ABS((F43/D43*D42)-F42)/D42</f>
        <v>4.3916604639904861E-3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4037264</v>
      </c>
      <c r="E40" s="320">
        <f>IF(ISBLANK(D40),"-",$D$48/$D$45*D40)</f>
        <v>3325553.8966855779</v>
      </c>
      <c r="F40" s="319">
        <v>3306250</v>
      </c>
      <c r="G40" s="321">
        <f>IF(ISBLANK(F40),"-",$D$48/$F$45*F40)</f>
        <v>3306994.0736665749</v>
      </c>
      <c r="I40" s="853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4035023</v>
      </c>
      <c r="E42" s="330">
        <f>AVERAGE(E38:E41)</f>
        <v>3323707.951936245</v>
      </c>
      <c r="F42" s="329">
        <f>AVERAGE(F38:F41)</f>
        <v>3305239.6666666665</v>
      </c>
      <c r="G42" s="331">
        <f>AVERAGE(G38:G41)</f>
        <v>3305983.5129570817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9.86</v>
      </c>
      <c r="E43" s="322"/>
      <c r="F43" s="334">
        <v>8.1199999999999992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9.86</v>
      </c>
      <c r="E44" s="337"/>
      <c r="F44" s="336">
        <f>F43*$B$34</f>
        <v>8.1199999999999992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100</v>
      </c>
      <c r="C45" s="335" t="s">
        <v>77</v>
      </c>
      <c r="D45" s="339">
        <f>D44*$B$30/100</f>
        <v>9.7120999999999995</v>
      </c>
      <c r="E45" s="340"/>
      <c r="F45" s="339">
        <f>F44*$B$30/100</f>
        <v>7.9981999999999998</v>
      </c>
      <c r="H45" s="332"/>
    </row>
    <row r="46" spans="1:14" ht="19.5" customHeight="1" x14ac:dyDescent="0.3">
      <c r="A46" s="839" t="s">
        <v>78</v>
      </c>
      <c r="B46" s="840"/>
      <c r="C46" s="335" t="s">
        <v>79</v>
      </c>
      <c r="D46" s="341">
        <f>D45/$B$45</f>
        <v>9.7120999999999999E-2</v>
      </c>
      <c r="E46" s="342"/>
      <c r="F46" s="343">
        <f>F45/$B$45</f>
        <v>7.9981999999999998E-2</v>
      </c>
      <c r="H46" s="332"/>
    </row>
    <row r="47" spans="1:14" ht="27" customHeight="1" x14ac:dyDescent="0.4">
      <c r="A47" s="841"/>
      <c r="B47" s="842"/>
      <c r="C47" s="344" t="s">
        <v>80</v>
      </c>
      <c r="D47" s="345">
        <v>0.08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8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8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3314845.7324466635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3.1163076710208687E-3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1" t="s">
        <v>86</v>
      </c>
      <c r="B55" s="358" t="str">
        <f>B21</f>
        <v>RIFAMPICIN 150mg, ISONIAZID 75mg, PYRAZINAMIDE 400mg &amp; ETHAMBUTOL HCl 275mg</v>
      </c>
    </row>
    <row r="56" spans="1:12" ht="26.25" customHeight="1" x14ac:dyDescent="0.4">
      <c r="A56" s="359" t="s">
        <v>87</v>
      </c>
      <c r="B56" s="360">
        <v>75</v>
      </c>
      <c r="C56" s="281" t="str">
        <f>B20</f>
        <v>RIFAMPICIN, ISONIAZID, PYRAZINAMIDE &amp; ETHAMBUTOL HCl</v>
      </c>
      <c r="H56" s="361"/>
    </row>
    <row r="57" spans="1:12" ht="18.75" x14ac:dyDescent="0.3">
      <c r="A57" s="358" t="s">
        <v>88</v>
      </c>
      <c r="B57" s="449">
        <f>Uniformity!C46</f>
        <v>1145.8574999999998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89</v>
      </c>
      <c r="B59" s="305">
        <v>200</v>
      </c>
      <c r="C59" s="281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4</v>
      </c>
      <c r="C60" s="856" t="s">
        <v>94</v>
      </c>
      <c r="D60" s="859">
        <f>Rifampicin!D60</f>
        <v>1146.5999999999999</v>
      </c>
      <c r="E60" s="364">
        <v>1</v>
      </c>
      <c r="F60" s="365">
        <v>3082705</v>
      </c>
      <c r="G60" s="450">
        <f>IF(ISBLANK(F60),"-",(F60/$D$50*$D$47*$B$68)*($B$57/$D$60))</f>
        <v>74.349372284390952</v>
      </c>
      <c r="H60" s="366">
        <f t="shared" ref="H60:H71" si="0">IF(ISBLANK(F60),"-",G60/$B$56)</f>
        <v>0.9913249637918794</v>
      </c>
      <c r="L60" s="294"/>
    </row>
    <row r="61" spans="1:12" s="14" customFormat="1" ht="26.25" customHeight="1" x14ac:dyDescent="0.4">
      <c r="A61" s="306" t="s">
        <v>95</v>
      </c>
      <c r="B61" s="307">
        <v>20</v>
      </c>
      <c r="C61" s="857"/>
      <c r="D61" s="860"/>
      <c r="E61" s="367">
        <v>2</v>
      </c>
      <c r="F61" s="319">
        <v>3100038</v>
      </c>
      <c r="G61" s="451">
        <f>IF(ISBLANK(F61),"-",(F61/$D$50*$D$47*$B$68)*($B$57/$D$60))</f>
        <v>74.767413475424576</v>
      </c>
      <c r="H61" s="368">
        <f t="shared" si="0"/>
        <v>0.99689884633899439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857"/>
      <c r="D62" s="860"/>
      <c r="E62" s="367">
        <v>3</v>
      </c>
      <c r="F62" s="369">
        <v>3093863</v>
      </c>
      <c r="G62" s="451">
        <f>IF(ISBLANK(F62),"-",(F62/$D$50*$D$47*$B$68)*($B$57/$D$60))</f>
        <v>74.618483437079661</v>
      </c>
      <c r="H62" s="368">
        <f t="shared" si="0"/>
        <v>0.99491311249439551</v>
      </c>
      <c r="L62" s="294"/>
    </row>
    <row r="63" spans="1:12" ht="27" customHeight="1" x14ac:dyDescent="0.4">
      <c r="A63" s="306" t="s">
        <v>97</v>
      </c>
      <c r="B63" s="307">
        <v>1</v>
      </c>
      <c r="C63" s="867"/>
      <c r="D63" s="861"/>
      <c r="E63" s="370">
        <v>4</v>
      </c>
      <c r="F63" s="371"/>
      <c r="G63" s="451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856" t="s">
        <v>99</v>
      </c>
      <c r="D64" s="859">
        <f>Rifampicin!D64</f>
        <v>1138.1500000000001</v>
      </c>
      <c r="E64" s="364">
        <v>1</v>
      </c>
      <c r="F64" s="365">
        <v>2995822</v>
      </c>
      <c r="G64" s="452">
        <f>IF(ISBLANK(F64),"-",(F64/$D$50*$D$47*$B$68)*($B$57/$D$64))</f>
        <v>72.790345341606439</v>
      </c>
      <c r="H64" s="372">
        <f t="shared" si="0"/>
        <v>0.97053793788808584</v>
      </c>
    </row>
    <row r="65" spans="1:8" ht="26.25" customHeight="1" x14ac:dyDescent="0.4">
      <c r="A65" s="306" t="s">
        <v>100</v>
      </c>
      <c r="B65" s="307">
        <v>1</v>
      </c>
      <c r="C65" s="857"/>
      <c r="D65" s="860"/>
      <c r="E65" s="367">
        <v>2</v>
      </c>
      <c r="F65" s="319">
        <v>2993503</v>
      </c>
      <c r="G65" s="453">
        <f>IF(ISBLANK(F65),"-",(F65/$D$50*$D$47*$B$68)*($B$57/$D$64))</f>
        <v>72.733999934286771</v>
      </c>
      <c r="H65" s="373">
        <f t="shared" si="0"/>
        <v>0.96978666579049033</v>
      </c>
    </row>
    <row r="66" spans="1:8" ht="26.25" customHeight="1" x14ac:dyDescent="0.4">
      <c r="A66" s="306" t="s">
        <v>101</v>
      </c>
      <c r="B66" s="307">
        <v>1</v>
      </c>
      <c r="C66" s="857"/>
      <c r="D66" s="860"/>
      <c r="E66" s="367">
        <v>3</v>
      </c>
      <c r="F66" s="319">
        <v>2992780</v>
      </c>
      <c r="G66" s="453">
        <f>IF(ISBLANK(F66),"-",(F66/$D$50*$D$47*$B$68)*($B$57/$D$64))</f>
        <v>72.716432996170298</v>
      </c>
      <c r="H66" s="373">
        <f t="shared" si="0"/>
        <v>0.96955243994893725</v>
      </c>
    </row>
    <row r="67" spans="1:8" ht="27" customHeight="1" x14ac:dyDescent="0.4">
      <c r="A67" s="306" t="s">
        <v>102</v>
      </c>
      <c r="B67" s="307">
        <v>1</v>
      </c>
      <c r="C67" s="867"/>
      <c r="D67" s="861"/>
      <c r="E67" s="370">
        <v>4</v>
      </c>
      <c r="F67" s="371"/>
      <c r="G67" s="454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1000</v>
      </c>
      <c r="C68" s="856" t="s">
        <v>104</v>
      </c>
      <c r="D68" s="859">
        <f>Rifampicin!D68</f>
        <v>1153.56</v>
      </c>
      <c r="E68" s="364">
        <v>1</v>
      </c>
      <c r="F68" s="365">
        <v>3041808</v>
      </c>
      <c r="G68" s="452">
        <f>IF(ISBLANK(F68),"-",(F68/$D$50*$D$47*$B$68)*($B$57/$D$68))</f>
        <v>72.92037379804151</v>
      </c>
      <c r="H68" s="368">
        <f t="shared" si="0"/>
        <v>0.97227165064055343</v>
      </c>
    </row>
    <row r="69" spans="1:8" ht="27" customHeight="1" x14ac:dyDescent="0.4">
      <c r="A69" s="354" t="s">
        <v>105</v>
      </c>
      <c r="B69" s="376">
        <f>(D47*B68)/B56*B57</f>
        <v>1222.2479999999998</v>
      </c>
      <c r="C69" s="857"/>
      <c r="D69" s="860"/>
      <c r="E69" s="367">
        <v>2</v>
      </c>
      <c r="F69" s="319">
        <v>3035908</v>
      </c>
      <c r="G69" s="453">
        <f>IF(ISBLANK(F69),"-",(F69/$D$50*$D$47*$B$68)*($B$57/$D$68))</f>
        <v>72.778934823126448</v>
      </c>
      <c r="H69" s="368">
        <f t="shared" si="0"/>
        <v>0.97038579764168598</v>
      </c>
    </row>
    <row r="70" spans="1:8" ht="26.25" customHeight="1" x14ac:dyDescent="0.4">
      <c r="A70" s="862" t="s">
        <v>78</v>
      </c>
      <c r="B70" s="863"/>
      <c r="C70" s="857"/>
      <c r="D70" s="860"/>
      <c r="E70" s="367">
        <v>3</v>
      </c>
      <c r="F70" s="319">
        <v>3029407</v>
      </c>
      <c r="G70" s="453">
        <f>IF(ISBLANK(F70),"-",(F70/$D$50*$D$47*$B$68)*($B$57/$D$68))</f>
        <v>72.623088250936121</v>
      </c>
      <c r="H70" s="368">
        <f t="shared" si="0"/>
        <v>0.96830784334581499</v>
      </c>
    </row>
    <row r="71" spans="1:8" ht="27" customHeight="1" x14ac:dyDescent="0.4">
      <c r="A71" s="864"/>
      <c r="B71" s="865"/>
      <c r="C71" s="858"/>
      <c r="D71" s="861"/>
      <c r="E71" s="370">
        <v>4</v>
      </c>
      <c r="F71" s="371"/>
      <c r="G71" s="454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59">
        <f>AVERAGE(G60:G71)</f>
        <v>73.366493815673635</v>
      </c>
      <c r="H72" s="381">
        <f>AVERAGE(H60:H71)</f>
        <v>0.97821991754231519</v>
      </c>
    </row>
    <row r="73" spans="1:8" ht="26.25" customHeight="1" x14ac:dyDescent="0.4">
      <c r="C73" s="378"/>
      <c r="D73" s="378"/>
      <c r="E73" s="378"/>
      <c r="F73" s="382" t="s">
        <v>84</v>
      </c>
      <c r="G73" s="455">
        <f>STDEV(G60:G71)/G72</f>
        <v>1.2517892978779959E-2</v>
      </c>
      <c r="H73" s="455">
        <f>STDEV(H60:H71)/H72</f>
        <v>1.2517892978779978E-2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106</v>
      </c>
      <c r="B76" s="386" t="s">
        <v>107</v>
      </c>
      <c r="C76" s="843" t="str">
        <f>B20</f>
        <v>RIFAMPICIN, ISONIAZID, PYRAZINAMIDE &amp; ETHAMBUTOL HCl</v>
      </c>
      <c r="D76" s="843"/>
      <c r="E76" s="387" t="s">
        <v>108</v>
      </c>
      <c r="F76" s="387"/>
      <c r="G76" s="388">
        <f>H72</f>
        <v>0.97821991754231519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866" t="str">
        <f>B26</f>
        <v>ISONIAZID</v>
      </c>
      <c r="C79" s="866"/>
    </row>
    <row r="80" spans="1:8" ht="26.25" customHeight="1" x14ac:dyDescent="0.4">
      <c r="A80" s="291" t="s">
        <v>48</v>
      </c>
      <c r="B80" s="866" t="str">
        <f>B27</f>
        <v xml:space="preserve">I8 2 </v>
      </c>
      <c r="C80" s="866"/>
    </row>
    <row r="81" spans="1:12" ht="27" customHeight="1" x14ac:dyDescent="0.4">
      <c r="A81" s="291" t="s">
        <v>6</v>
      </c>
      <c r="B81" s="390">
        <f>B28</f>
        <v>98.5</v>
      </c>
    </row>
    <row r="82" spans="1:12" s="14" customFormat="1" ht="27" customHeight="1" x14ac:dyDescent="0.4">
      <c r="A82" s="291" t="s">
        <v>49</v>
      </c>
      <c r="B82" s="293">
        <v>0</v>
      </c>
      <c r="C82" s="845" t="s">
        <v>50</v>
      </c>
      <c r="D82" s="846"/>
      <c r="E82" s="846"/>
      <c r="F82" s="846"/>
      <c r="G82" s="847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98.5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848" t="s">
        <v>111</v>
      </c>
      <c r="D84" s="849"/>
      <c r="E84" s="849"/>
      <c r="F84" s="849"/>
      <c r="G84" s="849"/>
      <c r="H84" s="850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848" t="s">
        <v>112</v>
      </c>
      <c r="D85" s="849"/>
      <c r="E85" s="849"/>
      <c r="F85" s="849"/>
      <c r="G85" s="849"/>
      <c r="H85" s="850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100</v>
      </c>
      <c r="D89" s="391" t="s">
        <v>59</v>
      </c>
      <c r="E89" s="392"/>
      <c r="F89" s="851" t="s">
        <v>60</v>
      </c>
      <c r="G89" s="852"/>
    </row>
    <row r="90" spans="1:12" ht="27" customHeight="1" x14ac:dyDescent="0.4">
      <c r="A90" s="306" t="s">
        <v>61</v>
      </c>
      <c r="B90" s="307">
        <v>1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1</v>
      </c>
      <c r="C91" s="395">
        <v>1</v>
      </c>
      <c r="D91" s="678">
        <v>4029917</v>
      </c>
      <c r="E91" s="315">
        <f>IF(ISBLANK(D91),"-",$D$101/$D$98*D91)</f>
        <v>3457814.6504532145</v>
      </c>
      <c r="F91" s="678">
        <v>3300605</v>
      </c>
      <c r="G91" s="316">
        <f>IF(ISBLANK(F91),"-",$D$101/$F$98*F91)</f>
        <v>3438903.9617247209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683">
        <v>4037888</v>
      </c>
      <c r="E92" s="320">
        <f>IF(ISBLANK(D92),"-",$D$101/$D$98*D92)</f>
        <v>3464654.0569667388</v>
      </c>
      <c r="F92" s="683">
        <v>3308864</v>
      </c>
      <c r="G92" s="321">
        <f>IF(ISBLANK(F92),"-",$D$101/$F$98*F92)</f>
        <v>3447509.0228634775</v>
      </c>
      <c r="I92" s="853">
        <f>ABS((F96/D96*D95)-F95)/D95</f>
        <v>4.3916604639904861E-3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683">
        <v>4037264</v>
      </c>
      <c r="E93" s="320">
        <f>IF(ISBLANK(D93),"-",$D$101/$D$98*D93)</f>
        <v>3464118.6423808099</v>
      </c>
      <c r="F93" s="683">
        <v>3306250</v>
      </c>
      <c r="G93" s="321">
        <f>IF(ISBLANK(F93),"-",$D$101/$F$98*F93)</f>
        <v>3444785.4934026818</v>
      </c>
      <c r="I93" s="853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688"/>
      <c r="E94" s="325" t="str">
        <f>IF(ISBLANK(D94),"-",$D$101/$D$98*D94)</f>
        <v>-</v>
      </c>
      <c r="F94" s="688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7" t="s">
        <v>71</v>
      </c>
      <c r="D95" s="398">
        <f>AVERAGE(D91:D94)</f>
        <v>4035023</v>
      </c>
      <c r="E95" s="330">
        <f>AVERAGE(E91:E94)</f>
        <v>3462195.7832669211</v>
      </c>
      <c r="F95" s="399">
        <f>AVERAGE(F91:F94)</f>
        <v>3305239.6666666665</v>
      </c>
      <c r="G95" s="400">
        <f>AVERAGE(G91:G94)</f>
        <v>3443732.82599696</v>
      </c>
    </row>
    <row r="96" spans="1:12" ht="26.25" customHeight="1" x14ac:dyDescent="0.4">
      <c r="A96" s="306" t="s">
        <v>72</v>
      </c>
      <c r="B96" s="292">
        <v>1</v>
      </c>
      <c r="C96" s="401" t="s">
        <v>113</v>
      </c>
      <c r="D96" s="402">
        <v>9.86</v>
      </c>
      <c r="E96" s="322"/>
      <c r="F96" s="334">
        <v>8.1199999999999992</v>
      </c>
    </row>
    <row r="97" spans="1:10" ht="26.25" customHeight="1" x14ac:dyDescent="0.4">
      <c r="A97" s="306" t="s">
        <v>74</v>
      </c>
      <c r="B97" s="292">
        <v>1</v>
      </c>
      <c r="C97" s="403" t="s">
        <v>114</v>
      </c>
      <c r="D97" s="404">
        <f>D96*$B$87</f>
        <v>9.86</v>
      </c>
      <c r="E97" s="337"/>
      <c r="F97" s="336">
        <f>F96*$B$87</f>
        <v>8.1199999999999992</v>
      </c>
    </row>
    <row r="98" spans="1:10" ht="19.5" customHeight="1" x14ac:dyDescent="0.3">
      <c r="A98" s="306" t="s">
        <v>76</v>
      </c>
      <c r="B98" s="405">
        <f>(B97/B96)*(B95/B94)*(B93/B92)*(B91/B90)*B89</f>
        <v>100</v>
      </c>
      <c r="C98" s="403" t="s">
        <v>115</v>
      </c>
      <c r="D98" s="406">
        <f>D97*$B$83/100</f>
        <v>9.7120999999999995</v>
      </c>
      <c r="E98" s="340"/>
      <c r="F98" s="339">
        <f>F97*$B$83/100</f>
        <v>7.9981999999999998</v>
      </c>
    </row>
    <row r="99" spans="1:10" ht="19.5" customHeight="1" x14ac:dyDescent="0.3">
      <c r="A99" s="839" t="s">
        <v>78</v>
      </c>
      <c r="B99" s="854"/>
      <c r="C99" s="403" t="s">
        <v>116</v>
      </c>
      <c r="D99" s="407">
        <f>D98/$B$98</f>
        <v>9.7120999999999999E-2</v>
      </c>
      <c r="E99" s="340"/>
      <c r="F99" s="343">
        <f>F98/$B$98</f>
        <v>7.9981999999999998E-2</v>
      </c>
      <c r="G99" s="408"/>
      <c r="H99" s="332"/>
    </row>
    <row r="100" spans="1:10" ht="19.5" customHeight="1" x14ac:dyDescent="0.3">
      <c r="A100" s="841"/>
      <c r="B100" s="855"/>
      <c r="C100" s="403" t="s">
        <v>80</v>
      </c>
      <c r="D100" s="409">
        <f>$B$56/$B$116</f>
        <v>8.3333333333333329E-2</v>
      </c>
      <c r="F100" s="348"/>
      <c r="G100" s="410"/>
      <c r="H100" s="332"/>
    </row>
    <row r="101" spans="1:10" ht="18.75" x14ac:dyDescent="0.3">
      <c r="C101" s="403" t="s">
        <v>81</v>
      </c>
      <c r="D101" s="404">
        <f>D100*$B$98</f>
        <v>8.3333333333333321</v>
      </c>
      <c r="F101" s="348"/>
      <c r="G101" s="408"/>
      <c r="H101" s="332"/>
    </row>
    <row r="102" spans="1:10" ht="19.5" customHeight="1" x14ac:dyDescent="0.3">
      <c r="C102" s="411" t="s">
        <v>82</v>
      </c>
      <c r="D102" s="412">
        <f>D101/B34</f>
        <v>8.3333333333333321</v>
      </c>
      <c r="F102" s="352"/>
      <c r="G102" s="408"/>
      <c r="H102" s="332"/>
      <c r="J102" s="413"/>
    </row>
    <row r="103" spans="1:10" ht="18.75" x14ac:dyDescent="0.3">
      <c r="C103" s="414" t="s">
        <v>117</v>
      </c>
      <c r="D103" s="415">
        <f>AVERAGE(E91:E94,G91:G94)</f>
        <v>3452964.304631941</v>
      </c>
      <c r="F103" s="352"/>
      <c r="G103" s="416"/>
      <c r="H103" s="332"/>
      <c r="J103" s="417"/>
    </row>
    <row r="104" spans="1:10" ht="18.75" x14ac:dyDescent="0.3">
      <c r="C104" s="382" t="s">
        <v>84</v>
      </c>
      <c r="D104" s="418">
        <f>STDEV(E91:E94,G91:G94)/D103</f>
        <v>3.1163076710208587E-3</v>
      </c>
      <c r="F104" s="352"/>
      <c r="G104" s="408"/>
      <c r="H104" s="332"/>
      <c r="J104" s="417"/>
    </row>
    <row r="105" spans="1:10" ht="19.5" customHeight="1" x14ac:dyDescent="0.3">
      <c r="C105" s="384" t="s">
        <v>20</v>
      </c>
      <c r="D105" s="419">
        <f>COUNT(E91:E94,G91:G94)</f>
        <v>6</v>
      </c>
      <c r="F105" s="352"/>
      <c r="G105" s="408"/>
      <c r="H105" s="332"/>
      <c r="J105" s="417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900</v>
      </c>
      <c r="C107" s="420" t="s">
        <v>119</v>
      </c>
      <c r="D107" s="421" t="s">
        <v>63</v>
      </c>
      <c r="E107" s="422" t="s">
        <v>120</v>
      </c>
      <c r="F107" s="423" t="s">
        <v>121</v>
      </c>
    </row>
    <row r="108" spans="1:10" ht="26.25" customHeight="1" x14ac:dyDescent="0.4">
      <c r="A108" s="306" t="s">
        <v>122</v>
      </c>
      <c r="B108" s="307">
        <v>1</v>
      </c>
      <c r="C108" s="424">
        <v>1</v>
      </c>
      <c r="D108" s="425">
        <v>2984683</v>
      </c>
      <c r="E108" s="456">
        <f t="shared" ref="E108:E113" si="1">IF(ISBLANK(D108),"-",D108/$D$103*$D$100*$B$116)</f>
        <v>64.828711000492305</v>
      </c>
      <c r="F108" s="426">
        <f t="shared" ref="F108:F113" si="2">IF(ISBLANK(D108), "-", E108/$B$56)</f>
        <v>0.86438281333989742</v>
      </c>
    </row>
    <row r="109" spans="1:10" ht="26.25" customHeight="1" x14ac:dyDescent="0.4">
      <c r="A109" s="306" t="s">
        <v>95</v>
      </c>
      <c r="B109" s="307">
        <v>1</v>
      </c>
      <c r="C109" s="424">
        <v>2</v>
      </c>
      <c r="D109" s="425">
        <v>2990446</v>
      </c>
      <c r="E109" s="457">
        <f t="shared" si="1"/>
        <v>64.953886056434882</v>
      </c>
      <c r="F109" s="427">
        <f t="shared" si="2"/>
        <v>0.86605181408579845</v>
      </c>
    </row>
    <row r="110" spans="1:10" ht="26.25" customHeight="1" x14ac:dyDescent="0.4">
      <c r="A110" s="306" t="s">
        <v>96</v>
      </c>
      <c r="B110" s="307">
        <v>1</v>
      </c>
      <c r="C110" s="424">
        <v>3</v>
      </c>
      <c r="D110" s="425">
        <v>3022347</v>
      </c>
      <c r="E110" s="457">
        <f t="shared" si="1"/>
        <v>65.646790699784503</v>
      </c>
      <c r="F110" s="427">
        <f t="shared" si="2"/>
        <v>0.87529054266379336</v>
      </c>
    </row>
    <row r="111" spans="1:10" ht="26.25" customHeight="1" x14ac:dyDescent="0.4">
      <c r="A111" s="306" t="s">
        <v>97</v>
      </c>
      <c r="B111" s="307">
        <v>1</v>
      </c>
      <c r="C111" s="424">
        <v>4</v>
      </c>
      <c r="D111" s="425">
        <v>2994144</v>
      </c>
      <c r="E111" s="457">
        <f t="shared" si="1"/>
        <v>65.034208346366455</v>
      </c>
      <c r="F111" s="427">
        <f t="shared" si="2"/>
        <v>0.86712277795155268</v>
      </c>
    </row>
    <row r="112" spans="1:10" ht="26.25" customHeight="1" x14ac:dyDescent="0.4">
      <c r="A112" s="306" t="s">
        <v>98</v>
      </c>
      <c r="B112" s="307">
        <v>1</v>
      </c>
      <c r="C112" s="424">
        <v>5</v>
      </c>
      <c r="D112" s="425">
        <v>2987689</v>
      </c>
      <c r="E112" s="457">
        <f t="shared" si="1"/>
        <v>64.89400272670494</v>
      </c>
      <c r="F112" s="427">
        <f t="shared" si="2"/>
        <v>0.86525336968939925</v>
      </c>
    </row>
    <row r="113" spans="1:10" ht="26.25" customHeight="1" x14ac:dyDescent="0.4">
      <c r="A113" s="306" t="s">
        <v>100</v>
      </c>
      <c r="B113" s="307">
        <v>1</v>
      </c>
      <c r="C113" s="428">
        <v>6</v>
      </c>
      <c r="D113" s="429">
        <v>2985017</v>
      </c>
      <c r="E113" s="458">
        <f t="shared" si="1"/>
        <v>64.835965636738152</v>
      </c>
      <c r="F113" s="430">
        <f t="shared" si="2"/>
        <v>0.86447954182317532</v>
      </c>
    </row>
    <row r="114" spans="1:10" ht="26.25" customHeight="1" x14ac:dyDescent="0.4">
      <c r="A114" s="306" t="s">
        <v>101</v>
      </c>
      <c r="B114" s="307">
        <v>1</v>
      </c>
      <c r="C114" s="424"/>
      <c r="D114" s="379"/>
      <c r="E114" s="280"/>
      <c r="F114" s="431"/>
    </row>
    <row r="115" spans="1:10" ht="26.25" customHeight="1" x14ac:dyDescent="0.4">
      <c r="A115" s="306" t="s">
        <v>102</v>
      </c>
      <c r="B115" s="307">
        <v>1</v>
      </c>
      <c r="C115" s="424"/>
      <c r="D115" s="432" t="s">
        <v>71</v>
      </c>
      <c r="E115" s="460">
        <f>AVERAGE(E108:E113)</f>
        <v>65.032260744420213</v>
      </c>
      <c r="F115" s="433">
        <f>AVERAGE(F108:F113)</f>
        <v>0.86709680992560267</v>
      </c>
    </row>
    <row r="116" spans="1:10" ht="27" customHeight="1" x14ac:dyDescent="0.4">
      <c r="A116" s="306" t="s">
        <v>103</v>
      </c>
      <c r="B116" s="338">
        <f>(B115/B114)*(B113/B112)*(B111/B110)*(B109/B108)*B107</f>
        <v>900</v>
      </c>
      <c r="C116" s="434"/>
      <c r="D116" s="397" t="s">
        <v>84</v>
      </c>
      <c r="E116" s="435">
        <f>STDEV(E108:E113)/E115</f>
        <v>4.7786212084131689E-3</v>
      </c>
      <c r="F116" s="435">
        <f>STDEV(F108:F113)/F115</f>
        <v>4.7786212084131559E-3</v>
      </c>
      <c r="I116" s="280"/>
    </row>
    <row r="117" spans="1:10" ht="27" customHeight="1" x14ac:dyDescent="0.4">
      <c r="A117" s="839" t="s">
        <v>78</v>
      </c>
      <c r="B117" s="840"/>
      <c r="C117" s="436"/>
      <c r="D117" s="437" t="s">
        <v>20</v>
      </c>
      <c r="E117" s="438">
        <f>COUNT(E108:E113)</f>
        <v>6</v>
      </c>
      <c r="F117" s="438">
        <f>COUNT(F108:F113)</f>
        <v>6</v>
      </c>
      <c r="I117" s="280"/>
      <c r="J117" s="417"/>
    </row>
    <row r="118" spans="1:10" ht="19.5" customHeight="1" x14ac:dyDescent="0.3">
      <c r="A118" s="841"/>
      <c r="B118" s="842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7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106</v>
      </c>
      <c r="B120" s="386" t="s">
        <v>123</v>
      </c>
      <c r="C120" s="843" t="str">
        <f>B20</f>
        <v>RIFAMPICIN, ISONIAZID, PYRAZINAMIDE &amp; ETHAMBUTOL HCl</v>
      </c>
      <c r="D120" s="843"/>
      <c r="E120" s="387" t="s">
        <v>124</v>
      </c>
      <c r="F120" s="387"/>
      <c r="G120" s="388">
        <f>F115</f>
        <v>0.86709680992560267</v>
      </c>
      <c r="H120" s="280"/>
      <c r="I120" s="280"/>
    </row>
    <row r="121" spans="1:10" ht="19.5" customHeight="1" x14ac:dyDescent="0.3">
      <c r="A121" s="439"/>
      <c r="B121" s="439"/>
      <c r="C121" s="440"/>
      <c r="D121" s="440"/>
      <c r="E121" s="440"/>
      <c r="F121" s="440"/>
      <c r="G121" s="440"/>
      <c r="H121" s="440"/>
    </row>
    <row r="122" spans="1:10" ht="18.75" x14ac:dyDescent="0.3">
      <c r="B122" s="844" t="s">
        <v>26</v>
      </c>
      <c r="C122" s="844"/>
      <c r="E122" s="393" t="s">
        <v>27</v>
      </c>
      <c r="F122" s="441"/>
      <c r="G122" s="844" t="s">
        <v>28</v>
      </c>
      <c r="H122" s="844"/>
    </row>
    <row r="123" spans="1:10" ht="69.95" customHeight="1" x14ac:dyDescent="0.3">
      <c r="A123" s="442" t="s">
        <v>29</v>
      </c>
      <c r="B123" s="443" t="s">
        <v>138</v>
      </c>
      <c r="C123" s="443"/>
      <c r="E123" s="443"/>
      <c r="F123" s="280"/>
      <c r="G123" s="444"/>
      <c r="H123" s="444"/>
    </row>
    <row r="124" spans="1:10" ht="69.95" customHeight="1" x14ac:dyDescent="0.3">
      <c r="A124" s="442" t="s">
        <v>30</v>
      </c>
      <c r="B124" s="445"/>
      <c r="C124" s="445"/>
      <c r="E124" s="445"/>
      <c r="F124" s="280"/>
      <c r="G124" s="446"/>
      <c r="H124" s="446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view="pageBreakPreview" zoomScale="60" zoomScaleNormal="100" workbookViewId="0">
      <selection activeCell="E35" sqref="E35"/>
    </sheetView>
  </sheetViews>
  <sheetFormatPr defaultRowHeight="15.75" x14ac:dyDescent="0.25"/>
  <cols>
    <col min="1" max="1" width="27.5703125" style="72" customWidth="1"/>
    <col min="2" max="2" width="20.42578125" style="72" customWidth="1"/>
    <col min="3" max="3" width="31.85546875" style="72" customWidth="1"/>
    <col min="4" max="4" width="25.85546875" style="72" customWidth="1"/>
    <col min="5" max="5" width="34" style="72" customWidth="1"/>
    <col min="6" max="16384" width="9.140625" style="66"/>
  </cols>
  <sheetData>
    <row r="2" spans="1:5" ht="15" customHeight="1" x14ac:dyDescent="0.3">
      <c r="A2" s="75"/>
      <c r="C2" s="878"/>
    </row>
    <row r="3" spans="1:5" ht="18.75" customHeight="1" x14ac:dyDescent="0.3">
      <c r="A3" s="831" t="s">
        <v>0</v>
      </c>
      <c r="B3" s="831"/>
      <c r="C3" s="831"/>
      <c r="D3" s="831"/>
      <c r="E3" s="831"/>
    </row>
    <row r="4" spans="1:5" ht="16.5" customHeight="1" x14ac:dyDescent="0.3">
      <c r="A4" s="90" t="s">
        <v>1</v>
      </c>
      <c r="B4" s="59" t="s">
        <v>2</v>
      </c>
    </row>
    <row r="5" spans="1:5" ht="16.5" customHeight="1" x14ac:dyDescent="0.3">
      <c r="A5" s="8" t="s">
        <v>3</v>
      </c>
      <c r="B5" s="8" t="s">
        <v>5</v>
      </c>
      <c r="D5" s="9"/>
    </row>
    <row r="6" spans="1:5" ht="16.5" customHeight="1" x14ac:dyDescent="0.3">
      <c r="A6" s="75" t="s">
        <v>4</v>
      </c>
      <c r="B6" s="72" t="s">
        <v>136</v>
      </c>
    </row>
    <row r="7" spans="1:5" ht="16.5" customHeight="1" x14ac:dyDescent="0.3">
      <c r="A7" s="75" t="s">
        <v>6</v>
      </c>
      <c r="B7" s="12" t="s">
        <v>7</v>
      </c>
    </row>
    <row r="8" spans="1:5" ht="16.5" customHeight="1" x14ac:dyDescent="0.3">
      <c r="A8" s="8" t="s">
        <v>8</v>
      </c>
      <c r="B8" s="12">
        <v>43.25</v>
      </c>
    </row>
    <row r="9" spans="1:5" ht="16.5" customHeight="1" x14ac:dyDescent="0.3">
      <c r="A9" s="8" t="s">
        <v>10</v>
      </c>
      <c r="B9" s="13">
        <f>B8/100</f>
        <v>0.4325</v>
      </c>
    </row>
    <row r="10" spans="1:5" ht="15.75" customHeight="1" x14ac:dyDescent="0.25"/>
    <row r="11" spans="1:5" ht="16.5" customHeight="1" x14ac:dyDescent="0.3">
      <c r="A11" s="16" t="s">
        <v>13</v>
      </c>
      <c r="B11" s="15" t="s">
        <v>14</v>
      </c>
      <c r="C11" s="16" t="s">
        <v>15</v>
      </c>
      <c r="D11" s="16" t="s">
        <v>16</v>
      </c>
      <c r="E11" s="16" t="s">
        <v>17</v>
      </c>
    </row>
    <row r="12" spans="1:5" ht="16.5" customHeight="1" x14ac:dyDescent="0.25">
      <c r="A12" s="17">
        <v>1</v>
      </c>
      <c r="B12" s="879">
        <v>10712237</v>
      </c>
      <c r="C12" s="885">
        <v>9206.5</v>
      </c>
      <c r="D12" s="880">
        <v>1.1000000000000001</v>
      </c>
      <c r="E12" s="881">
        <v>3.1</v>
      </c>
    </row>
    <row r="13" spans="1:5" ht="16.5" customHeight="1" x14ac:dyDescent="0.25">
      <c r="A13" s="17">
        <v>2</v>
      </c>
      <c r="B13" s="879">
        <v>10710060</v>
      </c>
      <c r="C13" s="885">
        <v>9206.1</v>
      </c>
      <c r="D13" s="880">
        <v>1.1000000000000001</v>
      </c>
      <c r="E13" s="880">
        <v>3.1</v>
      </c>
    </row>
    <row r="14" spans="1:5" ht="16.5" customHeight="1" x14ac:dyDescent="0.25">
      <c r="A14" s="17">
        <v>3</v>
      </c>
      <c r="B14" s="879">
        <v>10711877</v>
      </c>
      <c r="C14" s="885">
        <v>9225.1</v>
      </c>
      <c r="D14" s="880">
        <v>1.1000000000000001</v>
      </c>
      <c r="E14" s="880">
        <v>3.1</v>
      </c>
    </row>
    <row r="15" spans="1:5" ht="16.5" customHeight="1" x14ac:dyDescent="0.25">
      <c r="A15" s="17">
        <v>4</v>
      </c>
      <c r="B15" s="879">
        <v>10711860</v>
      </c>
      <c r="C15" s="885">
        <v>9293.7000000000007</v>
      </c>
      <c r="D15" s="880">
        <v>1</v>
      </c>
      <c r="E15" s="880">
        <v>3.1</v>
      </c>
    </row>
    <row r="16" spans="1:5" ht="16.5" customHeight="1" x14ac:dyDescent="0.25">
      <c r="A16" s="17">
        <v>5</v>
      </c>
      <c r="B16" s="879">
        <v>10709634</v>
      </c>
      <c r="C16" s="885">
        <v>9273.2000000000007</v>
      </c>
      <c r="D16" s="880">
        <v>1.1000000000000001</v>
      </c>
      <c r="E16" s="880">
        <v>3.1</v>
      </c>
    </row>
    <row r="17" spans="1:5" ht="16.5" customHeight="1" x14ac:dyDescent="0.25">
      <c r="A17" s="17">
        <v>6</v>
      </c>
      <c r="B17" s="882">
        <v>10711142</v>
      </c>
      <c r="C17" s="886">
        <v>9262.5</v>
      </c>
      <c r="D17" s="883">
        <v>1.1000000000000001</v>
      </c>
      <c r="E17" s="883">
        <v>3.1</v>
      </c>
    </row>
    <row r="18" spans="1:5" ht="16.5" customHeight="1" x14ac:dyDescent="0.3">
      <c r="A18" s="23" t="s">
        <v>18</v>
      </c>
      <c r="B18" s="24">
        <f>AVERAGE(B12:B17)</f>
        <v>10711135</v>
      </c>
      <c r="C18" s="25">
        <f>AVERAGE(C12:C17)</f>
        <v>9244.5166666666646</v>
      </c>
      <c r="D18" s="26">
        <f>AVERAGE(D12:D17)</f>
        <v>1.0833333333333333</v>
      </c>
      <c r="E18" s="26">
        <f>AVERAGE(E12:E17)</f>
        <v>3.1</v>
      </c>
    </row>
    <row r="19" spans="1:5" ht="16.5" customHeight="1" x14ac:dyDescent="0.3">
      <c r="A19" s="27" t="s">
        <v>19</v>
      </c>
      <c r="B19" s="28">
        <f>(STDEV(B12:B17)/B18)</f>
        <v>9.9675642676570392E-5</v>
      </c>
      <c r="C19" s="29"/>
      <c r="D19" s="29"/>
      <c r="E19" s="30"/>
    </row>
    <row r="20" spans="1:5" s="72" customFormat="1" ht="16.5" customHeight="1" x14ac:dyDescent="0.3">
      <c r="A20" s="31" t="s">
        <v>20</v>
      </c>
      <c r="B20" s="32">
        <f>COUNT(B12:B17)</f>
        <v>6</v>
      </c>
      <c r="C20" s="33"/>
      <c r="D20" s="73"/>
      <c r="E20" s="35"/>
    </row>
    <row r="21" spans="1:5" s="72" customFormat="1" ht="15.75" customHeight="1" x14ac:dyDescent="0.25"/>
    <row r="22" spans="1:5" s="72" customFormat="1" ht="16.5" customHeight="1" x14ac:dyDescent="0.3">
      <c r="A22" s="75" t="s">
        <v>21</v>
      </c>
      <c r="B22" s="40" t="s">
        <v>22</v>
      </c>
      <c r="C22" s="39"/>
      <c r="D22" s="39"/>
      <c r="E22" s="39"/>
    </row>
    <row r="23" spans="1:5" ht="16.5" customHeight="1" x14ac:dyDescent="0.3">
      <c r="A23" s="75"/>
      <c r="B23" s="40" t="s">
        <v>137</v>
      </c>
      <c r="C23" s="39"/>
      <c r="D23" s="39"/>
      <c r="E23" s="39"/>
    </row>
    <row r="24" spans="1:5" ht="16.5" customHeight="1" x14ac:dyDescent="0.3">
      <c r="A24" s="75"/>
      <c r="B24" s="40" t="s">
        <v>24</v>
      </c>
      <c r="C24" s="39"/>
      <c r="D24" s="39"/>
      <c r="E24" s="39"/>
    </row>
    <row r="25" spans="1:5" ht="15.75" customHeight="1" thickBot="1" x14ac:dyDescent="0.3"/>
    <row r="26" spans="1:5" ht="15" customHeight="1" x14ac:dyDescent="0.3">
      <c r="B26" s="884" t="s">
        <v>26</v>
      </c>
      <c r="C26" s="884"/>
      <c r="E26" s="68" t="s">
        <v>27</v>
      </c>
    </row>
    <row r="27" spans="1:5" ht="15" customHeight="1" x14ac:dyDescent="0.3">
      <c r="A27" s="828" t="s">
        <v>29</v>
      </c>
      <c r="B27" s="73"/>
      <c r="C27" s="73"/>
      <c r="E27" s="73"/>
    </row>
    <row r="28" spans="1:5" ht="15" customHeight="1" x14ac:dyDescent="0.3">
      <c r="A28" s="828" t="s">
        <v>30</v>
      </c>
      <c r="B28" s="74"/>
      <c r="C28" s="74"/>
      <c r="E28" s="74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26:C26"/>
  </mergeCells>
  <pageMargins left="0.7" right="0.7" top="0.75" bottom="0.75" header="0.3" footer="0.3"/>
  <pageSetup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7" zoomScale="50" zoomScaleNormal="40" zoomScalePageLayoutView="50" workbookViewId="0">
      <selection activeCell="E49" sqref="E4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7" t="s">
        <v>45</v>
      </c>
      <c r="B1" s="837"/>
      <c r="C1" s="837"/>
      <c r="D1" s="837"/>
      <c r="E1" s="837"/>
      <c r="F1" s="837"/>
      <c r="G1" s="837"/>
      <c r="H1" s="837"/>
      <c r="I1" s="837"/>
    </row>
    <row r="2" spans="1:9" ht="18.75" customHeight="1" x14ac:dyDescent="0.25">
      <c r="A2" s="837"/>
      <c r="B2" s="837"/>
      <c r="C2" s="837"/>
      <c r="D2" s="837"/>
      <c r="E2" s="837"/>
      <c r="F2" s="837"/>
      <c r="G2" s="837"/>
      <c r="H2" s="837"/>
      <c r="I2" s="837"/>
    </row>
    <row r="3" spans="1:9" ht="18.75" customHeight="1" x14ac:dyDescent="0.25">
      <c r="A3" s="837"/>
      <c r="B3" s="837"/>
      <c r="C3" s="837"/>
      <c r="D3" s="837"/>
      <c r="E3" s="837"/>
      <c r="F3" s="837"/>
      <c r="G3" s="837"/>
      <c r="H3" s="837"/>
      <c r="I3" s="837"/>
    </row>
    <row r="4" spans="1:9" ht="18.75" customHeight="1" x14ac:dyDescent="0.25">
      <c r="A4" s="837"/>
      <c r="B4" s="837"/>
      <c r="C4" s="837"/>
      <c r="D4" s="837"/>
      <c r="E4" s="837"/>
      <c r="F4" s="837"/>
      <c r="G4" s="837"/>
      <c r="H4" s="837"/>
      <c r="I4" s="837"/>
    </row>
    <row r="5" spans="1:9" ht="18.75" customHeight="1" x14ac:dyDescent="0.25">
      <c r="A5" s="837"/>
      <c r="B5" s="837"/>
      <c r="C5" s="837"/>
      <c r="D5" s="837"/>
      <c r="E5" s="837"/>
      <c r="F5" s="837"/>
      <c r="G5" s="837"/>
      <c r="H5" s="837"/>
      <c r="I5" s="837"/>
    </row>
    <row r="6" spans="1:9" ht="18.75" customHeight="1" x14ac:dyDescent="0.25">
      <c r="A6" s="837"/>
      <c r="B6" s="837"/>
      <c r="C6" s="837"/>
      <c r="D6" s="837"/>
      <c r="E6" s="837"/>
      <c r="F6" s="837"/>
      <c r="G6" s="837"/>
      <c r="H6" s="837"/>
      <c r="I6" s="837"/>
    </row>
    <row r="7" spans="1:9" ht="18.75" customHeight="1" x14ac:dyDescent="0.25">
      <c r="A7" s="837"/>
      <c r="B7" s="837"/>
      <c r="C7" s="837"/>
      <c r="D7" s="837"/>
      <c r="E7" s="837"/>
      <c r="F7" s="837"/>
      <c r="G7" s="837"/>
      <c r="H7" s="837"/>
      <c r="I7" s="837"/>
    </row>
    <row r="8" spans="1:9" x14ac:dyDescent="0.25">
      <c r="A8" s="838" t="s">
        <v>46</v>
      </c>
      <c r="B8" s="838"/>
      <c r="C8" s="838"/>
      <c r="D8" s="838"/>
      <c r="E8" s="838"/>
      <c r="F8" s="838"/>
      <c r="G8" s="838"/>
      <c r="H8" s="838"/>
      <c r="I8" s="838"/>
    </row>
    <row r="9" spans="1:9" x14ac:dyDescent="0.25">
      <c r="A9" s="838"/>
      <c r="B9" s="838"/>
      <c r="C9" s="838"/>
      <c r="D9" s="838"/>
      <c r="E9" s="838"/>
      <c r="F9" s="838"/>
      <c r="G9" s="838"/>
      <c r="H9" s="838"/>
      <c r="I9" s="838"/>
    </row>
    <row r="10" spans="1:9" x14ac:dyDescent="0.25">
      <c r="A10" s="838"/>
      <c r="B10" s="838"/>
      <c r="C10" s="838"/>
      <c r="D10" s="838"/>
      <c r="E10" s="838"/>
      <c r="F10" s="838"/>
      <c r="G10" s="838"/>
      <c r="H10" s="838"/>
      <c r="I10" s="838"/>
    </row>
    <row r="11" spans="1:9" x14ac:dyDescent="0.25">
      <c r="A11" s="838"/>
      <c r="B11" s="838"/>
      <c r="C11" s="838"/>
      <c r="D11" s="838"/>
      <c r="E11" s="838"/>
      <c r="F11" s="838"/>
      <c r="G11" s="838"/>
      <c r="H11" s="838"/>
      <c r="I11" s="838"/>
    </row>
    <row r="12" spans="1:9" x14ac:dyDescent="0.25">
      <c r="A12" s="838"/>
      <c r="B12" s="838"/>
      <c r="C12" s="838"/>
      <c r="D12" s="838"/>
      <c r="E12" s="838"/>
      <c r="F12" s="838"/>
      <c r="G12" s="838"/>
      <c r="H12" s="838"/>
      <c r="I12" s="838"/>
    </row>
    <row r="13" spans="1:9" x14ac:dyDescent="0.25">
      <c r="A13" s="838"/>
      <c r="B13" s="838"/>
      <c r="C13" s="838"/>
      <c r="D13" s="838"/>
      <c r="E13" s="838"/>
      <c r="F13" s="838"/>
      <c r="G13" s="838"/>
      <c r="H13" s="838"/>
      <c r="I13" s="838"/>
    </row>
    <row r="14" spans="1:9" x14ac:dyDescent="0.25">
      <c r="A14" s="838"/>
      <c r="B14" s="838"/>
      <c r="C14" s="838"/>
      <c r="D14" s="838"/>
      <c r="E14" s="838"/>
      <c r="F14" s="838"/>
      <c r="G14" s="838"/>
      <c r="H14" s="838"/>
      <c r="I14" s="838"/>
    </row>
    <row r="15" spans="1:9" ht="19.5" customHeight="1" x14ac:dyDescent="0.3">
      <c r="A15" s="462"/>
    </row>
    <row r="16" spans="1:9" ht="19.5" customHeight="1" x14ac:dyDescent="0.3">
      <c r="A16" s="871" t="s">
        <v>31</v>
      </c>
      <c r="B16" s="872"/>
      <c r="C16" s="872"/>
      <c r="D16" s="872"/>
      <c r="E16" s="872"/>
      <c r="F16" s="872"/>
      <c r="G16" s="872"/>
      <c r="H16" s="873"/>
    </row>
    <row r="17" spans="1:14" ht="20.25" customHeight="1" x14ac:dyDescent="0.25">
      <c r="A17" s="874" t="s">
        <v>47</v>
      </c>
      <c r="B17" s="874"/>
      <c r="C17" s="874"/>
      <c r="D17" s="874"/>
      <c r="E17" s="874"/>
      <c r="F17" s="874"/>
      <c r="G17" s="874"/>
      <c r="H17" s="874"/>
    </row>
    <row r="18" spans="1:14" ht="26.25" customHeight="1" x14ac:dyDescent="0.4">
      <c r="A18" s="464" t="s">
        <v>33</v>
      </c>
      <c r="B18" s="870" t="s">
        <v>5</v>
      </c>
      <c r="C18" s="870"/>
      <c r="D18" s="630"/>
      <c r="E18" s="465"/>
      <c r="F18" s="466"/>
      <c r="G18" s="466"/>
      <c r="H18" s="466"/>
    </row>
    <row r="19" spans="1:14" ht="26.25" customHeight="1" x14ac:dyDescent="0.4">
      <c r="A19" s="464" t="s">
        <v>34</v>
      </c>
      <c r="B19" s="467" t="s">
        <v>7</v>
      </c>
      <c r="C19" s="643">
        <v>29</v>
      </c>
      <c r="D19" s="466"/>
      <c r="E19" s="466"/>
      <c r="F19" s="466"/>
      <c r="G19" s="466"/>
      <c r="H19" s="466"/>
    </row>
    <row r="20" spans="1:14" ht="26.25" customHeight="1" x14ac:dyDescent="0.4">
      <c r="A20" s="464" t="s">
        <v>35</v>
      </c>
      <c r="B20" s="875" t="s">
        <v>9</v>
      </c>
      <c r="C20" s="875"/>
      <c r="D20" s="466"/>
      <c r="E20" s="466"/>
      <c r="F20" s="466"/>
      <c r="G20" s="466"/>
      <c r="H20" s="466"/>
    </row>
    <row r="21" spans="1:14" ht="26.25" customHeight="1" x14ac:dyDescent="0.4">
      <c r="A21" s="464" t="s">
        <v>36</v>
      </c>
      <c r="B21" s="875" t="s">
        <v>11</v>
      </c>
      <c r="C21" s="875"/>
      <c r="D21" s="875"/>
      <c r="E21" s="875"/>
      <c r="F21" s="875"/>
      <c r="G21" s="875"/>
      <c r="H21" s="875"/>
      <c r="I21" s="468"/>
    </row>
    <row r="22" spans="1:14" ht="26.25" customHeight="1" x14ac:dyDescent="0.4">
      <c r="A22" s="464" t="s">
        <v>37</v>
      </c>
      <c r="B22" s="469" t="s">
        <v>12</v>
      </c>
      <c r="C22" s="466"/>
      <c r="D22" s="466"/>
      <c r="E22" s="466"/>
      <c r="F22" s="466"/>
      <c r="G22" s="466"/>
      <c r="H22" s="466"/>
    </row>
    <row r="23" spans="1:14" ht="26.25" customHeight="1" x14ac:dyDescent="0.4">
      <c r="A23" s="464" t="s">
        <v>38</v>
      </c>
      <c r="B23" s="469"/>
      <c r="C23" s="466"/>
      <c r="D23" s="466"/>
      <c r="E23" s="466"/>
      <c r="F23" s="466"/>
      <c r="G23" s="466"/>
      <c r="H23" s="466"/>
    </row>
    <row r="24" spans="1:14" ht="18.75" x14ac:dyDescent="0.3">
      <c r="A24" s="464"/>
      <c r="B24" s="470"/>
    </row>
    <row r="25" spans="1:14" ht="18.75" x14ac:dyDescent="0.3">
      <c r="A25" s="471" t="s">
        <v>1</v>
      </c>
      <c r="B25" s="470"/>
    </row>
    <row r="26" spans="1:14" ht="26.25" customHeight="1" x14ac:dyDescent="0.4">
      <c r="A26" s="472" t="s">
        <v>4</v>
      </c>
      <c r="B26" s="870" t="s">
        <v>127</v>
      </c>
      <c r="C26" s="870"/>
    </row>
    <row r="27" spans="1:14" ht="26.25" customHeight="1" x14ac:dyDescent="0.4">
      <c r="A27" s="473" t="s">
        <v>48</v>
      </c>
      <c r="B27" s="868" t="s">
        <v>132</v>
      </c>
      <c r="C27" s="868"/>
    </row>
    <row r="28" spans="1:14" ht="27" customHeight="1" x14ac:dyDescent="0.4">
      <c r="A28" s="473" t="s">
        <v>6</v>
      </c>
      <c r="B28" s="474">
        <v>99.5</v>
      </c>
    </row>
    <row r="29" spans="1:14" s="14" customFormat="1" ht="27" customHeight="1" x14ac:dyDescent="0.4">
      <c r="A29" s="473" t="s">
        <v>49</v>
      </c>
      <c r="B29" s="475">
        <v>0</v>
      </c>
      <c r="C29" s="845" t="s">
        <v>50</v>
      </c>
      <c r="D29" s="846"/>
      <c r="E29" s="846"/>
      <c r="F29" s="846"/>
      <c r="G29" s="847"/>
      <c r="I29" s="476"/>
      <c r="J29" s="476"/>
      <c r="K29" s="476"/>
      <c r="L29" s="476"/>
    </row>
    <row r="30" spans="1:14" s="14" customFormat="1" ht="19.5" customHeight="1" x14ac:dyDescent="0.3">
      <c r="A30" s="473" t="s">
        <v>51</v>
      </c>
      <c r="B30" s="477">
        <f>B28-B29</f>
        <v>99.5</v>
      </c>
      <c r="C30" s="478"/>
      <c r="D30" s="478"/>
      <c r="E30" s="478"/>
      <c r="F30" s="478"/>
      <c r="G30" s="479"/>
      <c r="I30" s="476"/>
      <c r="J30" s="476"/>
      <c r="K30" s="476"/>
      <c r="L30" s="476"/>
    </row>
    <row r="31" spans="1:14" s="14" customFormat="1" ht="27" customHeight="1" x14ac:dyDescent="0.4">
      <c r="A31" s="473" t="s">
        <v>52</v>
      </c>
      <c r="B31" s="480">
        <v>1</v>
      </c>
      <c r="C31" s="848" t="s">
        <v>53</v>
      </c>
      <c r="D31" s="849"/>
      <c r="E31" s="849"/>
      <c r="F31" s="849"/>
      <c r="G31" s="849"/>
      <c r="H31" s="850"/>
      <c r="I31" s="476"/>
      <c r="J31" s="476"/>
      <c r="K31" s="476"/>
      <c r="L31" s="476"/>
    </row>
    <row r="32" spans="1:14" s="14" customFormat="1" ht="27" customHeight="1" x14ac:dyDescent="0.4">
      <c r="A32" s="473" t="s">
        <v>54</v>
      </c>
      <c r="B32" s="480">
        <v>1</v>
      </c>
      <c r="C32" s="848" t="s">
        <v>55</v>
      </c>
      <c r="D32" s="849"/>
      <c r="E32" s="849"/>
      <c r="F32" s="849"/>
      <c r="G32" s="849"/>
      <c r="H32" s="850"/>
      <c r="I32" s="476"/>
      <c r="J32" s="476"/>
      <c r="K32" s="476"/>
      <c r="L32" s="481"/>
      <c r="M32" s="481"/>
      <c r="N32" s="482"/>
    </row>
    <row r="33" spans="1:14" s="14" customFormat="1" ht="17.25" customHeight="1" x14ac:dyDescent="0.3">
      <c r="A33" s="473"/>
      <c r="B33" s="483"/>
      <c r="C33" s="484"/>
      <c r="D33" s="484"/>
      <c r="E33" s="484"/>
      <c r="F33" s="484"/>
      <c r="G33" s="484"/>
      <c r="H33" s="484"/>
      <c r="I33" s="476"/>
      <c r="J33" s="476"/>
      <c r="K33" s="476"/>
      <c r="L33" s="481"/>
      <c r="M33" s="481"/>
      <c r="N33" s="482"/>
    </row>
    <row r="34" spans="1:14" s="14" customFormat="1" ht="18.75" x14ac:dyDescent="0.3">
      <c r="A34" s="473" t="s">
        <v>56</v>
      </c>
      <c r="B34" s="485">
        <f>B31/B32</f>
        <v>1</v>
      </c>
      <c r="C34" s="463" t="s">
        <v>57</v>
      </c>
      <c r="D34" s="463"/>
      <c r="E34" s="463"/>
      <c r="F34" s="463"/>
      <c r="G34" s="463"/>
      <c r="I34" s="476"/>
      <c r="J34" s="476"/>
      <c r="K34" s="476"/>
      <c r="L34" s="481"/>
      <c r="M34" s="481"/>
      <c r="N34" s="482"/>
    </row>
    <row r="35" spans="1:14" s="14" customFormat="1" ht="19.5" customHeight="1" x14ac:dyDescent="0.3">
      <c r="A35" s="473"/>
      <c r="B35" s="477"/>
      <c r="G35" s="463"/>
      <c r="I35" s="476"/>
      <c r="J35" s="476"/>
      <c r="K35" s="476"/>
      <c r="L35" s="481"/>
      <c r="M35" s="481"/>
      <c r="N35" s="482"/>
    </row>
    <row r="36" spans="1:14" s="14" customFormat="1" ht="27" customHeight="1" x14ac:dyDescent="0.4">
      <c r="A36" s="486" t="s">
        <v>58</v>
      </c>
      <c r="B36" s="487">
        <v>100</v>
      </c>
      <c r="C36" s="463"/>
      <c r="D36" s="851" t="s">
        <v>59</v>
      </c>
      <c r="E36" s="869"/>
      <c r="F36" s="851" t="s">
        <v>60</v>
      </c>
      <c r="G36" s="852"/>
      <c r="J36" s="476"/>
      <c r="K36" s="476"/>
      <c r="L36" s="481"/>
      <c r="M36" s="481"/>
      <c r="N36" s="482"/>
    </row>
    <row r="37" spans="1:14" s="14" customFormat="1" ht="27" customHeight="1" x14ac:dyDescent="0.4">
      <c r="A37" s="488" t="s">
        <v>61</v>
      </c>
      <c r="B37" s="489">
        <v>1</v>
      </c>
      <c r="C37" s="490" t="s">
        <v>62</v>
      </c>
      <c r="D37" s="491" t="s">
        <v>63</v>
      </c>
      <c r="E37" s="492" t="s">
        <v>64</v>
      </c>
      <c r="F37" s="491" t="s">
        <v>63</v>
      </c>
      <c r="G37" s="493" t="s">
        <v>64</v>
      </c>
      <c r="I37" s="494" t="s">
        <v>65</v>
      </c>
      <c r="J37" s="476"/>
      <c r="K37" s="476"/>
      <c r="L37" s="481"/>
      <c r="M37" s="481"/>
      <c r="N37" s="482"/>
    </row>
    <row r="38" spans="1:14" s="14" customFormat="1" ht="26.25" customHeight="1" x14ac:dyDescent="0.4">
      <c r="A38" s="488" t="s">
        <v>66</v>
      </c>
      <c r="B38" s="489">
        <v>1</v>
      </c>
      <c r="C38" s="495">
        <v>1</v>
      </c>
      <c r="D38" s="496">
        <v>10711068</v>
      </c>
      <c r="E38" s="497">
        <f>IF(ISBLANK(D38),"-",$D$48/$D$45*D38)</f>
        <v>10702667.650390683</v>
      </c>
      <c r="F38" s="496">
        <v>10217238</v>
      </c>
      <c r="G38" s="498">
        <f>IF(ISBLANK(F38),"-",$D$48/$F$45*F38)</f>
        <v>10688670.513059122</v>
      </c>
      <c r="I38" s="499"/>
      <c r="J38" s="476"/>
      <c r="K38" s="476"/>
      <c r="L38" s="481"/>
      <c r="M38" s="481"/>
      <c r="N38" s="482"/>
    </row>
    <row r="39" spans="1:14" s="14" customFormat="1" ht="26.25" customHeight="1" x14ac:dyDescent="0.4">
      <c r="A39" s="488" t="s">
        <v>67</v>
      </c>
      <c r="B39" s="489">
        <v>1</v>
      </c>
      <c r="C39" s="500">
        <v>2</v>
      </c>
      <c r="D39" s="501">
        <v>10714601</v>
      </c>
      <c r="E39" s="502">
        <f>IF(ISBLANK(D39),"-",$D$48/$D$45*D39)</f>
        <v>10706197.879571268</v>
      </c>
      <c r="F39" s="501">
        <v>10221231</v>
      </c>
      <c r="G39" s="503">
        <f>IF(ISBLANK(F39),"-",$D$48/$F$45*F39)</f>
        <v>10692847.753655715</v>
      </c>
      <c r="I39" s="853">
        <f>ABS((F43/D43*D42)-F42)/D42</f>
        <v>1.2912287606124812E-3</v>
      </c>
      <c r="J39" s="476"/>
      <c r="K39" s="476"/>
      <c r="L39" s="481"/>
      <c r="M39" s="481"/>
      <c r="N39" s="482"/>
    </row>
    <row r="40" spans="1:14" ht="26.25" customHeight="1" x14ac:dyDescent="0.4">
      <c r="A40" s="488" t="s">
        <v>68</v>
      </c>
      <c r="B40" s="489">
        <v>1</v>
      </c>
      <c r="C40" s="500">
        <v>3</v>
      </c>
      <c r="D40" s="501">
        <v>10712043</v>
      </c>
      <c r="E40" s="502">
        <f>IF(ISBLANK(D40),"-",$D$48/$D$45*D40)</f>
        <v>10703641.885729225</v>
      </c>
      <c r="F40" s="501">
        <v>10216193</v>
      </c>
      <c r="G40" s="503">
        <f>IF(ISBLANK(F40),"-",$D$48/$F$45*F40)</f>
        <v>10687577.295823099</v>
      </c>
      <c r="I40" s="853"/>
      <c r="L40" s="481"/>
      <c r="M40" s="481"/>
      <c r="N40" s="504"/>
    </row>
    <row r="41" spans="1:14" ht="27" customHeight="1" x14ac:dyDescent="0.4">
      <c r="A41" s="488" t="s">
        <v>69</v>
      </c>
      <c r="B41" s="489">
        <v>1</v>
      </c>
      <c r="C41" s="505">
        <v>4</v>
      </c>
      <c r="D41" s="506"/>
      <c r="E41" s="507" t="str">
        <f>IF(ISBLANK(D41),"-",$D$48/$D$45*D41)</f>
        <v>-</v>
      </c>
      <c r="F41" s="506"/>
      <c r="G41" s="508" t="str">
        <f>IF(ISBLANK(F41),"-",$D$48/$F$45*F41)</f>
        <v>-</v>
      </c>
      <c r="I41" s="509"/>
      <c r="L41" s="481"/>
      <c r="M41" s="481"/>
      <c r="N41" s="504"/>
    </row>
    <row r="42" spans="1:14" ht="27" customHeight="1" x14ac:dyDescent="0.4">
      <c r="A42" s="488" t="s">
        <v>70</v>
      </c>
      <c r="B42" s="489">
        <v>1</v>
      </c>
      <c r="C42" s="510" t="s">
        <v>71</v>
      </c>
      <c r="D42" s="511">
        <f>AVERAGE(D38:D41)</f>
        <v>10712570.666666666</v>
      </c>
      <c r="E42" s="512">
        <f>AVERAGE(E38:E41)</f>
        <v>10704169.138563724</v>
      </c>
      <c r="F42" s="511">
        <f>AVERAGE(F38:F41)</f>
        <v>10218220.666666666</v>
      </c>
      <c r="G42" s="513">
        <f>AVERAGE(G38:G41)</f>
        <v>10689698.520845979</v>
      </c>
      <c r="H42" s="514"/>
    </row>
    <row r="43" spans="1:14" ht="26.25" customHeight="1" x14ac:dyDescent="0.4">
      <c r="A43" s="488" t="s">
        <v>72</v>
      </c>
      <c r="B43" s="489">
        <v>1</v>
      </c>
      <c r="C43" s="515" t="s">
        <v>73</v>
      </c>
      <c r="D43" s="516">
        <v>43.25</v>
      </c>
      <c r="E43" s="504"/>
      <c r="F43" s="516">
        <v>41.31</v>
      </c>
      <c r="H43" s="514"/>
    </row>
    <row r="44" spans="1:14" ht="26.25" customHeight="1" x14ac:dyDescent="0.4">
      <c r="A44" s="488" t="s">
        <v>74</v>
      </c>
      <c r="B44" s="489">
        <v>1</v>
      </c>
      <c r="C44" s="517" t="s">
        <v>75</v>
      </c>
      <c r="D44" s="518">
        <f>D43*$B$34</f>
        <v>43.25</v>
      </c>
      <c r="E44" s="519"/>
      <c r="F44" s="518">
        <f>F43*$B$34</f>
        <v>41.31</v>
      </c>
      <c r="H44" s="514"/>
    </row>
    <row r="45" spans="1:14" ht="19.5" customHeight="1" x14ac:dyDescent="0.3">
      <c r="A45" s="488" t="s">
        <v>76</v>
      </c>
      <c r="B45" s="520">
        <f>(B44/B43)*(B42/B41)*(B40/B39)*(B38/B37)*B36</f>
        <v>100</v>
      </c>
      <c r="C45" s="517" t="s">
        <v>77</v>
      </c>
      <c r="D45" s="521">
        <f>D44*$B$30/100</f>
        <v>43.033749999999998</v>
      </c>
      <c r="E45" s="522"/>
      <c r="F45" s="521">
        <f>F44*$B$30/100</f>
        <v>41.103450000000002</v>
      </c>
      <c r="H45" s="514"/>
    </row>
    <row r="46" spans="1:14" ht="19.5" customHeight="1" x14ac:dyDescent="0.3">
      <c r="A46" s="839" t="s">
        <v>78</v>
      </c>
      <c r="B46" s="840"/>
      <c r="C46" s="517" t="s">
        <v>79</v>
      </c>
      <c r="D46" s="523">
        <f>D45/$B$45</f>
        <v>0.43033749999999998</v>
      </c>
      <c r="E46" s="524"/>
      <c r="F46" s="525">
        <f>F45/$B$45</f>
        <v>0.41103450000000002</v>
      </c>
      <c r="H46" s="514"/>
    </row>
    <row r="47" spans="1:14" ht="27" customHeight="1" x14ac:dyDescent="0.4">
      <c r="A47" s="841"/>
      <c r="B47" s="842"/>
      <c r="C47" s="526" t="s">
        <v>80</v>
      </c>
      <c r="D47" s="527">
        <v>0.43</v>
      </c>
      <c r="E47" s="528"/>
      <c r="F47" s="524"/>
      <c r="H47" s="514"/>
    </row>
    <row r="48" spans="1:14" ht="18.75" x14ac:dyDescent="0.3">
      <c r="C48" s="529" t="s">
        <v>81</v>
      </c>
      <c r="D48" s="521">
        <f>D47*$B$45</f>
        <v>43</v>
      </c>
      <c r="F48" s="530"/>
      <c r="H48" s="514"/>
    </row>
    <row r="49" spans="1:12" ht="19.5" customHeight="1" x14ac:dyDescent="0.3">
      <c r="C49" s="531" t="s">
        <v>82</v>
      </c>
      <c r="D49" s="532">
        <f>D48/B34</f>
        <v>43</v>
      </c>
      <c r="F49" s="530"/>
      <c r="H49" s="514"/>
    </row>
    <row r="50" spans="1:12" ht="18.75" x14ac:dyDescent="0.3">
      <c r="C50" s="486" t="s">
        <v>83</v>
      </c>
      <c r="D50" s="533">
        <f>AVERAGE(E38:E41,G38:G41)</f>
        <v>10696933.829704853</v>
      </c>
      <c r="F50" s="534"/>
      <c r="H50" s="514"/>
    </row>
    <row r="51" spans="1:12" ht="18.75" x14ac:dyDescent="0.3">
      <c r="C51" s="488" t="s">
        <v>84</v>
      </c>
      <c r="D51" s="535">
        <f>STDEV(E38:E41,G38:G41)/D50</f>
        <v>7.6659815742777476E-4</v>
      </c>
      <c r="F51" s="534"/>
      <c r="H51" s="514"/>
    </row>
    <row r="52" spans="1:12" ht="19.5" customHeight="1" x14ac:dyDescent="0.3">
      <c r="C52" s="536" t="s">
        <v>20</v>
      </c>
      <c r="D52" s="537">
        <f>COUNT(E38:E41,G38:G41)</f>
        <v>6</v>
      </c>
      <c r="F52" s="534"/>
    </row>
    <row r="54" spans="1:12" ht="18.75" x14ac:dyDescent="0.3">
      <c r="A54" s="538" t="s">
        <v>1</v>
      </c>
      <c r="B54" s="539" t="s">
        <v>85</v>
      </c>
    </row>
    <row r="55" spans="1:12" ht="18.75" x14ac:dyDescent="0.3">
      <c r="A55" s="463" t="s">
        <v>86</v>
      </c>
      <c r="B55" s="540" t="str">
        <f>B21</f>
        <v>RIFAMPICIN 150mg, ISONIAZID 75mg, PYRAZINAMIDE 400mg &amp; ETHAMBUTOL HCl 275mg</v>
      </c>
    </row>
    <row r="56" spans="1:12" ht="26.25" customHeight="1" x14ac:dyDescent="0.4">
      <c r="A56" s="541" t="s">
        <v>87</v>
      </c>
      <c r="B56" s="542">
        <v>400</v>
      </c>
      <c r="C56" s="463" t="str">
        <f>B20</f>
        <v>RIFAMPICIN, ISONIAZID, PYRAZINAMIDE &amp; ETHAMBUTOL HCl</v>
      </c>
      <c r="H56" s="543"/>
    </row>
    <row r="57" spans="1:12" ht="18.75" x14ac:dyDescent="0.3">
      <c r="A57" s="540" t="s">
        <v>88</v>
      </c>
      <c r="B57" s="631">
        <f>Uniformity!C46</f>
        <v>1145.8574999999998</v>
      </c>
      <c r="H57" s="543"/>
    </row>
    <row r="58" spans="1:12" ht="19.5" customHeight="1" x14ac:dyDescent="0.3">
      <c r="H58" s="543"/>
    </row>
    <row r="59" spans="1:12" s="14" customFormat="1" ht="27" customHeight="1" x14ac:dyDescent="0.4">
      <c r="A59" s="486" t="s">
        <v>89</v>
      </c>
      <c r="B59" s="487">
        <v>200</v>
      </c>
      <c r="C59" s="463"/>
      <c r="D59" s="544" t="s">
        <v>90</v>
      </c>
      <c r="E59" s="545" t="s">
        <v>62</v>
      </c>
      <c r="F59" s="545" t="s">
        <v>63</v>
      </c>
      <c r="G59" s="545" t="s">
        <v>91</v>
      </c>
      <c r="H59" s="490" t="s">
        <v>92</v>
      </c>
      <c r="L59" s="476"/>
    </row>
    <row r="60" spans="1:12" s="14" customFormat="1" ht="26.25" customHeight="1" x14ac:dyDescent="0.4">
      <c r="A60" s="488" t="s">
        <v>93</v>
      </c>
      <c r="B60" s="489">
        <v>4</v>
      </c>
      <c r="C60" s="856" t="s">
        <v>94</v>
      </c>
      <c r="D60" s="859">
        <f>Isoniazid!D60</f>
        <v>1146.5999999999999</v>
      </c>
      <c r="E60" s="546">
        <v>1</v>
      </c>
      <c r="F60" s="547">
        <v>10665103</v>
      </c>
      <c r="G60" s="632">
        <f>IF(ISBLANK(F60),"-",(F60/$D$50*$D$47*$B$68)*($B$57/$D$60))</f>
        <v>428.44282536341973</v>
      </c>
      <c r="H60" s="548">
        <f t="shared" ref="H60:H71" si="0">IF(ISBLANK(F60),"-",G60/$B$56)</f>
        <v>1.0711070634085493</v>
      </c>
      <c r="L60" s="476"/>
    </row>
    <row r="61" spans="1:12" s="14" customFormat="1" ht="26.25" customHeight="1" x14ac:dyDescent="0.4">
      <c r="A61" s="488" t="s">
        <v>95</v>
      </c>
      <c r="B61" s="489">
        <v>20</v>
      </c>
      <c r="C61" s="857"/>
      <c r="D61" s="860"/>
      <c r="E61" s="549">
        <v>2</v>
      </c>
      <c r="F61" s="501">
        <v>10721097</v>
      </c>
      <c r="G61" s="633">
        <f>IF(ISBLANK(F61),"-",(F61/$D$50*$D$47*$B$68)*($B$57/$D$60))</f>
        <v>430.69223894746102</v>
      </c>
      <c r="H61" s="550">
        <f t="shared" si="0"/>
        <v>1.0767305973686525</v>
      </c>
      <c r="L61" s="476"/>
    </row>
    <row r="62" spans="1:12" s="14" customFormat="1" ht="26.25" customHeight="1" x14ac:dyDescent="0.4">
      <c r="A62" s="488" t="s">
        <v>96</v>
      </c>
      <c r="B62" s="489">
        <v>1</v>
      </c>
      <c r="C62" s="857"/>
      <c r="D62" s="860"/>
      <c r="E62" s="549">
        <v>3</v>
      </c>
      <c r="F62" s="551">
        <v>10695703</v>
      </c>
      <c r="G62" s="633">
        <f>IF(ISBLANK(F62),"-",(F62/$D$50*$D$47*$B$68)*($B$57/$D$60))</f>
        <v>429.6721009227951</v>
      </c>
      <c r="H62" s="550">
        <f t="shared" si="0"/>
        <v>1.0741802523069877</v>
      </c>
      <c r="L62" s="476"/>
    </row>
    <row r="63" spans="1:12" ht="27" customHeight="1" x14ac:dyDescent="0.4">
      <c r="A63" s="488" t="s">
        <v>97</v>
      </c>
      <c r="B63" s="489">
        <v>1</v>
      </c>
      <c r="C63" s="867"/>
      <c r="D63" s="861"/>
      <c r="E63" s="552">
        <v>4</v>
      </c>
      <c r="F63" s="553"/>
      <c r="G63" s="633" t="str">
        <f>IF(ISBLANK(F63),"-",(F63/$D$50*$D$47*$B$68)*($B$57/$D$60))</f>
        <v>-</v>
      </c>
      <c r="H63" s="550" t="str">
        <f t="shared" si="0"/>
        <v>-</v>
      </c>
    </row>
    <row r="64" spans="1:12" ht="26.25" customHeight="1" x14ac:dyDescent="0.4">
      <c r="A64" s="488" t="s">
        <v>98</v>
      </c>
      <c r="B64" s="489">
        <v>1</v>
      </c>
      <c r="C64" s="856" t="s">
        <v>99</v>
      </c>
      <c r="D64" s="859">
        <f>Isoniazid!D64</f>
        <v>1138.1500000000001</v>
      </c>
      <c r="E64" s="546">
        <v>1</v>
      </c>
      <c r="F64" s="547">
        <v>10618744</v>
      </c>
      <c r="G64" s="634">
        <f>IF(ISBLANK(F64),"-",(F64/$D$50*$D$47*$B$68)*($B$57/$D$64))</f>
        <v>429.74754664743813</v>
      </c>
      <c r="H64" s="554">
        <f t="shared" si="0"/>
        <v>1.0743688666185953</v>
      </c>
    </row>
    <row r="65" spans="1:8" ht="26.25" customHeight="1" x14ac:dyDescent="0.4">
      <c r="A65" s="488" t="s">
        <v>100</v>
      </c>
      <c r="B65" s="489">
        <v>1</v>
      </c>
      <c r="C65" s="857"/>
      <c r="D65" s="860"/>
      <c r="E65" s="549">
        <v>2</v>
      </c>
      <c r="F65" s="501">
        <v>10617119</v>
      </c>
      <c r="G65" s="635">
        <f>IF(ISBLANK(F65),"-",(F65/$D$50*$D$47*$B$68)*($B$57/$D$64))</f>
        <v>429.68178182974384</v>
      </c>
      <c r="H65" s="555">
        <f t="shared" si="0"/>
        <v>1.0742044545743596</v>
      </c>
    </row>
    <row r="66" spans="1:8" ht="26.25" customHeight="1" x14ac:dyDescent="0.4">
      <c r="A66" s="488" t="s">
        <v>101</v>
      </c>
      <c r="B66" s="489">
        <v>1</v>
      </c>
      <c r="C66" s="857"/>
      <c r="D66" s="860"/>
      <c r="E66" s="549">
        <v>3</v>
      </c>
      <c r="F66" s="501">
        <v>10622712</v>
      </c>
      <c r="G66" s="635">
        <f>IF(ISBLANK(F66),"-",(F66/$D$50*$D$47*$B$68)*($B$57/$D$64))</f>
        <v>429.90813421458324</v>
      </c>
      <c r="H66" s="555">
        <f t="shared" si="0"/>
        <v>1.0747703355364582</v>
      </c>
    </row>
    <row r="67" spans="1:8" ht="27" customHeight="1" x14ac:dyDescent="0.4">
      <c r="A67" s="488" t="s">
        <v>102</v>
      </c>
      <c r="B67" s="489">
        <v>1</v>
      </c>
      <c r="C67" s="867"/>
      <c r="D67" s="861"/>
      <c r="E67" s="552">
        <v>4</v>
      </c>
      <c r="F67" s="553"/>
      <c r="G67" s="636" t="str">
        <f>IF(ISBLANK(F67),"-",(F67/$D$50*$D$47*$B$68)*($B$57/$D$64))</f>
        <v>-</v>
      </c>
      <c r="H67" s="556" t="str">
        <f t="shared" si="0"/>
        <v>-</v>
      </c>
    </row>
    <row r="68" spans="1:8" ht="26.25" customHeight="1" x14ac:dyDescent="0.4">
      <c r="A68" s="488" t="s">
        <v>103</v>
      </c>
      <c r="B68" s="557">
        <f>(B67/B66)*(B65/B64)*(B63/B62)*(B61/B60)*B59</f>
        <v>1000</v>
      </c>
      <c r="C68" s="856" t="s">
        <v>104</v>
      </c>
      <c r="D68" s="859">
        <f>Isoniazid!D68</f>
        <v>1153.56</v>
      </c>
      <c r="E68" s="546">
        <v>1</v>
      </c>
      <c r="F68" s="547">
        <v>10603242</v>
      </c>
      <c r="G68" s="634">
        <f>IF(ISBLANK(F68),"-",(F68/$D$50*$D$47*$B$68)*($B$57/$D$68))</f>
        <v>423.38770595337269</v>
      </c>
      <c r="H68" s="550">
        <f t="shared" si="0"/>
        <v>1.0584692648834317</v>
      </c>
    </row>
    <row r="69" spans="1:8" ht="27" customHeight="1" x14ac:dyDescent="0.4">
      <c r="A69" s="536" t="s">
        <v>105</v>
      </c>
      <c r="B69" s="558">
        <f>(D47*B68)/B56*B57</f>
        <v>1231.7968124999998</v>
      </c>
      <c r="C69" s="857"/>
      <c r="D69" s="860"/>
      <c r="E69" s="549">
        <v>2</v>
      </c>
      <c r="F69" s="501">
        <v>10587225</v>
      </c>
      <c r="G69" s="635">
        <f>IF(ISBLANK(F69),"-",(F69/$D$50*$D$47*$B$68)*($B$57/$D$68))</f>
        <v>422.74814676135816</v>
      </c>
      <c r="H69" s="550">
        <f t="shared" si="0"/>
        <v>1.0568703669033954</v>
      </c>
    </row>
    <row r="70" spans="1:8" ht="26.25" customHeight="1" x14ac:dyDescent="0.4">
      <c r="A70" s="862" t="s">
        <v>78</v>
      </c>
      <c r="B70" s="863"/>
      <c r="C70" s="857"/>
      <c r="D70" s="860"/>
      <c r="E70" s="549">
        <v>3</v>
      </c>
      <c r="F70" s="501">
        <v>10569187</v>
      </c>
      <c r="G70" s="635">
        <f>IF(ISBLANK(F70),"-",(F70/$D$50*$D$47*$B$68)*($B$57/$D$68))</f>
        <v>422.02788899114148</v>
      </c>
      <c r="H70" s="550">
        <f t="shared" si="0"/>
        <v>1.0550697224778538</v>
      </c>
    </row>
    <row r="71" spans="1:8" ht="27" customHeight="1" x14ac:dyDescent="0.4">
      <c r="A71" s="864"/>
      <c r="B71" s="865"/>
      <c r="C71" s="858"/>
      <c r="D71" s="861"/>
      <c r="E71" s="552">
        <v>4</v>
      </c>
      <c r="F71" s="553"/>
      <c r="G71" s="636" t="str">
        <f>IF(ISBLANK(F71),"-",(F71/$D$50*$D$47*$B$68)*($B$57/$D$68))</f>
        <v>-</v>
      </c>
      <c r="H71" s="559" t="str">
        <f t="shared" si="0"/>
        <v>-</v>
      </c>
    </row>
    <row r="72" spans="1:8" ht="26.25" customHeight="1" x14ac:dyDescent="0.4">
      <c r="A72" s="560"/>
      <c r="B72" s="560"/>
      <c r="C72" s="560"/>
      <c r="D72" s="560"/>
      <c r="E72" s="560"/>
      <c r="F72" s="562" t="s">
        <v>71</v>
      </c>
      <c r="G72" s="641">
        <f>AVERAGE(G60:G71)</f>
        <v>427.36759662570148</v>
      </c>
      <c r="H72" s="563">
        <f>AVERAGE(H60:H71)</f>
        <v>1.0684189915642535</v>
      </c>
    </row>
    <row r="73" spans="1:8" ht="26.25" customHeight="1" x14ac:dyDescent="0.4">
      <c r="C73" s="560"/>
      <c r="D73" s="560"/>
      <c r="E73" s="560"/>
      <c r="F73" s="564" t="s">
        <v>84</v>
      </c>
      <c r="G73" s="637">
        <f>STDEV(G60:G71)/G72</f>
        <v>8.301118445282021E-3</v>
      </c>
      <c r="H73" s="637">
        <f>STDEV(H60:H71)/H72</f>
        <v>8.3011184452819985E-3</v>
      </c>
    </row>
    <row r="74" spans="1:8" ht="27" customHeight="1" x14ac:dyDescent="0.4">
      <c r="A74" s="560"/>
      <c r="B74" s="560"/>
      <c r="C74" s="561"/>
      <c r="D74" s="561"/>
      <c r="E74" s="565"/>
      <c r="F74" s="566" t="s">
        <v>20</v>
      </c>
      <c r="G74" s="567">
        <f>COUNT(G60:G71)</f>
        <v>9</v>
      </c>
      <c r="H74" s="567">
        <f>COUNT(H60:H71)</f>
        <v>9</v>
      </c>
    </row>
    <row r="76" spans="1:8" ht="26.25" customHeight="1" x14ac:dyDescent="0.4">
      <c r="A76" s="472" t="s">
        <v>106</v>
      </c>
      <c r="B76" s="568" t="s">
        <v>107</v>
      </c>
      <c r="C76" s="843" t="str">
        <f>B20</f>
        <v>RIFAMPICIN, ISONIAZID, PYRAZINAMIDE &amp; ETHAMBUTOL HCl</v>
      </c>
      <c r="D76" s="843"/>
      <c r="E76" s="569" t="s">
        <v>108</v>
      </c>
      <c r="F76" s="569"/>
      <c r="G76" s="570">
        <f>H72</f>
        <v>1.0684189915642535</v>
      </c>
      <c r="H76" s="571"/>
    </row>
    <row r="77" spans="1:8" ht="18.75" x14ac:dyDescent="0.3">
      <c r="A77" s="471" t="s">
        <v>109</v>
      </c>
      <c r="B77" s="471" t="s">
        <v>110</v>
      </c>
    </row>
    <row r="78" spans="1:8" ht="18.75" x14ac:dyDescent="0.3">
      <c r="A78" s="471"/>
      <c r="B78" s="471"/>
    </row>
    <row r="79" spans="1:8" ht="26.25" customHeight="1" x14ac:dyDescent="0.4">
      <c r="A79" s="472" t="s">
        <v>4</v>
      </c>
      <c r="B79" s="866" t="str">
        <f>B26</f>
        <v>PYRAZINAMIDE</v>
      </c>
      <c r="C79" s="866"/>
    </row>
    <row r="80" spans="1:8" ht="26.25" customHeight="1" x14ac:dyDescent="0.4">
      <c r="A80" s="473" t="s">
        <v>48</v>
      </c>
      <c r="B80" s="866" t="str">
        <f>B27</f>
        <v>P19 1</v>
      </c>
      <c r="C80" s="866"/>
    </row>
    <row r="81" spans="1:12" ht="27" customHeight="1" x14ac:dyDescent="0.4">
      <c r="A81" s="473" t="s">
        <v>6</v>
      </c>
      <c r="B81" s="572">
        <f>B28</f>
        <v>99.5</v>
      </c>
    </row>
    <row r="82" spans="1:12" s="14" customFormat="1" ht="27" customHeight="1" x14ac:dyDescent="0.4">
      <c r="A82" s="473" t="s">
        <v>49</v>
      </c>
      <c r="B82" s="475">
        <v>0</v>
      </c>
      <c r="C82" s="845" t="s">
        <v>50</v>
      </c>
      <c r="D82" s="846"/>
      <c r="E82" s="846"/>
      <c r="F82" s="846"/>
      <c r="G82" s="847"/>
      <c r="I82" s="476"/>
      <c r="J82" s="476"/>
      <c r="K82" s="476"/>
      <c r="L82" s="476"/>
    </row>
    <row r="83" spans="1:12" s="14" customFormat="1" ht="19.5" customHeight="1" x14ac:dyDescent="0.3">
      <c r="A83" s="473" t="s">
        <v>51</v>
      </c>
      <c r="B83" s="477">
        <f>B81-B82</f>
        <v>99.5</v>
      </c>
      <c r="C83" s="478"/>
      <c r="D83" s="478"/>
      <c r="E83" s="478"/>
      <c r="F83" s="478"/>
      <c r="G83" s="479"/>
      <c r="I83" s="476"/>
      <c r="J83" s="476"/>
      <c r="K83" s="476"/>
      <c r="L83" s="476"/>
    </row>
    <row r="84" spans="1:12" s="14" customFormat="1" ht="27" customHeight="1" x14ac:dyDescent="0.4">
      <c r="A84" s="473" t="s">
        <v>52</v>
      </c>
      <c r="B84" s="480">
        <v>1</v>
      </c>
      <c r="C84" s="848" t="s">
        <v>111</v>
      </c>
      <c r="D84" s="849"/>
      <c r="E84" s="849"/>
      <c r="F84" s="849"/>
      <c r="G84" s="849"/>
      <c r="H84" s="850"/>
      <c r="I84" s="476"/>
      <c r="J84" s="476"/>
      <c r="K84" s="476"/>
      <c r="L84" s="476"/>
    </row>
    <row r="85" spans="1:12" s="14" customFormat="1" ht="27" customHeight="1" x14ac:dyDescent="0.4">
      <c r="A85" s="473" t="s">
        <v>54</v>
      </c>
      <c r="B85" s="480">
        <v>1</v>
      </c>
      <c r="C85" s="848" t="s">
        <v>112</v>
      </c>
      <c r="D85" s="849"/>
      <c r="E85" s="849"/>
      <c r="F85" s="849"/>
      <c r="G85" s="849"/>
      <c r="H85" s="850"/>
      <c r="I85" s="476"/>
      <c r="J85" s="476"/>
      <c r="K85" s="476"/>
      <c r="L85" s="476"/>
    </row>
    <row r="86" spans="1:12" s="14" customFormat="1" ht="18.75" x14ac:dyDescent="0.3">
      <c r="A86" s="473"/>
      <c r="B86" s="483"/>
      <c r="C86" s="484"/>
      <c r="D86" s="484"/>
      <c r="E86" s="484"/>
      <c r="F86" s="484"/>
      <c r="G86" s="484"/>
      <c r="H86" s="484"/>
      <c r="I86" s="476"/>
      <c r="J86" s="476"/>
      <c r="K86" s="476"/>
      <c r="L86" s="476"/>
    </row>
    <row r="87" spans="1:12" s="14" customFormat="1" ht="18.75" x14ac:dyDescent="0.3">
      <c r="A87" s="473" t="s">
        <v>56</v>
      </c>
      <c r="B87" s="485">
        <f>B84/B85</f>
        <v>1</v>
      </c>
      <c r="C87" s="463" t="s">
        <v>57</v>
      </c>
      <c r="D87" s="463"/>
      <c r="E87" s="463"/>
      <c r="F87" s="463"/>
      <c r="G87" s="463"/>
      <c r="I87" s="476"/>
      <c r="J87" s="476"/>
      <c r="K87" s="476"/>
      <c r="L87" s="476"/>
    </row>
    <row r="88" spans="1:12" ht="19.5" customHeight="1" x14ac:dyDescent="0.3">
      <c r="A88" s="471"/>
      <c r="B88" s="471"/>
    </row>
    <row r="89" spans="1:12" ht="27" customHeight="1" x14ac:dyDescent="0.4">
      <c r="A89" s="486" t="s">
        <v>58</v>
      </c>
      <c r="B89" s="487">
        <v>100</v>
      </c>
      <c r="D89" s="573" t="s">
        <v>59</v>
      </c>
      <c r="E89" s="574"/>
      <c r="F89" s="851" t="s">
        <v>60</v>
      </c>
      <c r="G89" s="852"/>
    </row>
    <row r="90" spans="1:12" ht="27" customHeight="1" x14ac:dyDescent="0.4">
      <c r="A90" s="488" t="s">
        <v>61</v>
      </c>
      <c r="B90" s="489">
        <v>1</v>
      </c>
      <c r="C90" s="575" t="s">
        <v>62</v>
      </c>
      <c r="D90" s="491" t="s">
        <v>63</v>
      </c>
      <c r="E90" s="492" t="s">
        <v>64</v>
      </c>
      <c r="F90" s="491" t="s">
        <v>63</v>
      </c>
      <c r="G90" s="576" t="s">
        <v>64</v>
      </c>
      <c r="I90" s="494" t="s">
        <v>65</v>
      </c>
    </row>
    <row r="91" spans="1:12" ht="26.25" customHeight="1" x14ac:dyDescent="0.4">
      <c r="A91" s="488" t="s">
        <v>66</v>
      </c>
      <c r="B91" s="489">
        <v>1</v>
      </c>
      <c r="C91" s="577">
        <v>1</v>
      </c>
      <c r="D91" s="678">
        <v>10711068</v>
      </c>
      <c r="E91" s="497">
        <f>IF(ISBLANK(D91),"-",$D$101/$D$98*D91)</f>
        <v>11062188.785933521</v>
      </c>
      <c r="F91" s="678">
        <v>10217238</v>
      </c>
      <c r="G91" s="498">
        <f>IF(ISBLANK(F91),"-",$D$101/$F$98*F91)</f>
        <v>11047721.460526224</v>
      </c>
      <c r="I91" s="499"/>
    </row>
    <row r="92" spans="1:12" ht="26.25" customHeight="1" x14ac:dyDescent="0.4">
      <c r="A92" s="488" t="s">
        <v>67</v>
      </c>
      <c r="B92" s="489">
        <v>1</v>
      </c>
      <c r="C92" s="561">
        <v>2</v>
      </c>
      <c r="D92" s="683">
        <v>10714601</v>
      </c>
      <c r="E92" s="502">
        <f>IF(ISBLANK(D92),"-",$D$101/$D$98*D92)</f>
        <v>11065837.601624047</v>
      </c>
      <c r="F92" s="683">
        <v>10221231</v>
      </c>
      <c r="G92" s="503">
        <f>IF(ISBLANK(F92),"-",$D$101/$F$98*F92)</f>
        <v>11052039.021866372</v>
      </c>
      <c r="I92" s="853">
        <f>ABS((F96/D96*D95)-F95)/D95</f>
        <v>1.2912287606124812E-3</v>
      </c>
    </row>
    <row r="93" spans="1:12" ht="26.25" customHeight="1" x14ac:dyDescent="0.4">
      <c r="A93" s="488" t="s">
        <v>68</v>
      </c>
      <c r="B93" s="489">
        <v>1</v>
      </c>
      <c r="C93" s="561">
        <v>3</v>
      </c>
      <c r="D93" s="683">
        <v>10712043</v>
      </c>
      <c r="E93" s="502">
        <f>IF(ISBLANK(D93),"-",$D$101/$D$98*D93)</f>
        <v>11063195.747523746</v>
      </c>
      <c r="F93" s="683">
        <v>10216193</v>
      </c>
      <c r="G93" s="503">
        <f>IF(ISBLANK(F93),"-",$D$101/$F$98*F93)</f>
        <v>11046591.520230595</v>
      </c>
      <c r="I93" s="853"/>
    </row>
    <row r="94" spans="1:12" ht="27" customHeight="1" x14ac:dyDescent="0.4">
      <c r="A94" s="488" t="s">
        <v>69</v>
      </c>
      <c r="B94" s="489">
        <v>1</v>
      </c>
      <c r="C94" s="578">
        <v>4</v>
      </c>
      <c r="D94" s="688"/>
      <c r="E94" s="507" t="str">
        <f>IF(ISBLANK(D94),"-",$D$101/$D$98*D94)</f>
        <v>-</v>
      </c>
      <c r="F94" s="688"/>
      <c r="G94" s="508" t="str">
        <f>IF(ISBLANK(F94),"-",$D$101/$F$98*F94)</f>
        <v>-</v>
      </c>
      <c r="I94" s="509"/>
    </row>
    <row r="95" spans="1:12" ht="27" customHeight="1" x14ac:dyDescent="0.4">
      <c r="A95" s="488" t="s">
        <v>70</v>
      </c>
      <c r="B95" s="489">
        <v>1</v>
      </c>
      <c r="C95" s="579" t="s">
        <v>71</v>
      </c>
      <c r="D95" s="580">
        <f>AVERAGE(D91:D94)</f>
        <v>10712570.666666666</v>
      </c>
      <c r="E95" s="512">
        <f>AVERAGE(E91:E94)</f>
        <v>11063740.711693771</v>
      </c>
      <c r="F95" s="581">
        <f>AVERAGE(F91:F94)</f>
        <v>10218220.666666666</v>
      </c>
      <c r="G95" s="582">
        <f>AVERAGE(G91:G94)</f>
        <v>11048784.000874396</v>
      </c>
    </row>
    <row r="96" spans="1:12" ht="26.25" customHeight="1" x14ac:dyDescent="0.4">
      <c r="A96" s="488" t="s">
        <v>72</v>
      </c>
      <c r="B96" s="474">
        <v>1</v>
      </c>
      <c r="C96" s="583" t="s">
        <v>113</v>
      </c>
      <c r="D96" s="584">
        <v>43.25</v>
      </c>
      <c r="E96" s="504"/>
      <c r="F96" s="516">
        <v>41.31</v>
      </c>
    </row>
    <row r="97" spans="1:10" ht="26.25" customHeight="1" x14ac:dyDescent="0.4">
      <c r="A97" s="488" t="s">
        <v>74</v>
      </c>
      <c r="B97" s="474">
        <v>1</v>
      </c>
      <c r="C97" s="585" t="s">
        <v>114</v>
      </c>
      <c r="D97" s="586">
        <f>D96*$B$87</f>
        <v>43.25</v>
      </c>
      <c r="E97" s="519"/>
      <c r="F97" s="518">
        <f>F96*$B$87</f>
        <v>41.31</v>
      </c>
    </row>
    <row r="98" spans="1:10" ht="19.5" customHeight="1" x14ac:dyDescent="0.3">
      <c r="A98" s="488" t="s">
        <v>76</v>
      </c>
      <c r="B98" s="587">
        <f>(B97/B96)*(B95/B94)*(B93/B92)*(B91/B90)*B89</f>
        <v>100</v>
      </c>
      <c r="C98" s="585" t="s">
        <v>115</v>
      </c>
      <c r="D98" s="588">
        <f>D97*$B$83/100</f>
        <v>43.033749999999998</v>
      </c>
      <c r="E98" s="522"/>
      <c r="F98" s="521">
        <f>F97*$B$83/100</f>
        <v>41.103450000000002</v>
      </c>
    </row>
    <row r="99" spans="1:10" ht="19.5" customHeight="1" x14ac:dyDescent="0.3">
      <c r="A99" s="839" t="s">
        <v>78</v>
      </c>
      <c r="B99" s="854"/>
      <c r="C99" s="585" t="s">
        <v>116</v>
      </c>
      <c r="D99" s="589">
        <f>D98/$B$98</f>
        <v>0.43033749999999998</v>
      </c>
      <c r="E99" s="522"/>
      <c r="F99" s="525">
        <f>F98/$B$98</f>
        <v>0.41103450000000002</v>
      </c>
      <c r="G99" s="590"/>
      <c r="H99" s="514"/>
    </row>
    <row r="100" spans="1:10" ht="19.5" customHeight="1" x14ac:dyDescent="0.3">
      <c r="A100" s="841"/>
      <c r="B100" s="855"/>
      <c r="C100" s="585" t="s">
        <v>80</v>
      </c>
      <c r="D100" s="591">
        <f>$B$56/$B$116</f>
        <v>0.44444444444444442</v>
      </c>
      <c r="F100" s="530"/>
      <c r="G100" s="592"/>
      <c r="H100" s="514"/>
    </row>
    <row r="101" spans="1:10" ht="18.75" x14ac:dyDescent="0.3">
      <c r="C101" s="585" t="s">
        <v>81</v>
      </c>
      <c r="D101" s="586">
        <f>D100*$B$98</f>
        <v>44.444444444444443</v>
      </c>
      <c r="F101" s="530"/>
      <c r="G101" s="590"/>
      <c r="H101" s="514"/>
    </row>
    <row r="102" spans="1:10" ht="19.5" customHeight="1" x14ac:dyDescent="0.3">
      <c r="C102" s="593" t="s">
        <v>82</v>
      </c>
      <c r="D102" s="594">
        <f>D101/B34</f>
        <v>44.444444444444443</v>
      </c>
      <c r="F102" s="534"/>
      <c r="G102" s="590"/>
      <c r="H102" s="514"/>
      <c r="J102" s="595"/>
    </row>
    <row r="103" spans="1:10" ht="18.75" x14ac:dyDescent="0.3">
      <c r="C103" s="596" t="s">
        <v>117</v>
      </c>
      <c r="D103" s="597">
        <f>AVERAGE(E91:E94,G91:G94)</f>
        <v>11056262.356284084</v>
      </c>
      <c r="F103" s="534"/>
      <c r="G103" s="598"/>
      <c r="H103" s="514"/>
      <c r="J103" s="599"/>
    </row>
    <row r="104" spans="1:10" ht="18.75" x14ac:dyDescent="0.3">
      <c r="C104" s="564" t="s">
        <v>84</v>
      </c>
      <c r="D104" s="600">
        <f>STDEV(E91:E94,G91:G94)/D103</f>
        <v>7.6659815742765626E-4</v>
      </c>
      <c r="F104" s="534"/>
      <c r="G104" s="590"/>
      <c r="H104" s="514"/>
      <c r="J104" s="599"/>
    </row>
    <row r="105" spans="1:10" ht="19.5" customHeight="1" x14ac:dyDescent="0.3">
      <c r="C105" s="566" t="s">
        <v>20</v>
      </c>
      <c r="D105" s="601">
        <f>COUNT(E91:E94,G91:G94)</f>
        <v>6</v>
      </c>
      <c r="F105" s="534"/>
      <c r="G105" s="590"/>
      <c r="H105" s="514"/>
      <c r="J105" s="599"/>
    </row>
    <row r="106" spans="1:10" ht="19.5" customHeight="1" x14ac:dyDescent="0.3">
      <c r="A106" s="538"/>
      <c r="B106" s="538"/>
      <c r="C106" s="538"/>
      <c r="D106" s="538"/>
      <c r="E106" s="538"/>
    </row>
    <row r="107" spans="1:10" ht="26.25" customHeight="1" x14ac:dyDescent="0.4">
      <c r="A107" s="486" t="s">
        <v>118</v>
      </c>
      <c r="B107" s="487">
        <v>900</v>
      </c>
      <c r="C107" s="602" t="s">
        <v>119</v>
      </c>
      <c r="D107" s="603" t="s">
        <v>63</v>
      </c>
      <c r="E107" s="604" t="s">
        <v>120</v>
      </c>
      <c r="F107" s="605" t="s">
        <v>121</v>
      </c>
    </row>
    <row r="108" spans="1:10" ht="26.25" customHeight="1" x14ac:dyDescent="0.4">
      <c r="A108" s="488" t="s">
        <v>122</v>
      </c>
      <c r="B108" s="489">
        <v>1</v>
      </c>
      <c r="C108" s="606">
        <v>1</v>
      </c>
      <c r="D108" s="607">
        <v>10594960</v>
      </c>
      <c r="E108" s="638">
        <f t="shared" ref="E108:E113" si="1">IF(ISBLANK(D108),"-",D108/$D$103*$D$100*$B$116)</f>
        <v>383.31073046500592</v>
      </c>
      <c r="F108" s="608">
        <f t="shared" ref="F108:F113" si="2">IF(ISBLANK(D108), "-", E108/$B$56)</f>
        <v>0.95827682616251475</v>
      </c>
    </row>
    <row r="109" spans="1:10" ht="26.25" customHeight="1" x14ac:dyDescent="0.4">
      <c r="A109" s="488" t="s">
        <v>95</v>
      </c>
      <c r="B109" s="489">
        <v>1</v>
      </c>
      <c r="C109" s="606">
        <v>2</v>
      </c>
      <c r="D109" s="607">
        <v>10615279</v>
      </c>
      <c r="E109" s="639">
        <f t="shared" si="1"/>
        <v>384.04584326697199</v>
      </c>
      <c r="F109" s="609">
        <f t="shared" si="2"/>
        <v>0.96011460816742999</v>
      </c>
    </row>
    <row r="110" spans="1:10" ht="26.25" customHeight="1" x14ac:dyDescent="0.4">
      <c r="A110" s="488" t="s">
        <v>96</v>
      </c>
      <c r="B110" s="489">
        <v>1</v>
      </c>
      <c r="C110" s="606">
        <v>3</v>
      </c>
      <c r="D110" s="607">
        <v>10815736</v>
      </c>
      <c r="E110" s="639">
        <f t="shared" si="1"/>
        <v>391.29809519589139</v>
      </c>
      <c r="F110" s="609">
        <f t="shared" si="2"/>
        <v>0.97824523798972851</v>
      </c>
    </row>
    <row r="111" spans="1:10" ht="26.25" customHeight="1" x14ac:dyDescent="0.4">
      <c r="A111" s="488" t="s">
        <v>97</v>
      </c>
      <c r="B111" s="489">
        <v>1</v>
      </c>
      <c r="C111" s="606">
        <v>4</v>
      </c>
      <c r="D111" s="607">
        <v>10636031</v>
      </c>
      <c r="E111" s="639">
        <f t="shared" si="1"/>
        <v>384.79662139908476</v>
      </c>
      <c r="F111" s="609">
        <f t="shared" si="2"/>
        <v>0.96199155349771193</v>
      </c>
    </row>
    <row r="112" spans="1:10" ht="26.25" customHeight="1" x14ac:dyDescent="0.4">
      <c r="A112" s="488" t="s">
        <v>98</v>
      </c>
      <c r="B112" s="489">
        <v>1</v>
      </c>
      <c r="C112" s="606">
        <v>5</v>
      </c>
      <c r="D112" s="607">
        <v>10613661</v>
      </c>
      <c r="E112" s="639">
        <f t="shared" si="1"/>
        <v>383.98730630582327</v>
      </c>
      <c r="F112" s="609">
        <f t="shared" si="2"/>
        <v>0.95996826576455818</v>
      </c>
    </row>
    <row r="113" spans="1:10" ht="26.25" customHeight="1" x14ac:dyDescent="0.4">
      <c r="A113" s="488" t="s">
        <v>100</v>
      </c>
      <c r="B113" s="489">
        <v>1</v>
      </c>
      <c r="C113" s="610">
        <v>6</v>
      </c>
      <c r="D113" s="611">
        <v>10609193</v>
      </c>
      <c r="E113" s="640">
        <f t="shared" si="1"/>
        <v>383.82566035872031</v>
      </c>
      <c r="F113" s="612">
        <f t="shared" si="2"/>
        <v>0.9595641508968008</v>
      </c>
    </row>
    <row r="114" spans="1:10" ht="26.25" customHeight="1" x14ac:dyDescent="0.4">
      <c r="A114" s="488" t="s">
        <v>101</v>
      </c>
      <c r="B114" s="489">
        <v>1</v>
      </c>
      <c r="C114" s="606"/>
      <c r="D114" s="561"/>
      <c r="E114" s="462"/>
      <c r="F114" s="613"/>
    </row>
    <row r="115" spans="1:10" ht="26.25" customHeight="1" x14ac:dyDescent="0.4">
      <c r="A115" s="488" t="s">
        <v>102</v>
      </c>
      <c r="B115" s="489">
        <v>1</v>
      </c>
      <c r="C115" s="606"/>
      <c r="D115" s="614" t="s">
        <v>71</v>
      </c>
      <c r="E115" s="642">
        <f>AVERAGE(E108:E113)</f>
        <v>385.21070949858296</v>
      </c>
      <c r="F115" s="615">
        <f>AVERAGE(F108:F113)</f>
        <v>0.9630267737464574</v>
      </c>
    </row>
    <row r="116" spans="1:10" ht="27" customHeight="1" x14ac:dyDescent="0.4">
      <c r="A116" s="488" t="s">
        <v>103</v>
      </c>
      <c r="B116" s="520">
        <f>(B115/B114)*(B113/B112)*(B111/B110)*(B109/B108)*B107</f>
        <v>900</v>
      </c>
      <c r="C116" s="616"/>
      <c r="D116" s="579" t="s">
        <v>84</v>
      </c>
      <c r="E116" s="617">
        <f>STDEV(E108:E113)/E115</f>
        <v>7.8405221321079278E-3</v>
      </c>
      <c r="F116" s="617">
        <f>STDEV(F108:F113)/F115</f>
        <v>7.84052213210794E-3</v>
      </c>
      <c r="I116" s="462"/>
    </row>
    <row r="117" spans="1:10" ht="27" customHeight="1" x14ac:dyDescent="0.4">
      <c r="A117" s="839" t="s">
        <v>78</v>
      </c>
      <c r="B117" s="840"/>
      <c r="C117" s="618"/>
      <c r="D117" s="619" t="s">
        <v>20</v>
      </c>
      <c r="E117" s="620">
        <f>COUNT(E108:E113)</f>
        <v>6</v>
      </c>
      <c r="F117" s="620">
        <f>COUNT(F108:F113)</f>
        <v>6</v>
      </c>
      <c r="I117" s="462"/>
      <c r="J117" s="599"/>
    </row>
    <row r="118" spans="1:10" ht="19.5" customHeight="1" x14ac:dyDescent="0.3">
      <c r="A118" s="841"/>
      <c r="B118" s="842"/>
      <c r="C118" s="462"/>
      <c r="D118" s="462"/>
      <c r="E118" s="462"/>
      <c r="F118" s="561"/>
      <c r="G118" s="462"/>
      <c r="H118" s="462"/>
      <c r="I118" s="462"/>
    </row>
    <row r="119" spans="1:10" ht="18.75" x14ac:dyDescent="0.3">
      <c r="A119" s="629"/>
      <c r="B119" s="484"/>
      <c r="C119" s="462"/>
      <c r="D119" s="462"/>
      <c r="E119" s="462"/>
      <c r="F119" s="561"/>
      <c r="G119" s="462"/>
      <c r="H119" s="462"/>
      <c r="I119" s="462"/>
    </row>
    <row r="120" spans="1:10" ht="26.25" customHeight="1" x14ac:dyDescent="0.4">
      <c r="A120" s="472" t="s">
        <v>106</v>
      </c>
      <c r="B120" s="568" t="s">
        <v>123</v>
      </c>
      <c r="C120" s="843" t="str">
        <f>B20</f>
        <v>RIFAMPICIN, ISONIAZID, PYRAZINAMIDE &amp; ETHAMBUTOL HCl</v>
      </c>
      <c r="D120" s="843"/>
      <c r="E120" s="569" t="s">
        <v>124</v>
      </c>
      <c r="F120" s="569"/>
      <c r="G120" s="570">
        <f>F115</f>
        <v>0.9630267737464574</v>
      </c>
      <c r="H120" s="462"/>
      <c r="I120" s="462"/>
    </row>
    <row r="121" spans="1:10" ht="19.5" customHeight="1" x14ac:dyDescent="0.3">
      <c r="A121" s="621"/>
      <c r="B121" s="621"/>
      <c r="C121" s="622"/>
      <c r="D121" s="622"/>
      <c r="E121" s="622"/>
      <c r="F121" s="622"/>
      <c r="G121" s="622"/>
      <c r="H121" s="622"/>
    </row>
    <row r="122" spans="1:10" ht="18.75" x14ac:dyDescent="0.3">
      <c r="B122" s="844" t="s">
        <v>26</v>
      </c>
      <c r="C122" s="844"/>
      <c r="E122" s="575" t="s">
        <v>27</v>
      </c>
      <c r="F122" s="623"/>
      <c r="G122" s="844" t="s">
        <v>28</v>
      </c>
      <c r="H122" s="844"/>
    </row>
    <row r="123" spans="1:10" ht="69.95" customHeight="1" x14ac:dyDescent="0.3">
      <c r="A123" s="624" t="s">
        <v>29</v>
      </c>
      <c r="B123" s="625"/>
      <c r="C123" s="625"/>
      <c r="E123" s="625"/>
      <c r="F123" s="462"/>
      <c r="G123" s="626"/>
      <c r="H123" s="626"/>
    </row>
    <row r="124" spans="1:10" ht="69.95" customHeight="1" x14ac:dyDescent="0.3">
      <c r="A124" s="624" t="s">
        <v>30</v>
      </c>
      <c r="B124" s="627"/>
      <c r="C124" s="627"/>
      <c r="E124" s="627"/>
      <c r="F124" s="462"/>
      <c r="G124" s="628"/>
      <c r="H124" s="628"/>
    </row>
    <row r="125" spans="1:10" ht="18.75" x14ac:dyDescent="0.3">
      <c r="A125" s="560"/>
      <c r="B125" s="560"/>
      <c r="C125" s="561"/>
      <c r="D125" s="561"/>
      <c r="E125" s="561"/>
      <c r="F125" s="565"/>
      <c r="G125" s="561"/>
      <c r="H125" s="561"/>
      <c r="I125" s="462"/>
    </row>
    <row r="126" spans="1:10" ht="18.75" x14ac:dyDescent="0.3">
      <c r="A126" s="560"/>
      <c r="B126" s="560"/>
      <c r="C126" s="561"/>
      <c r="D126" s="561"/>
      <c r="E126" s="561"/>
      <c r="F126" s="565"/>
      <c r="G126" s="561"/>
      <c r="H126" s="561"/>
      <c r="I126" s="462"/>
    </row>
    <row r="127" spans="1:10" ht="18.75" x14ac:dyDescent="0.3">
      <c r="A127" s="560"/>
      <c r="B127" s="560"/>
      <c r="C127" s="561"/>
      <c r="D127" s="561"/>
      <c r="E127" s="561"/>
      <c r="F127" s="565"/>
      <c r="G127" s="561"/>
      <c r="H127" s="561"/>
      <c r="I127" s="462"/>
    </row>
    <row r="128" spans="1:10" ht="18.75" x14ac:dyDescent="0.3">
      <c r="A128" s="560"/>
      <c r="B128" s="560"/>
      <c r="C128" s="561"/>
      <c r="D128" s="561"/>
      <c r="E128" s="561"/>
      <c r="F128" s="565"/>
      <c r="G128" s="561"/>
      <c r="H128" s="561"/>
      <c r="I128" s="462"/>
    </row>
    <row r="129" spans="1:9" ht="18.75" x14ac:dyDescent="0.3">
      <c r="A129" s="560"/>
      <c r="B129" s="560"/>
      <c r="C129" s="561"/>
      <c r="D129" s="561"/>
      <c r="E129" s="561"/>
      <c r="F129" s="565"/>
      <c r="G129" s="561"/>
      <c r="H129" s="561"/>
      <c r="I129" s="462"/>
    </row>
    <row r="130" spans="1:9" ht="18.75" x14ac:dyDescent="0.3">
      <c r="A130" s="560"/>
      <c r="B130" s="560"/>
      <c r="C130" s="561"/>
      <c r="D130" s="561"/>
      <c r="E130" s="561"/>
      <c r="F130" s="565"/>
      <c r="G130" s="561"/>
      <c r="H130" s="561"/>
      <c r="I130" s="462"/>
    </row>
    <row r="131" spans="1:9" ht="18.75" x14ac:dyDescent="0.3">
      <c r="A131" s="560"/>
      <c r="B131" s="560"/>
      <c r="C131" s="561"/>
      <c r="D131" s="561"/>
      <c r="E131" s="561"/>
      <c r="F131" s="565"/>
      <c r="G131" s="561"/>
      <c r="H131" s="561"/>
      <c r="I131" s="462"/>
    </row>
    <row r="132" spans="1:9" ht="18.75" x14ac:dyDescent="0.3">
      <c r="A132" s="560"/>
      <c r="B132" s="560"/>
      <c r="C132" s="561"/>
      <c r="D132" s="561"/>
      <c r="E132" s="561"/>
      <c r="F132" s="565"/>
      <c r="G132" s="561"/>
      <c r="H132" s="561"/>
      <c r="I132" s="462"/>
    </row>
    <row r="133" spans="1:9" ht="18.75" x14ac:dyDescent="0.3">
      <c r="A133" s="560"/>
      <c r="B133" s="560"/>
      <c r="C133" s="561"/>
      <c r="D133" s="561"/>
      <c r="E133" s="561"/>
      <c r="F133" s="565"/>
      <c r="G133" s="561"/>
      <c r="H133" s="561"/>
      <c r="I133" s="46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7" zoomScale="55" zoomScaleNormal="40" zoomScalePageLayoutView="55" workbookViewId="0">
      <selection activeCell="D72" sqref="D7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837" t="s">
        <v>45</v>
      </c>
      <c r="B1" s="837"/>
      <c r="C1" s="837"/>
      <c r="D1" s="837"/>
      <c r="E1" s="837"/>
      <c r="F1" s="837"/>
      <c r="G1" s="837"/>
      <c r="H1" s="837"/>
      <c r="I1" s="837"/>
    </row>
    <row r="2" spans="1:9" ht="18.75" customHeight="1" x14ac:dyDescent="0.25">
      <c r="A2" s="837"/>
      <c r="B2" s="837"/>
      <c r="C2" s="837"/>
      <c r="D2" s="837"/>
      <c r="E2" s="837"/>
      <c r="F2" s="837"/>
      <c r="G2" s="837"/>
      <c r="H2" s="837"/>
      <c r="I2" s="837"/>
    </row>
    <row r="3" spans="1:9" ht="18.75" customHeight="1" x14ac:dyDescent="0.25">
      <c r="A3" s="837"/>
      <c r="B3" s="837"/>
      <c r="C3" s="837"/>
      <c r="D3" s="837"/>
      <c r="E3" s="837"/>
      <c r="F3" s="837"/>
      <c r="G3" s="837"/>
      <c r="H3" s="837"/>
      <c r="I3" s="837"/>
    </row>
    <row r="4" spans="1:9" ht="18.75" customHeight="1" x14ac:dyDescent="0.25">
      <c r="A4" s="837"/>
      <c r="B4" s="837"/>
      <c r="C4" s="837"/>
      <c r="D4" s="837"/>
      <c r="E4" s="837"/>
      <c r="F4" s="837"/>
      <c r="G4" s="837"/>
      <c r="H4" s="837"/>
      <c r="I4" s="837"/>
    </row>
    <row r="5" spans="1:9" ht="18.75" customHeight="1" x14ac:dyDescent="0.25">
      <c r="A5" s="837"/>
      <c r="B5" s="837"/>
      <c r="C5" s="837"/>
      <c r="D5" s="837"/>
      <c r="E5" s="837"/>
      <c r="F5" s="837"/>
      <c r="G5" s="837"/>
      <c r="H5" s="837"/>
      <c r="I5" s="837"/>
    </row>
    <row r="6" spans="1:9" ht="18.75" customHeight="1" x14ac:dyDescent="0.25">
      <c r="A6" s="837"/>
      <c r="B6" s="837"/>
      <c r="C6" s="837"/>
      <c r="D6" s="837"/>
      <c r="E6" s="837"/>
      <c r="F6" s="837"/>
      <c r="G6" s="837"/>
      <c r="H6" s="837"/>
      <c r="I6" s="837"/>
    </row>
    <row r="7" spans="1:9" ht="18.75" customHeight="1" x14ac:dyDescent="0.25">
      <c r="A7" s="837"/>
      <c r="B7" s="837"/>
      <c r="C7" s="837"/>
      <c r="D7" s="837"/>
      <c r="E7" s="837"/>
      <c r="F7" s="837"/>
      <c r="G7" s="837"/>
      <c r="H7" s="837"/>
      <c r="I7" s="837"/>
    </row>
    <row r="8" spans="1:9" x14ac:dyDescent="0.25">
      <c r="A8" s="838" t="s">
        <v>46</v>
      </c>
      <c r="B8" s="838"/>
      <c r="C8" s="838"/>
      <c r="D8" s="838"/>
      <c r="E8" s="838"/>
      <c r="F8" s="838"/>
      <c r="G8" s="838"/>
      <c r="H8" s="838"/>
      <c r="I8" s="838"/>
    </row>
    <row r="9" spans="1:9" x14ac:dyDescent="0.25">
      <c r="A9" s="838"/>
      <c r="B9" s="838"/>
      <c r="C9" s="838"/>
      <c r="D9" s="838"/>
      <c r="E9" s="838"/>
      <c r="F9" s="838"/>
      <c r="G9" s="838"/>
      <c r="H9" s="838"/>
      <c r="I9" s="838"/>
    </row>
    <row r="10" spans="1:9" x14ac:dyDescent="0.25">
      <c r="A10" s="838"/>
      <c r="B10" s="838"/>
      <c r="C10" s="838"/>
      <c r="D10" s="838"/>
      <c r="E10" s="838"/>
      <c r="F10" s="838"/>
      <c r="G10" s="838"/>
      <c r="H10" s="838"/>
      <c r="I10" s="838"/>
    </row>
    <row r="11" spans="1:9" x14ac:dyDescent="0.25">
      <c r="A11" s="838"/>
      <c r="B11" s="838"/>
      <c r="C11" s="838"/>
      <c r="D11" s="838"/>
      <c r="E11" s="838"/>
      <c r="F11" s="838"/>
      <c r="G11" s="838"/>
      <c r="H11" s="838"/>
      <c r="I11" s="838"/>
    </row>
    <row r="12" spans="1:9" x14ac:dyDescent="0.25">
      <c r="A12" s="838"/>
      <c r="B12" s="838"/>
      <c r="C12" s="838"/>
      <c r="D12" s="838"/>
      <c r="E12" s="838"/>
      <c r="F12" s="838"/>
      <c r="G12" s="838"/>
      <c r="H12" s="838"/>
      <c r="I12" s="838"/>
    </row>
    <row r="13" spans="1:9" x14ac:dyDescent="0.25">
      <c r="A13" s="838"/>
      <c r="B13" s="838"/>
      <c r="C13" s="838"/>
      <c r="D13" s="838"/>
      <c r="E13" s="838"/>
      <c r="F13" s="838"/>
      <c r="G13" s="838"/>
      <c r="H13" s="838"/>
      <c r="I13" s="838"/>
    </row>
    <row r="14" spans="1:9" x14ac:dyDescent="0.25">
      <c r="A14" s="838"/>
      <c r="B14" s="838"/>
      <c r="C14" s="838"/>
      <c r="D14" s="838"/>
      <c r="E14" s="838"/>
      <c r="F14" s="838"/>
      <c r="G14" s="838"/>
      <c r="H14" s="838"/>
      <c r="I14" s="838"/>
    </row>
    <row r="15" spans="1:9" ht="19.5" customHeight="1" x14ac:dyDescent="0.3">
      <c r="A15" s="644"/>
    </row>
    <row r="16" spans="1:9" ht="19.5" customHeight="1" x14ac:dyDescent="0.3">
      <c r="A16" s="871" t="s">
        <v>31</v>
      </c>
      <c r="B16" s="872"/>
      <c r="C16" s="872"/>
      <c r="D16" s="872"/>
      <c r="E16" s="872"/>
      <c r="F16" s="872"/>
      <c r="G16" s="872"/>
      <c r="H16" s="873"/>
    </row>
    <row r="17" spans="1:14" ht="20.25" customHeight="1" x14ac:dyDescent="0.25">
      <c r="A17" s="874" t="s">
        <v>47</v>
      </c>
      <c r="B17" s="874"/>
      <c r="C17" s="874"/>
      <c r="D17" s="874"/>
      <c r="E17" s="874"/>
      <c r="F17" s="874"/>
      <c r="G17" s="874"/>
      <c r="H17" s="874"/>
    </row>
    <row r="18" spans="1:14" ht="26.25" customHeight="1" x14ac:dyDescent="0.4">
      <c r="A18" s="646" t="s">
        <v>33</v>
      </c>
      <c r="B18" s="870" t="s">
        <v>5</v>
      </c>
      <c r="C18" s="870"/>
      <c r="D18" s="812"/>
      <c r="E18" s="647"/>
      <c r="F18" s="648"/>
      <c r="G18" s="648"/>
      <c r="H18" s="648"/>
    </row>
    <row r="19" spans="1:14" ht="26.25" customHeight="1" x14ac:dyDescent="0.4">
      <c r="A19" s="646" t="s">
        <v>34</v>
      </c>
      <c r="B19" s="649" t="s">
        <v>7</v>
      </c>
      <c r="C19" s="825">
        <v>29</v>
      </c>
      <c r="D19" s="648"/>
      <c r="E19" s="648"/>
      <c r="F19" s="648"/>
      <c r="G19" s="648"/>
      <c r="H19" s="648"/>
    </row>
    <row r="20" spans="1:14" ht="26.25" customHeight="1" x14ac:dyDescent="0.4">
      <c r="A20" s="646" t="s">
        <v>35</v>
      </c>
      <c r="B20" s="875" t="s">
        <v>9</v>
      </c>
      <c r="C20" s="875"/>
      <c r="D20" s="648"/>
      <c r="E20" s="648"/>
      <c r="F20" s="648"/>
      <c r="G20" s="648"/>
      <c r="H20" s="648"/>
    </row>
    <row r="21" spans="1:14" ht="26.25" customHeight="1" x14ac:dyDescent="0.4">
      <c r="A21" s="646" t="s">
        <v>36</v>
      </c>
      <c r="B21" s="875" t="s">
        <v>11</v>
      </c>
      <c r="C21" s="875"/>
      <c r="D21" s="875"/>
      <c r="E21" s="875"/>
      <c r="F21" s="875"/>
      <c r="G21" s="875"/>
      <c r="H21" s="875"/>
      <c r="I21" s="650"/>
    </row>
    <row r="22" spans="1:14" ht="26.25" customHeight="1" x14ac:dyDescent="0.4">
      <c r="A22" s="646" t="s">
        <v>37</v>
      </c>
      <c r="B22" s="651" t="s">
        <v>12</v>
      </c>
      <c r="C22" s="648"/>
      <c r="D22" s="648"/>
      <c r="E22" s="648"/>
      <c r="F22" s="648"/>
      <c r="G22" s="648"/>
      <c r="H22" s="648"/>
    </row>
    <row r="23" spans="1:14" ht="26.25" customHeight="1" x14ac:dyDescent="0.4">
      <c r="A23" s="646" t="s">
        <v>38</v>
      </c>
      <c r="B23" s="651"/>
      <c r="C23" s="648"/>
      <c r="D23" s="648"/>
      <c r="E23" s="648"/>
      <c r="F23" s="648"/>
      <c r="G23" s="648"/>
      <c r="H23" s="648"/>
    </row>
    <row r="24" spans="1:14" ht="18.75" x14ac:dyDescent="0.3">
      <c r="A24" s="646"/>
      <c r="B24" s="652"/>
    </row>
    <row r="25" spans="1:14" ht="18.75" x14ac:dyDescent="0.3">
      <c r="A25" s="653" t="s">
        <v>1</v>
      </c>
      <c r="B25" s="652"/>
    </row>
    <row r="26" spans="1:14" ht="26.25" customHeight="1" x14ac:dyDescent="0.4">
      <c r="A26" s="654" t="s">
        <v>4</v>
      </c>
      <c r="B26" s="870" t="s">
        <v>128</v>
      </c>
      <c r="C26" s="870"/>
    </row>
    <row r="27" spans="1:14" ht="26.25" customHeight="1" x14ac:dyDescent="0.4">
      <c r="A27" s="655" t="s">
        <v>48</v>
      </c>
      <c r="B27" s="868" t="s">
        <v>134</v>
      </c>
      <c r="C27" s="868"/>
    </row>
    <row r="28" spans="1:14" ht="27" customHeight="1" x14ac:dyDescent="0.4">
      <c r="A28" s="655" t="s">
        <v>6</v>
      </c>
      <c r="B28" s="656">
        <v>100</v>
      </c>
    </row>
    <row r="29" spans="1:14" s="14" customFormat="1" ht="27" customHeight="1" x14ac:dyDescent="0.4">
      <c r="A29" s="655" t="s">
        <v>49</v>
      </c>
      <c r="B29" s="657">
        <v>0</v>
      </c>
      <c r="C29" s="845" t="s">
        <v>50</v>
      </c>
      <c r="D29" s="846"/>
      <c r="E29" s="846"/>
      <c r="F29" s="846"/>
      <c r="G29" s="847"/>
      <c r="I29" s="658"/>
      <c r="J29" s="658"/>
      <c r="K29" s="658"/>
      <c r="L29" s="658"/>
    </row>
    <row r="30" spans="1:14" s="14" customFormat="1" ht="19.5" customHeight="1" x14ac:dyDescent="0.3">
      <c r="A30" s="655" t="s">
        <v>51</v>
      </c>
      <c r="B30" s="659">
        <f>B28-B29</f>
        <v>100</v>
      </c>
      <c r="C30" s="660"/>
      <c r="D30" s="660"/>
      <c r="E30" s="660"/>
      <c r="F30" s="660"/>
      <c r="G30" s="661"/>
      <c r="I30" s="658"/>
      <c r="J30" s="658"/>
      <c r="K30" s="658"/>
      <c r="L30" s="658"/>
    </row>
    <row r="31" spans="1:14" s="14" customFormat="1" ht="27" customHeight="1" x14ac:dyDescent="0.4">
      <c r="A31" s="655" t="s">
        <v>52</v>
      </c>
      <c r="B31" s="662">
        <v>1</v>
      </c>
      <c r="C31" s="848" t="s">
        <v>53</v>
      </c>
      <c r="D31" s="849"/>
      <c r="E31" s="849"/>
      <c r="F31" s="849"/>
      <c r="G31" s="849"/>
      <c r="H31" s="850"/>
      <c r="I31" s="658"/>
      <c r="J31" s="658"/>
      <c r="K31" s="658"/>
      <c r="L31" s="658"/>
    </row>
    <row r="32" spans="1:14" s="14" customFormat="1" ht="27" customHeight="1" x14ac:dyDescent="0.4">
      <c r="A32" s="655" t="s">
        <v>54</v>
      </c>
      <c r="B32" s="662">
        <v>1</v>
      </c>
      <c r="C32" s="848" t="s">
        <v>55</v>
      </c>
      <c r="D32" s="849"/>
      <c r="E32" s="849"/>
      <c r="F32" s="849"/>
      <c r="G32" s="849"/>
      <c r="H32" s="850"/>
      <c r="I32" s="658"/>
      <c r="J32" s="658"/>
      <c r="K32" s="658"/>
      <c r="L32" s="663"/>
      <c r="M32" s="663"/>
      <c r="N32" s="664"/>
    </row>
    <row r="33" spans="1:14" s="14" customFormat="1" ht="17.25" customHeight="1" x14ac:dyDescent="0.3">
      <c r="A33" s="655"/>
      <c r="B33" s="665"/>
      <c r="C33" s="666"/>
      <c r="D33" s="666"/>
      <c r="E33" s="666"/>
      <c r="F33" s="666"/>
      <c r="G33" s="666"/>
      <c r="H33" s="666"/>
      <c r="I33" s="658"/>
      <c r="J33" s="658"/>
      <c r="K33" s="658"/>
      <c r="L33" s="663"/>
      <c r="M33" s="663"/>
      <c r="N33" s="664"/>
    </row>
    <row r="34" spans="1:14" s="14" customFormat="1" ht="18.75" x14ac:dyDescent="0.3">
      <c r="A34" s="655" t="s">
        <v>56</v>
      </c>
      <c r="B34" s="667">
        <f>B31/B32</f>
        <v>1</v>
      </c>
      <c r="C34" s="645" t="s">
        <v>57</v>
      </c>
      <c r="D34" s="645"/>
      <c r="E34" s="645"/>
      <c r="F34" s="645"/>
      <c r="G34" s="645"/>
      <c r="I34" s="658"/>
      <c r="J34" s="658"/>
      <c r="K34" s="658"/>
      <c r="L34" s="663"/>
      <c r="M34" s="663"/>
      <c r="N34" s="664"/>
    </row>
    <row r="35" spans="1:14" s="14" customFormat="1" ht="19.5" customHeight="1" x14ac:dyDescent="0.3">
      <c r="A35" s="655"/>
      <c r="B35" s="659"/>
      <c r="G35" s="645"/>
      <c r="I35" s="658"/>
      <c r="J35" s="658"/>
      <c r="K35" s="658"/>
      <c r="L35" s="663"/>
      <c r="M35" s="663"/>
      <c r="N35" s="664"/>
    </row>
    <row r="36" spans="1:14" s="14" customFormat="1" ht="27" customHeight="1" x14ac:dyDescent="0.4">
      <c r="A36" s="668" t="s">
        <v>58</v>
      </c>
      <c r="B36" s="669">
        <v>100</v>
      </c>
      <c r="C36" s="645"/>
      <c r="D36" s="851" t="s">
        <v>59</v>
      </c>
      <c r="E36" s="869"/>
      <c r="F36" s="851" t="s">
        <v>60</v>
      </c>
      <c r="G36" s="852"/>
      <c r="J36" s="658"/>
      <c r="K36" s="658"/>
      <c r="L36" s="663"/>
      <c r="M36" s="663"/>
      <c r="N36" s="664"/>
    </row>
    <row r="37" spans="1:14" s="14" customFormat="1" ht="27" customHeight="1" x14ac:dyDescent="0.4">
      <c r="A37" s="670" t="s">
        <v>61</v>
      </c>
      <c r="B37" s="671">
        <v>1</v>
      </c>
      <c r="C37" s="672" t="s">
        <v>62</v>
      </c>
      <c r="D37" s="673" t="s">
        <v>63</v>
      </c>
      <c r="E37" s="674" t="s">
        <v>64</v>
      </c>
      <c r="F37" s="673" t="s">
        <v>63</v>
      </c>
      <c r="G37" s="675" t="s">
        <v>64</v>
      </c>
      <c r="I37" s="676" t="s">
        <v>65</v>
      </c>
      <c r="J37" s="658"/>
      <c r="K37" s="658"/>
      <c r="L37" s="663"/>
      <c r="M37" s="663"/>
      <c r="N37" s="664"/>
    </row>
    <row r="38" spans="1:14" s="14" customFormat="1" ht="26.25" customHeight="1" x14ac:dyDescent="0.4">
      <c r="A38" s="670" t="s">
        <v>66</v>
      </c>
      <c r="B38" s="671">
        <v>1</v>
      </c>
      <c r="C38" s="677">
        <v>1</v>
      </c>
      <c r="D38" s="678">
        <v>42008024</v>
      </c>
      <c r="E38" s="679">
        <f>IF(ISBLANK(D38),"-",$D$48/$D$45*D38)</f>
        <v>37890580.877931453</v>
      </c>
      <c r="F38" s="678">
        <v>32866256</v>
      </c>
      <c r="G38" s="680">
        <f>IF(ISBLANK(F38),"-",$D$48/$F$45*F38)</f>
        <v>37475776.510832384</v>
      </c>
      <c r="I38" s="681"/>
      <c r="J38" s="658"/>
      <c r="K38" s="658"/>
      <c r="L38" s="663"/>
      <c r="M38" s="663"/>
      <c r="N38" s="664"/>
    </row>
    <row r="39" spans="1:14" s="14" customFormat="1" ht="26.25" customHeight="1" x14ac:dyDescent="0.4">
      <c r="A39" s="670" t="s">
        <v>67</v>
      </c>
      <c r="B39" s="671">
        <v>1</v>
      </c>
      <c r="C39" s="682">
        <v>2</v>
      </c>
      <c r="D39" s="683">
        <v>42127875</v>
      </c>
      <c r="E39" s="684">
        <f>IF(ISBLANK(D39),"-",$D$48/$D$45*D39)</f>
        <v>37998684.606133498</v>
      </c>
      <c r="F39" s="683">
        <v>32921128</v>
      </c>
      <c r="G39" s="685">
        <f>IF(ISBLANK(F39),"-",$D$48/$F$45*F39)</f>
        <v>37538344.355758265</v>
      </c>
      <c r="I39" s="853">
        <f>ABS((F43/D43*D42)-F42)/D42</f>
        <v>9.2796670957505968E-3</v>
      </c>
      <c r="J39" s="658"/>
      <c r="K39" s="658"/>
      <c r="L39" s="663"/>
      <c r="M39" s="663"/>
      <c r="N39" s="664"/>
    </row>
    <row r="40" spans="1:14" ht="26.25" customHeight="1" x14ac:dyDescent="0.4">
      <c r="A40" s="670" t="s">
        <v>68</v>
      </c>
      <c r="B40" s="671">
        <v>1</v>
      </c>
      <c r="C40" s="682">
        <v>3</v>
      </c>
      <c r="D40" s="683">
        <v>42166793</v>
      </c>
      <c r="E40" s="684">
        <f>IF(ISBLANK(D40),"-",$D$48/$D$45*D40)</f>
        <v>38033788.033674084</v>
      </c>
      <c r="F40" s="683">
        <v>32951087</v>
      </c>
      <c r="G40" s="685">
        <f>IF(ISBLANK(F40),"-",$D$48/$F$45*F40)</f>
        <v>37572505.131128848</v>
      </c>
      <c r="I40" s="853"/>
      <c r="L40" s="663"/>
      <c r="M40" s="663"/>
      <c r="N40" s="686"/>
    </row>
    <row r="41" spans="1:14" ht="27" customHeight="1" x14ac:dyDescent="0.4">
      <c r="A41" s="670" t="s">
        <v>69</v>
      </c>
      <c r="B41" s="671">
        <v>1</v>
      </c>
      <c r="C41" s="687">
        <v>4</v>
      </c>
      <c r="D41" s="688"/>
      <c r="E41" s="689" t="str">
        <f>IF(ISBLANK(D41),"-",$D$48/$D$45*D41)</f>
        <v>-</v>
      </c>
      <c r="F41" s="688"/>
      <c r="G41" s="690" t="str">
        <f>IF(ISBLANK(F41),"-",$D$48/$F$45*F41)</f>
        <v>-</v>
      </c>
      <c r="I41" s="691"/>
      <c r="L41" s="663"/>
      <c r="M41" s="663"/>
      <c r="N41" s="686"/>
    </row>
    <row r="42" spans="1:14" ht="27" customHeight="1" x14ac:dyDescent="0.4">
      <c r="A42" s="670" t="s">
        <v>70</v>
      </c>
      <c r="B42" s="671">
        <v>1</v>
      </c>
      <c r="C42" s="692" t="s">
        <v>71</v>
      </c>
      <c r="D42" s="693">
        <f>AVERAGE(D38:D41)</f>
        <v>42100897.333333336</v>
      </c>
      <c r="E42" s="694">
        <f>AVERAGE(E38:E41)</f>
        <v>37974351.172579676</v>
      </c>
      <c r="F42" s="693">
        <f>AVERAGE(F38:F41)</f>
        <v>32912823.666666668</v>
      </c>
      <c r="G42" s="695">
        <f>AVERAGE(G38:G41)</f>
        <v>37528875.332573168</v>
      </c>
      <c r="H42" s="696"/>
    </row>
    <row r="43" spans="1:14" ht="26.25" customHeight="1" x14ac:dyDescent="0.4">
      <c r="A43" s="670" t="s">
        <v>72</v>
      </c>
      <c r="B43" s="671">
        <v>1</v>
      </c>
      <c r="C43" s="697" t="s">
        <v>73</v>
      </c>
      <c r="D43" s="698">
        <v>33.26</v>
      </c>
      <c r="E43" s="686"/>
      <c r="F43" s="698">
        <v>26.31</v>
      </c>
      <c r="H43" s="696"/>
    </row>
    <row r="44" spans="1:14" ht="26.25" customHeight="1" x14ac:dyDescent="0.4">
      <c r="A44" s="670" t="s">
        <v>74</v>
      </c>
      <c r="B44" s="671">
        <v>1</v>
      </c>
      <c r="C44" s="699" t="s">
        <v>75</v>
      </c>
      <c r="D44" s="700">
        <f>D43*$B$34</f>
        <v>33.26</v>
      </c>
      <c r="E44" s="701"/>
      <c r="F44" s="700">
        <f>F43*$B$34</f>
        <v>26.31</v>
      </c>
      <c r="H44" s="696"/>
    </row>
    <row r="45" spans="1:14" ht="19.5" customHeight="1" x14ac:dyDescent="0.3">
      <c r="A45" s="670" t="s">
        <v>76</v>
      </c>
      <c r="B45" s="702">
        <f>(B44/B43)*(B42/B41)*(B40/B39)*(B38/B37)*B36</f>
        <v>100</v>
      </c>
      <c r="C45" s="699" t="s">
        <v>77</v>
      </c>
      <c r="D45" s="703">
        <f>D44*$B$30/100</f>
        <v>33.26</v>
      </c>
      <c r="E45" s="704"/>
      <c r="F45" s="703">
        <f>F44*$B$30/100</f>
        <v>26.31</v>
      </c>
      <c r="H45" s="696"/>
    </row>
    <row r="46" spans="1:14" ht="19.5" customHeight="1" x14ac:dyDescent="0.3">
      <c r="A46" s="839" t="s">
        <v>78</v>
      </c>
      <c r="B46" s="840"/>
      <c r="C46" s="699" t="s">
        <v>79</v>
      </c>
      <c r="D46" s="705">
        <f>D45/$B$45</f>
        <v>0.33260000000000001</v>
      </c>
      <c r="E46" s="706"/>
      <c r="F46" s="707">
        <f>F45/$B$45</f>
        <v>0.2631</v>
      </c>
      <c r="H46" s="696"/>
    </row>
    <row r="47" spans="1:14" ht="27" customHeight="1" x14ac:dyDescent="0.4">
      <c r="A47" s="841"/>
      <c r="B47" s="842"/>
      <c r="C47" s="708" t="s">
        <v>80</v>
      </c>
      <c r="D47" s="709">
        <v>0.3</v>
      </c>
      <c r="E47" s="710"/>
      <c r="F47" s="706"/>
      <c r="H47" s="696"/>
    </row>
    <row r="48" spans="1:14" ht="18.75" x14ac:dyDescent="0.3">
      <c r="C48" s="711" t="s">
        <v>81</v>
      </c>
      <c r="D48" s="703">
        <f>D47*$B$45</f>
        <v>30</v>
      </c>
      <c r="F48" s="712"/>
      <c r="H48" s="696"/>
    </row>
    <row r="49" spans="1:12" ht="19.5" customHeight="1" x14ac:dyDescent="0.3">
      <c r="C49" s="713" t="s">
        <v>82</v>
      </c>
      <c r="D49" s="714">
        <f>D48/B34</f>
        <v>30</v>
      </c>
      <c r="F49" s="712"/>
      <c r="H49" s="696"/>
    </row>
    <row r="50" spans="1:12" ht="18.75" x14ac:dyDescent="0.3">
      <c r="C50" s="668" t="s">
        <v>83</v>
      </c>
      <c r="D50" s="715">
        <f>AVERAGE(E38:E41,G38:G41)</f>
        <v>37751613.252576418</v>
      </c>
      <c r="F50" s="716"/>
      <c r="H50" s="696"/>
    </row>
    <row r="51" spans="1:12" ht="18.75" x14ac:dyDescent="0.3">
      <c r="C51" s="670" t="s">
        <v>84</v>
      </c>
      <c r="D51" s="717">
        <f>STDEV(E38:E41,G38:G41)/D50</f>
        <v>6.6341757729250096E-3</v>
      </c>
      <c r="F51" s="716"/>
      <c r="H51" s="696"/>
    </row>
    <row r="52" spans="1:12" ht="19.5" customHeight="1" x14ac:dyDescent="0.3">
      <c r="C52" s="718" t="s">
        <v>20</v>
      </c>
      <c r="D52" s="719">
        <f>COUNT(E38:E41,G38:G41)</f>
        <v>6</v>
      </c>
      <c r="F52" s="716"/>
    </row>
    <row r="54" spans="1:12" ht="18.75" x14ac:dyDescent="0.3">
      <c r="A54" s="720" t="s">
        <v>1</v>
      </c>
      <c r="B54" s="721" t="s">
        <v>85</v>
      </c>
    </row>
    <row r="55" spans="1:12" ht="18.75" x14ac:dyDescent="0.3">
      <c r="A55" s="645" t="s">
        <v>86</v>
      </c>
      <c r="B55" s="722" t="str">
        <f>B21</f>
        <v>RIFAMPICIN 150mg, ISONIAZID 75mg, PYRAZINAMIDE 400mg &amp; ETHAMBUTOL HCl 275mg</v>
      </c>
    </row>
    <row r="56" spans="1:12" ht="26.25" customHeight="1" x14ac:dyDescent="0.4">
      <c r="A56" s="723" t="s">
        <v>87</v>
      </c>
      <c r="B56" s="724">
        <v>275</v>
      </c>
      <c r="C56" s="645" t="str">
        <f>B20</f>
        <v>RIFAMPICIN, ISONIAZID, PYRAZINAMIDE &amp; ETHAMBUTOL HCl</v>
      </c>
      <c r="H56" s="725"/>
    </row>
    <row r="57" spans="1:12" ht="18.75" x14ac:dyDescent="0.3">
      <c r="A57" s="722" t="s">
        <v>88</v>
      </c>
      <c r="B57" s="813">
        <f>Uniformity!C46</f>
        <v>1145.8574999999998</v>
      </c>
      <c r="H57" s="725"/>
    </row>
    <row r="58" spans="1:12" ht="19.5" customHeight="1" x14ac:dyDescent="0.3">
      <c r="H58" s="725"/>
    </row>
    <row r="59" spans="1:12" s="14" customFormat="1" ht="27" customHeight="1" x14ac:dyDescent="0.4">
      <c r="A59" s="668" t="s">
        <v>89</v>
      </c>
      <c r="B59" s="669">
        <v>200</v>
      </c>
      <c r="C59" s="645"/>
      <c r="D59" s="726" t="s">
        <v>90</v>
      </c>
      <c r="E59" s="727" t="s">
        <v>62</v>
      </c>
      <c r="F59" s="727" t="s">
        <v>63</v>
      </c>
      <c r="G59" s="727" t="s">
        <v>91</v>
      </c>
      <c r="H59" s="672" t="s">
        <v>92</v>
      </c>
      <c r="L59" s="658"/>
    </row>
    <row r="60" spans="1:12" s="14" customFormat="1" ht="26.25" customHeight="1" x14ac:dyDescent="0.4">
      <c r="A60" s="670" t="s">
        <v>93</v>
      </c>
      <c r="B60" s="671">
        <v>4</v>
      </c>
      <c r="C60" s="856" t="s">
        <v>94</v>
      </c>
      <c r="D60" s="859">
        <f>Rifampicin!D60</f>
        <v>1146.5999999999999</v>
      </c>
      <c r="E60" s="728">
        <v>1</v>
      </c>
      <c r="F60" s="729">
        <v>37527198</v>
      </c>
      <c r="G60" s="814">
        <f>IF(ISBLANK(F60),"-",(F60/$D$50*$D$47*$B$68)*($B$57/$D$60))</f>
        <v>298.02352856768528</v>
      </c>
      <c r="H60" s="730">
        <f t="shared" ref="H60:H71" si="0">IF(ISBLANK(F60),"-",G60/$B$56)</f>
        <v>1.0837219220643102</v>
      </c>
      <c r="L60" s="658"/>
    </row>
    <row r="61" spans="1:12" s="14" customFormat="1" ht="26.25" customHeight="1" x14ac:dyDescent="0.4">
      <c r="A61" s="670" t="s">
        <v>95</v>
      </c>
      <c r="B61" s="671">
        <v>20</v>
      </c>
      <c r="C61" s="857"/>
      <c r="D61" s="860"/>
      <c r="E61" s="731">
        <v>2</v>
      </c>
      <c r="F61" s="683">
        <v>37693088</v>
      </c>
      <c r="G61" s="815">
        <f>IF(ISBLANK(F61),"-",(F61/$D$50*$D$47*$B$68)*($B$57/$D$60))</f>
        <v>299.34094968593911</v>
      </c>
      <c r="H61" s="732">
        <f t="shared" si="0"/>
        <v>1.0885125443125059</v>
      </c>
      <c r="L61" s="658"/>
    </row>
    <row r="62" spans="1:12" s="14" customFormat="1" ht="26.25" customHeight="1" x14ac:dyDescent="0.4">
      <c r="A62" s="670" t="s">
        <v>96</v>
      </c>
      <c r="B62" s="671">
        <v>1</v>
      </c>
      <c r="C62" s="857"/>
      <c r="D62" s="860"/>
      <c r="E62" s="731">
        <v>3</v>
      </c>
      <c r="F62" s="733">
        <v>37672493</v>
      </c>
      <c r="G62" s="815">
        <f>IF(ISBLANK(F62),"-",(F62/$D$50*$D$47*$B$68)*($B$57/$D$60))</f>
        <v>299.17739378787155</v>
      </c>
      <c r="H62" s="732">
        <f t="shared" si="0"/>
        <v>1.0879177955922601</v>
      </c>
      <c r="L62" s="658"/>
    </row>
    <row r="63" spans="1:12" ht="27" customHeight="1" x14ac:dyDescent="0.4">
      <c r="A63" s="670" t="s">
        <v>97</v>
      </c>
      <c r="B63" s="671">
        <v>1</v>
      </c>
      <c r="C63" s="867"/>
      <c r="D63" s="861"/>
      <c r="E63" s="734">
        <v>4</v>
      </c>
      <c r="F63" s="735"/>
      <c r="G63" s="815" t="str">
        <f>IF(ISBLANK(F63),"-",(F63/$D$50*$D$47*$B$68)*($B$57/$D$60))</f>
        <v>-</v>
      </c>
      <c r="H63" s="732" t="str">
        <f t="shared" si="0"/>
        <v>-</v>
      </c>
    </row>
    <row r="64" spans="1:12" ht="26.25" customHeight="1" x14ac:dyDescent="0.4">
      <c r="A64" s="670" t="s">
        <v>98</v>
      </c>
      <c r="B64" s="671">
        <v>1</v>
      </c>
      <c r="C64" s="856" t="s">
        <v>99</v>
      </c>
      <c r="D64" s="859">
        <f>Rifampicin!D64</f>
        <v>1138.1500000000001</v>
      </c>
      <c r="E64" s="728">
        <v>1</v>
      </c>
      <c r="F64" s="729">
        <v>37474258</v>
      </c>
      <c r="G64" s="816">
        <f>IF(ISBLANK(F64),"-",(F64/$D$50*$D$47*$B$68)*($B$57/$D$64))</f>
        <v>299.81260708419438</v>
      </c>
      <c r="H64" s="736">
        <f t="shared" si="0"/>
        <v>1.0902276621243432</v>
      </c>
    </row>
    <row r="65" spans="1:8" ht="26.25" customHeight="1" x14ac:dyDescent="0.4">
      <c r="A65" s="670" t="s">
        <v>100</v>
      </c>
      <c r="B65" s="671">
        <v>1</v>
      </c>
      <c r="C65" s="857"/>
      <c r="D65" s="860"/>
      <c r="E65" s="731">
        <v>2</v>
      </c>
      <c r="F65" s="683">
        <v>37544562</v>
      </c>
      <c r="G65" s="817">
        <f>IF(ISBLANK(F65),"-",(F65/$D$50*$D$47*$B$68)*($B$57/$D$64))</f>
        <v>300.37507387215447</v>
      </c>
      <c r="H65" s="737">
        <f t="shared" si="0"/>
        <v>1.0922729958987436</v>
      </c>
    </row>
    <row r="66" spans="1:8" ht="26.25" customHeight="1" x14ac:dyDescent="0.4">
      <c r="A66" s="670" t="s">
        <v>101</v>
      </c>
      <c r="B66" s="671">
        <v>1</v>
      </c>
      <c r="C66" s="857"/>
      <c r="D66" s="860"/>
      <c r="E66" s="731">
        <v>3</v>
      </c>
      <c r="F66" s="683">
        <v>37489746</v>
      </c>
      <c r="G66" s="817">
        <f>IF(ISBLANK(F66),"-",(F66/$D$50*$D$47*$B$68)*($B$57/$D$64))</f>
        <v>299.93651874799622</v>
      </c>
      <c r="H66" s="737">
        <f t="shared" si="0"/>
        <v>1.0906782499927135</v>
      </c>
    </row>
    <row r="67" spans="1:8" ht="27" customHeight="1" x14ac:dyDescent="0.4">
      <c r="A67" s="670" t="s">
        <v>102</v>
      </c>
      <c r="B67" s="671">
        <v>1</v>
      </c>
      <c r="C67" s="867"/>
      <c r="D67" s="861"/>
      <c r="E67" s="734">
        <v>4</v>
      </c>
      <c r="F67" s="735"/>
      <c r="G67" s="818" t="str">
        <f>IF(ISBLANK(F67),"-",(F67/$D$50*$D$47*$B$68)*($B$57/$D$64))</f>
        <v>-</v>
      </c>
      <c r="H67" s="738" t="str">
        <f t="shared" si="0"/>
        <v>-</v>
      </c>
    </row>
    <row r="68" spans="1:8" ht="26.25" customHeight="1" x14ac:dyDescent="0.4">
      <c r="A68" s="670" t="s">
        <v>103</v>
      </c>
      <c r="B68" s="739">
        <f>(B67/B66)*(B65/B64)*(B63/B62)*(B61/B60)*B59</f>
        <v>1000</v>
      </c>
      <c r="C68" s="856" t="s">
        <v>104</v>
      </c>
      <c r="D68" s="859">
        <f>Rifampicin!D68</f>
        <v>1153.56</v>
      </c>
      <c r="E68" s="728">
        <v>1</v>
      </c>
      <c r="F68" s="729">
        <v>37222165</v>
      </c>
      <c r="G68" s="816">
        <f>IF(ISBLANK(F68),"-",(F68/$D$50*$D$47*$B$68)*($B$57/$D$68))</f>
        <v>293.81759041154817</v>
      </c>
      <c r="H68" s="732">
        <f t="shared" si="0"/>
        <v>1.0684276014965388</v>
      </c>
    </row>
    <row r="69" spans="1:8" ht="27" customHeight="1" x14ac:dyDescent="0.4">
      <c r="A69" s="718" t="s">
        <v>105</v>
      </c>
      <c r="B69" s="740">
        <f>(D47*B68)/B56*B57</f>
        <v>1250.0263636363634</v>
      </c>
      <c r="C69" s="857"/>
      <c r="D69" s="860"/>
      <c r="E69" s="731">
        <v>2</v>
      </c>
      <c r="F69" s="683">
        <v>37281756</v>
      </c>
      <c r="G69" s="817">
        <f>IF(ISBLANK(F69),"-",(F69/$D$50*$D$47*$B$68)*($B$57/$D$68))</f>
        <v>294.28797906385296</v>
      </c>
      <c r="H69" s="732">
        <f t="shared" si="0"/>
        <v>1.0701381056867381</v>
      </c>
    </row>
    <row r="70" spans="1:8" ht="26.25" customHeight="1" x14ac:dyDescent="0.4">
      <c r="A70" s="862" t="s">
        <v>78</v>
      </c>
      <c r="B70" s="863"/>
      <c r="C70" s="857"/>
      <c r="D70" s="860"/>
      <c r="E70" s="731">
        <v>3</v>
      </c>
      <c r="F70" s="683">
        <v>37121511</v>
      </c>
      <c r="G70" s="817">
        <f>IF(ISBLANK(F70),"-",(F70/$D$50*$D$47*$B$68)*($B$57/$D$68))</f>
        <v>293.0230660805405</v>
      </c>
      <c r="H70" s="732">
        <f t="shared" si="0"/>
        <v>1.0655384221110564</v>
      </c>
    </row>
    <row r="71" spans="1:8" ht="27" customHeight="1" x14ac:dyDescent="0.4">
      <c r="A71" s="864"/>
      <c r="B71" s="865"/>
      <c r="C71" s="858"/>
      <c r="D71" s="861"/>
      <c r="E71" s="734">
        <v>4</v>
      </c>
      <c r="F71" s="735"/>
      <c r="G71" s="818" t="str">
        <f>IF(ISBLANK(F71),"-",(F71/$D$50*$D$47*$B$68)*($B$57/$D$68))</f>
        <v>-</v>
      </c>
      <c r="H71" s="741" t="str">
        <f t="shared" si="0"/>
        <v>-</v>
      </c>
    </row>
    <row r="72" spans="1:8" ht="26.25" customHeight="1" x14ac:dyDescent="0.4">
      <c r="A72" s="742"/>
      <c r="B72" s="742"/>
      <c r="C72" s="742"/>
      <c r="D72" s="742"/>
      <c r="E72" s="742"/>
      <c r="F72" s="744" t="s">
        <v>71</v>
      </c>
      <c r="G72" s="823">
        <f>AVERAGE(G60:G71)</f>
        <v>297.53274525575364</v>
      </c>
      <c r="H72" s="745">
        <f>AVERAGE(H60:H71)</f>
        <v>1.0819372554754676</v>
      </c>
    </row>
    <row r="73" spans="1:8" ht="26.25" customHeight="1" x14ac:dyDescent="0.4">
      <c r="C73" s="742"/>
      <c r="D73" s="742"/>
      <c r="E73" s="742"/>
      <c r="F73" s="746" t="s">
        <v>84</v>
      </c>
      <c r="G73" s="819">
        <f>STDEV(G60:G71)/G72</f>
        <v>9.9375044028929757E-3</v>
      </c>
      <c r="H73" s="819">
        <f>STDEV(H60:H71)/H72</f>
        <v>9.9375044028929584E-3</v>
      </c>
    </row>
    <row r="74" spans="1:8" ht="27" customHeight="1" x14ac:dyDescent="0.4">
      <c r="A74" s="742"/>
      <c r="B74" s="742"/>
      <c r="C74" s="743"/>
      <c r="D74" s="743"/>
      <c r="E74" s="747"/>
      <c r="F74" s="748" t="s">
        <v>20</v>
      </c>
      <c r="G74" s="749">
        <f>COUNT(G60:G71)</f>
        <v>9</v>
      </c>
      <c r="H74" s="749">
        <f>COUNT(H60:H71)</f>
        <v>9</v>
      </c>
    </row>
    <row r="76" spans="1:8" ht="26.25" customHeight="1" x14ac:dyDescent="0.4">
      <c r="A76" s="654" t="s">
        <v>106</v>
      </c>
      <c r="B76" s="750" t="s">
        <v>107</v>
      </c>
      <c r="C76" s="843" t="str">
        <f>B20</f>
        <v>RIFAMPICIN, ISONIAZID, PYRAZINAMIDE &amp; ETHAMBUTOL HCl</v>
      </c>
      <c r="D76" s="843"/>
      <c r="E76" s="751" t="s">
        <v>108</v>
      </c>
      <c r="F76" s="751"/>
      <c r="G76" s="752">
        <f>H72</f>
        <v>1.0819372554754676</v>
      </c>
      <c r="H76" s="753"/>
    </row>
    <row r="77" spans="1:8" ht="18.75" x14ac:dyDescent="0.3">
      <c r="A77" s="653" t="s">
        <v>109</v>
      </c>
      <c r="B77" s="653" t="s">
        <v>110</v>
      </c>
    </row>
    <row r="78" spans="1:8" ht="18.75" x14ac:dyDescent="0.3">
      <c r="A78" s="653"/>
      <c r="B78" s="653"/>
    </row>
    <row r="79" spans="1:8" ht="26.25" customHeight="1" x14ac:dyDescent="0.4">
      <c r="A79" s="654" t="s">
        <v>4</v>
      </c>
      <c r="B79" s="866" t="str">
        <f>B26</f>
        <v>ETHAMBUTOL HYDROCHLORIDE</v>
      </c>
      <c r="C79" s="866"/>
    </row>
    <row r="80" spans="1:8" ht="26.25" customHeight="1" x14ac:dyDescent="0.4">
      <c r="A80" s="655" t="s">
        <v>48</v>
      </c>
      <c r="B80" s="866" t="str">
        <f>B27</f>
        <v>E12 3</v>
      </c>
      <c r="C80" s="866"/>
    </row>
    <row r="81" spans="1:12" ht="27" customHeight="1" x14ac:dyDescent="0.4">
      <c r="A81" s="655" t="s">
        <v>6</v>
      </c>
      <c r="B81" s="754">
        <f>B28</f>
        <v>100</v>
      </c>
    </row>
    <row r="82" spans="1:12" s="14" customFormat="1" ht="27" customHeight="1" x14ac:dyDescent="0.4">
      <c r="A82" s="655" t="s">
        <v>49</v>
      </c>
      <c r="B82" s="657">
        <v>0</v>
      </c>
      <c r="C82" s="845" t="s">
        <v>50</v>
      </c>
      <c r="D82" s="846"/>
      <c r="E82" s="846"/>
      <c r="F82" s="846"/>
      <c r="G82" s="847"/>
      <c r="I82" s="658"/>
      <c r="J82" s="658"/>
      <c r="K82" s="658"/>
      <c r="L82" s="658"/>
    </row>
    <row r="83" spans="1:12" s="14" customFormat="1" ht="19.5" customHeight="1" x14ac:dyDescent="0.3">
      <c r="A83" s="655" t="s">
        <v>51</v>
      </c>
      <c r="B83" s="659">
        <f>B81-B82</f>
        <v>100</v>
      </c>
      <c r="C83" s="660"/>
      <c r="D83" s="660"/>
      <c r="E83" s="660"/>
      <c r="F83" s="660"/>
      <c r="G83" s="661"/>
      <c r="I83" s="658"/>
      <c r="J83" s="658"/>
      <c r="K83" s="658"/>
      <c r="L83" s="658"/>
    </row>
    <row r="84" spans="1:12" s="14" customFormat="1" ht="27" customHeight="1" x14ac:dyDescent="0.4">
      <c r="A84" s="655" t="s">
        <v>52</v>
      </c>
      <c r="B84" s="662">
        <v>1</v>
      </c>
      <c r="C84" s="848" t="s">
        <v>111</v>
      </c>
      <c r="D84" s="849"/>
      <c r="E84" s="849"/>
      <c r="F84" s="849"/>
      <c r="G84" s="849"/>
      <c r="H84" s="850"/>
      <c r="I84" s="658"/>
      <c r="J84" s="658"/>
      <c r="K84" s="658"/>
      <c r="L84" s="658"/>
    </row>
    <row r="85" spans="1:12" s="14" customFormat="1" ht="27" customHeight="1" x14ac:dyDescent="0.4">
      <c r="A85" s="655" t="s">
        <v>54</v>
      </c>
      <c r="B85" s="662">
        <v>1</v>
      </c>
      <c r="C85" s="848" t="s">
        <v>112</v>
      </c>
      <c r="D85" s="849"/>
      <c r="E85" s="849"/>
      <c r="F85" s="849"/>
      <c r="G85" s="849"/>
      <c r="H85" s="850"/>
      <c r="I85" s="658"/>
      <c r="J85" s="658"/>
      <c r="K85" s="658"/>
      <c r="L85" s="658"/>
    </row>
    <row r="86" spans="1:12" s="14" customFormat="1" ht="18.75" x14ac:dyDescent="0.3">
      <c r="A86" s="655"/>
      <c r="B86" s="665"/>
      <c r="C86" s="666"/>
      <c r="D86" s="666"/>
      <c r="E86" s="666"/>
      <c r="F86" s="666"/>
      <c r="G86" s="666"/>
      <c r="H86" s="666"/>
      <c r="I86" s="658"/>
      <c r="J86" s="658"/>
      <c r="K86" s="658"/>
      <c r="L86" s="658"/>
    </row>
    <row r="87" spans="1:12" s="14" customFormat="1" ht="18.75" x14ac:dyDescent="0.3">
      <c r="A87" s="655" t="s">
        <v>56</v>
      </c>
      <c r="B87" s="667">
        <f>B84/B85</f>
        <v>1</v>
      </c>
      <c r="C87" s="645" t="s">
        <v>57</v>
      </c>
      <c r="D87" s="645"/>
      <c r="E87" s="645"/>
      <c r="F87" s="645"/>
      <c r="G87" s="645"/>
      <c r="I87" s="658"/>
      <c r="J87" s="658"/>
      <c r="K87" s="658"/>
      <c r="L87" s="658"/>
    </row>
    <row r="88" spans="1:12" ht="19.5" customHeight="1" x14ac:dyDescent="0.3">
      <c r="A88" s="653"/>
      <c r="B88" s="653"/>
    </row>
    <row r="89" spans="1:12" ht="27" customHeight="1" x14ac:dyDescent="0.4">
      <c r="A89" s="668" t="s">
        <v>58</v>
      </c>
      <c r="B89" s="669">
        <v>100</v>
      </c>
      <c r="D89" s="755" t="s">
        <v>59</v>
      </c>
      <c r="E89" s="756"/>
      <c r="F89" s="851" t="s">
        <v>60</v>
      </c>
      <c r="G89" s="852"/>
    </row>
    <row r="90" spans="1:12" ht="27" customHeight="1" x14ac:dyDescent="0.4">
      <c r="A90" s="670" t="s">
        <v>61</v>
      </c>
      <c r="B90" s="671">
        <v>1</v>
      </c>
      <c r="C90" s="757" t="s">
        <v>62</v>
      </c>
      <c r="D90" s="673" t="s">
        <v>63</v>
      </c>
      <c r="E90" s="674" t="s">
        <v>64</v>
      </c>
      <c r="F90" s="673" t="s">
        <v>63</v>
      </c>
      <c r="G90" s="758" t="s">
        <v>64</v>
      </c>
      <c r="I90" s="676" t="s">
        <v>65</v>
      </c>
    </row>
    <row r="91" spans="1:12" ht="26.25" customHeight="1" x14ac:dyDescent="0.4">
      <c r="A91" s="670" t="s">
        <v>66</v>
      </c>
      <c r="B91" s="671">
        <v>1</v>
      </c>
      <c r="C91" s="759">
        <v>1</v>
      </c>
      <c r="D91" s="678">
        <v>42008024</v>
      </c>
      <c r="E91" s="679">
        <f>IF(ISBLANK(D91),"-",$D$101/$D$98*D91)</f>
        <v>38592258.30159685</v>
      </c>
      <c r="F91" s="678">
        <v>32866256</v>
      </c>
      <c r="G91" s="680">
        <f>IF(ISBLANK(F91),"-",$D$101/$F$98*F91)</f>
        <v>38169772.372144103</v>
      </c>
      <c r="I91" s="681"/>
    </row>
    <row r="92" spans="1:12" ht="26.25" customHeight="1" x14ac:dyDescent="0.4">
      <c r="A92" s="670" t="s">
        <v>67</v>
      </c>
      <c r="B92" s="671">
        <v>1</v>
      </c>
      <c r="C92" s="743">
        <v>2</v>
      </c>
      <c r="D92" s="683">
        <v>42127875</v>
      </c>
      <c r="E92" s="684">
        <f>IF(ISBLANK(D92),"-",$D$101/$D$98*D92)</f>
        <v>38702363.950691529</v>
      </c>
      <c r="F92" s="683">
        <v>32921128</v>
      </c>
      <c r="G92" s="685">
        <f>IF(ISBLANK(F92),"-",$D$101/$F$98*F92)</f>
        <v>38233498.880864911</v>
      </c>
      <c r="I92" s="853">
        <f>ABS((F96/D96*D95)-F95)/D95</f>
        <v>9.2796670957505968E-3</v>
      </c>
    </row>
    <row r="93" spans="1:12" ht="26.25" customHeight="1" x14ac:dyDescent="0.4">
      <c r="A93" s="670" t="s">
        <v>68</v>
      </c>
      <c r="B93" s="671">
        <v>1</v>
      </c>
      <c r="C93" s="743">
        <v>3</v>
      </c>
      <c r="D93" s="683">
        <v>42166793</v>
      </c>
      <c r="E93" s="684">
        <f>IF(ISBLANK(D93),"-",$D$101/$D$98*D93)</f>
        <v>38738117.441705093</v>
      </c>
      <c r="F93" s="683">
        <v>32951087</v>
      </c>
      <c r="G93" s="685">
        <f>IF(ISBLANK(F93),"-",$D$101/$F$98*F93)</f>
        <v>38268292.263186797</v>
      </c>
      <c r="I93" s="853"/>
    </row>
    <row r="94" spans="1:12" ht="27" customHeight="1" x14ac:dyDescent="0.4">
      <c r="A94" s="670" t="s">
        <v>69</v>
      </c>
      <c r="B94" s="671">
        <v>1</v>
      </c>
      <c r="C94" s="760">
        <v>4</v>
      </c>
      <c r="D94" s="688"/>
      <c r="E94" s="689" t="str">
        <f>IF(ISBLANK(D94),"-",$D$101/$D$98*D94)</f>
        <v>-</v>
      </c>
      <c r="F94" s="688"/>
      <c r="G94" s="690" t="str">
        <f>IF(ISBLANK(F94),"-",$D$101/$F$98*F94)</f>
        <v>-</v>
      </c>
      <c r="I94" s="691"/>
    </row>
    <row r="95" spans="1:12" ht="27" customHeight="1" x14ac:dyDescent="0.4">
      <c r="A95" s="670" t="s">
        <v>70</v>
      </c>
      <c r="B95" s="671">
        <v>1</v>
      </c>
      <c r="C95" s="761" t="s">
        <v>71</v>
      </c>
      <c r="D95" s="762">
        <f>AVERAGE(D91:D94)</f>
        <v>42100897.333333336</v>
      </c>
      <c r="E95" s="694">
        <f>AVERAGE(E91:E94)</f>
        <v>38677579.897997819</v>
      </c>
      <c r="F95" s="763">
        <f>AVERAGE(F91:F94)</f>
        <v>32912823.666666668</v>
      </c>
      <c r="G95" s="764">
        <f>AVERAGE(G91:G94)</f>
        <v>38223854.505398609</v>
      </c>
    </row>
    <row r="96" spans="1:12" ht="26.25" customHeight="1" x14ac:dyDescent="0.4">
      <c r="A96" s="670" t="s">
        <v>72</v>
      </c>
      <c r="B96" s="656">
        <v>1</v>
      </c>
      <c r="C96" s="765" t="s">
        <v>113</v>
      </c>
      <c r="D96" s="766">
        <f>D43</f>
        <v>33.26</v>
      </c>
      <c r="E96" s="686"/>
      <c r="F96" s="698">
        <f>F43</f>
        <v>26.31</v>
      </c>
    </row>
    <row r="97" spans="1:10" ht="26.25" customHeight="1" x14ac:dyDescent="0.4">
      <c r="A97" s="670" t="s">
        <v>74</v>
      </c>
      <c r="B97" s="656">
        <v>1</v>
      </c>
      <c r="C97" s="767" t="s">
        <v>114</v>
      </c>
      <c r="D97" s="768">
        <f>D96*$B$87</f>
        <v>33.26</v>
      </c>
      <c r="E97" s="701"/>
      <c r="F97" s="700">
        <f>F96*$B$87</f>
        <v>26.31</v>
      </c>
    </row>
    <row r="98" spans="1:10" ht="19.5" customHeight="1" x14ac:dyDescent="0.3">
      <c r="A98" s="670" t="s">
        <v>76</v>
      </c>
      <c r="B98" s="769">
        <f>(B97/B96)*(B95/B94)*(B93/B92)*(B91/B90)*B89</f>
        <v>100</v>
      </c>
      <c r="C98" s="767" t="s">
        <v>115</v>
      </c>
      <c r="D98" s="770">
        <f>D97*$B$83/100</f>
        <v>33.26</v>
      </c>
      <c r="E98" s="704"/>
      <c r="F98" s="703">
        <f>F97*$B$83/100</f>
        <v>26.31</v>
      </c>
    </row>
    <row r="99" spans="1:10" ht="19.5" customHeight="1" x14ac:dyDescent="0.3">
      <c r="A99" s="839" t="s">
        <v>78</v>
      </c>
      <c r="B99" s="854"/>
      <c r="C99" s="767" t="s">
        <v>116</v>
      </c>
      <c r="D99" s="771">
        <f>D98/$B$98</f>
        <v>0.33260000000000001</v>
      </c>
      <c r="E99" s="704"/>
      <c r="F99" s="707">
        <f>F98/$B$98</f>
        <v>0.2631</v>
      </c>
      <c r="G99" s="772"/>
      <c r="H99" s="696"/>
    </row>
    <row r="100" spans="1:10" ht="19.5" customHeight="1" x14ac:dyDescent="0.3">
      <c r="A100" s="841"/>
      <c r="B100" s="855"/>
      <c r="C100" s="767" t="s">
        <v>80</v>
      </c>
      <c r="D100" s="773">
        <f>$B$56/$B$116</f>
        <v>0.30555555555555558</v>
      </c>
      <c r="F100" s="712"/>
      <c r="G100" s="774"/>
      <c r="H100" s="696"/>
    </row>
    <row r="101" spans="1:10" ht="18.75" x14ac:dyDescent="0.3">
      <c r="C101" s="767" t="s">
        <v>81</v>
      </c>
      <c r="D101" s="768">
        <f>D100*$B$98</f>
        <v>30.555555555555557</v>
      </c>
      <c r="F101" s="712"/>
      <c r="G101" s="772"/>
      <c r="H101" s="696"/>
    </row>
    <row r="102" spans="1:10" ht="19.5" customHeight="1" x14ac:dyDescent="0.3">
      <c r="C102" s="775" t="s">
        <v>82</v>
      </c>
      <c r="D102" s="776">
        <f>D101/B34</f>
        <v>30.555555555555557</v>
      </c>
      <c r="F102" s="716"/>
      <c r="G102" s="772"/>
      <c r="H102" s="696"/>
      <c r="J102" s="777"/>
    </row>
    <row r="103" spans="1:10" ht="18.75" x14ac:dyDescent="0.3">
      <c r="C103" s="778" t="s">
        <v>117</v>
      </c>
      <c r="D103" s="779">
        <f>AVERAGE(E91:E94,G91:G94)</f>
        <v>38450717.201698214</v>
      </c>
      <c r="F103" s="716"/>
      <c r="G103" s="780"/>
      <c r="H103" s="696"/>
      <c r="J103" s="781"/>
    </row>
    <row r="104" spans="1:10" ht="18.75" x14ac:dyDescent="0.3">
      <c r="C104" s="746" t="s">
        <v>84</v>
      </c>
      <c r="D104" s="782">
        <f>STDEV(E91:E94,G91:G94)/D103</f>
        <v>6.6341757729249367E-3</v>
      </c>
      <c r="F104" s="716"/>
      <c r="G104" s="772"/>
      <c r="H104" s="696"/>
      <c r="J104" s="781"/>
    </row>
    <row r="105" spans="1:10" ht="19.5" customHeight="1" x14ac:dyDescent="0.3">
      <c r="C105" s="748" t="s">
        <v>20</v>
      </c>
      <c r="D105" s="783">
        <f>COUNT(E91:E94,G91:G94)</f>
        <v>6</v>
      </c>
      <c r="F105" s="716"/>
      <c r="G105" s="772"/>
      <c r="H105" s="696"/>
      <c r="J105" s="781"/>
    </row>
    <row r="106" spans="1:10" ht="19.5" customHeight="1" x14ac:dyDescent="0.3">
      <c r="A106" s="720"/>
      <c r="B106" s="720"/>
      <c r="C106" s="720"/>
      <c r="D106" s="720"/>
      <c r="E106" s="720"/>
    </row>
    <row r="107" spans="1:10" ht="26.25" customHeight="1" x14ac:dyDescent="0.4">
      <c r="A107" s="668" t="s">
        <v>118</v>
      </c>
      <c r="B107" s="669">
        <v>900</v>
      </c>
      <c r="C107" s="784" t="s">
        <v>119</v>
      </c>
      <c r="D107" s="785" t="s">
        <v>63</v>
      </c>
      <c r="E107" s="786" t="s">
        <v>120</v>
      </c>
      <c r="F107" s="787" t="s">
        <v>121</v>
      </c>
    </row>
    <row r="108" spans="1:10" ht="26.25" customHeight="1" x14ac:dyDescent="0.4">
      <c r="A108" s="670" t="s">
        <v>122</v>
      </c>
      <c r="B108" s="671">
        <v>1</v>
      </c>
      <c r="C108" s="788">
        <v>1</v>
      </c>
      <c r="D108" s="789">
        <v>37553437</v>
      </c>
      <c r="E108" s="820">
        <f t="shared" ref="E108:E113" si="1">IF(ISBLANK(D108),"-",D108/$D$103*$D$100*$B$116)</f>
        <v>268.58264101622245</v>
      </c>
      <c r="F108" s="790">
        <f t="shared" ref="F108:F113" si="2">IF(ISBLANK(D108), "-", E108/$B$56)</f>
        <v>0.97666414914989985</v>
      </c>
    </row>
    <row r="109" spans="1:10" ht="26.25" customHeight="1" x14ac:dyDescent="0.4">
      <c r="A109" s="670" t="s">
        <v>95</v>
      </c>
      <c r="B109" s="671">
        <v>1</v>
      </c>
      <c r="C109" s="788">
        <v>2</v>
      </c>
      <c r="D109" s="789">
        <v>37330474</v>
      </c>
      <c r="E109" s="821">
        <f t="shared" si="1"/>
        <v>266.98800691152252</v>
      </c>
      <c r="F109" s="791">
        <f t="shared" si="2"/>
        <v>0.97086547967826375</v>
      </c>
    </row>
    <row r="110" spans="1:10" ht="26.25" customHeight="1" x14ac:dyDescent="0.4">
      <c r="A110" s="670" t="s">
        <v>96</v>
      </c>
      <c r="B110" s="671">
        <v>1</v>
      </c>
      <c r="C110" s="788">
        <v>3</v>
      </c>
      <c r="D110" s="789">
        <v>37446570</v>
      </c>
      <c r="E110" s="821">
        <f t="shared" si="1"/>
        <v>267.81832692434637</v>
      </c>
      <c r="F110" s="791">
        <f t="shared" si="2"/>
        <v>0.9738848251794413</v>
      </c>
    </row>
    <row r="111" spans="1:10" ht="26.25" customHeight="1" x14ac:dyDescent="0.4">
      <c r="A111" s="670" t="s">
        <v>97</v>
      </c>
      <c r="B111" s="671">
        <v>1</v>
      </c>
      <c r="C111" s="788">
        <v>4</v>
      </c>
      <c r="D111" s="789">
        <v>37223416</v>
      </c>
      <c r="E111" s="821">
        <f t="shared" si="1"/>
        <v>266.22232678530895</v>
      </c>
      <c r="F111" s="791">
        <f t="shared" si="2"/>
        <v>0.96808118831021439</v>
      </c>
    </row>
    <row r="112" spans="1:10" ht="26.25" customHeight="1" x14ac:dyDescent="0.4">
      <c r="A112" s="670" t="s">
        <v>98</v>
      </c>
      <c r="B112" s="671">
        <v>1</v>
      </c>
      <c r="C112" s="788">
        <v>5</v>
      </c>
      <c r="D112" s="789">
        <v>37103063</v>
      </c>
      <c r="E112" s="821">
        <f t="shared" si="1"/>
        <v>265.36156065638642</v>
      </c>
      <c r="F112" s="791">
        <f t="shared" si="2"/>
        <v>0.96495112965958696</v>
      </c>
    </row>
    <row r="113" spans="1:10" ht="26.25" customHeight="1" x14ac:dyDescent="0.4">
      <c r="A113" s="670" t="s">
        <v>100</v>
      </c>
      <c r="B113" s="671">
        <v>1</v>
      </c>
      <c r="C113" s="792">
        <v>6</v>
      </c>
      <c r="D113" s="793">
        <v>37017359</v>
      </c>
      <c r="E113" s="822">
        <f t="shared" si="1"/>
        <v>264.7486045995106</v>
      </c>
      <c r="F113" s="794">
        <f t="shared" si="2"/>
        <v>0.96272219854367491</v>
      </c>
    </row>
    <row r="114" spans="1:10" ht="26.25" customHeight="1" x14ac:dyDescent="0.4">
      <c r="A114" s="670" t="s">
        <v>101</v>
      </c>
      <c r="B114" s="671">
        <v>1</v>
      </c>
      <c r="C114" s="788"/>
      <c r="D114" s="743"/>
      <c r="E114" s="644"/>
      <c r="F114" s="795"/>
    </row>
    <row r="115" spans="1:10" ht="26.25" customHeight="1" x14ac:dyDescent="0.4">
      <c r="A115" s="670" t="s">
        <v>102</v>
      </c>
      <c r="B115" s="671">
        <v>1</v>
      </c>
      <c r="C115" s="788"/>
      <c r="D115" s="796" t="s">
        <v>71</v>
      </c>
      <c r="E115" s="824">
        <f>AVERAGE(E108:E113)</f>
        <v>266.62024448221621</v>
      </c>
      <c r="F115" s="797">
        <f>AVERAGE(F108:F113)</f>
        <v>0.96952816175351353</v>
      </c>
    </row>
    <row r="116" spans="1:10" ht="27" customHeight="1" x14ac:dyDescent="0.4">
      <c r="A116" s="670" t="s">
        <v>103</v>
      </c>
      <c r="B116" s="702">
        <f>(B115/B114)*(B113/B112)*(B111/B110)*(B109/B108)*B107</f>
        <v>900</v>
      </c>
      <c r="C116" s="798"/>
      <c r="D116" s="761" t="s">
        <v>84</v>
      </c>
      <c r="E116" s="799">
        <f>STDEV(E108:E113)/E115</f>
        <v>5.4783444884688743E-3</v>
      </c>
      <c r="F116" s="799">
        <f>STDEV(F108:F113)/F115</f>
        <v>5.4783444884688786E-3</v>
      </c>
      <c r="I116" s="644"/>
    </row>
    <row r="117" spans="1:10" ht="27" customHeight="1" x14ac:dyDescent="0.4">
      <c r="A117" s="839" t="s">
        <v>78</v>
      </c>
      <c r="B117" s="840"/>
      <c r="C117" s="800"/>
      <c r="D117" s="801" t="s">
        <v>20</v>
      </c>
      <c r="E117" s="802">
        <f>COUNT(E108:E113)</f>
        <v>6</v>
      </c>
      <c r="F117" s="802">
        <f>COUNT(F108:F113)</f>
        <v>6</v>
      </c>
      <c r="I117" s="644"/>
      <c r="J117" s="781"/>
    </row>
    <row r="118" spans="1:10" ht="19.5" customHeight="1" x14ac:dyDescent="0.3">
      <c r="A118" s="841"/>
      <c r="B118" s="842"/>
      <c r="C118" s="644"/>
      <c r="D118" s="644"/>
      <c r="E118" s="644"/>
      <c r="F118" s="743"/>
      <c r="G118" s="644"/>
      <c r="H118" s="644"/>
      <c r="I118" s="644"/>
    </row>
    <row r="119" spans="1:10" ht="18.75" x14ac:dyDescent="0.3">
      <c r="A119" s="811"/>
      <c r="B119" s="666"/>
      <c r="C119" s="644"/>
      <c r="D119" s="644"/>
      <c r="E119" s="644"/>
      <c r="F119" s="743"/>
      <c r="G119" s="644"/>
      <c r="H119" s="644"/>
      <c r="I119" s="644"/>
    </row>
    <row r="120" spans="1:10" ht="26.25" customHeight="1" x14ac:dyDescent="0.4">
      <c r="A120" s="654" t="s">
        <v>106</v>
      </c>
      <c r="B120" s="750" t="s">
        <v>123</v>
      </c>
      <c r="C120" s="843" t="str">
        <f>B20</f>
        <v>RIFAMPICIN, ISONIAZID, PYRAZINAMIDE &amp; ETHAMBUTOL HCl</v>
      </c>
      <c r="D120" s="843"/>
      <c r="E120" s="751" t="s">
        <v>124</v>
      </c>
      <c r="F120" s="751"/>
      <c r="G120" s="752">
        <f>F115</f>
        <v>0.96952816175351353</v>
      </c>
      <c r="H120" s="644"/>
      <c r="I120" s="644"/>
    </row>
    <row r="121" spans="1:10" ht="19.5" customHeight="1" x14ac:dyDescent="0.3">
      <c r="A121" s="803"/>
      <c r="B121" s="803"/>
      <c r="C121" s="804"/>
      <c r="D121" s="804"/>
      <c r="E121" s="804"/>
      <c r="F121" s="804"/>
      <c r="G121" s="804"/>
      <c r="H121" s="804"/>
    </row>
    <row r="122" spans="1:10" ht="18.75" x14ac:dyDescent="0.3">
      <c r="B122" s="844" t="s">
        <v>26</v>
      </c>
      <c r="C122" s="844"/>
      <c r="E122" s="757" t="s">
        <v>27</v>
      </c>
      <c r="F122" s="805"/>
      <c r="G122" s="844" t="s">
        <v>28</v>
      </c>
      <c r="H122" s="844"/>
    </row>
    <row r="123" spans="1:10" ht="69.95" customHeight="1" x14ac:dyDescent="0.3">
      <c r="A123" s="806" t="s">
        <v>29</v>
      </c>
      <c r="B123" s="807"/>
      <c r="C123" s="807"/>
      <c r="E123" s="807"/>
      <c r="F123" s="644"/>
      <c r="G123" s="808"/>
      <c r="H123" s="808"/>
    </row>
    <row r="124" spans="1:10" ht="69.95" customHeight="1" x14ac:dyDescent="0.3">
      <c r="A124" s="806" t="s">
        <v>30</v>
      </c>
      <c r="B124" s="809"/>
      <c r="C124" s="809"/>
      <c r="E124" s="809"/>
      <c r="F124" s="644"/>
      <c r="G124" s="810"/>
      <c r="H124" s="810"/>
    </row>
    <row r="125" spans="1:10" ht="18.75" x14ac:dyDescent="0.3">
      <c r="A125" s="742"/>
      <c r="B125" s="742"/>
      <c r="C125" s="743"/>
      <c r="D125" s="743"/>
      <c r="E125" s="743"/>
      <c r="F125" s="747"/>
      <c r="G125" s="743"/>
      <c r="H125" s="743"/>
      <c r="I125" s="644"/>
    </row>
    <row r="126" spans="1:10" ht="18.75" x14ac:dyDescent="0.3">
      <c r="A126" s="742"/>
      <c r="B126" s="742"/>
      <c r="C126" s="743"/>
      <c r="D126" s="743"/>
      <c r="E126" s="743"/>
      <c r="F126" s="747"/>
      <c r="G126" s="743"/>
      <c r="H126" s="743"/>
      <c r="I126" s="644"/>
    </row>
    <row r="127" spans="1:10" ht="18.75" x14ac:dyDescent="0.3">
      <c r="A127" s="742"/>
      <c r="B127" s="742"/>
      <c r="C127" s="743"/>
      <c r="D127" s="743"/>
      <c r="E127" s="743"/>
      <c r="F127" s="747"/>
      <c r="G127" s="743"/>
      <c r="H127" s="743"/>
      <c r="I127" s="644"/>
    </row>
    <row r="128" spans="1:10" ht="18.75" x14ac:dyDescent="0.3">
      <c r="A128" s="742"/>
      <c r="B128" s="742"/>
      <c r="C128" s="743"/>
      <c r="D128" s="743"/>
      <c r="E128" s="743"/>
      <c r="F128" s="747"/>
      <c r="G128" s="743"/>
      <c r="H128" s="743"/>
      <c r="I128" s="644"/>
    </row>
    <row r="129" spans="1:9" ht="18.75" x14ac:dyDescent="0.3">
      <c r="A129" s="742"/>
      <c r="B129" s="742"/>
      <c r="C129" s="743"/>
      <c r="D129" s="743"/>
      <c r="E129" s="743"/>
      <c r="F129" s="747"/>
      <c r="G129" s="743"/>
      <c r="H129" s="743"/>
      <c r="I129" s="644"/>
    </row>
    <row r="130" spans="1:9" ht="18.75" x14ac:dyDescent="0.3">
      <c r="A130" s="742"/>
      <c r="B130" s="742"/>
      <c r="C130" s="743"/>
      <c r="D130" s="743"/>
      <c r="E130" s="743"/>
      <c r="F130" s="747"/>
      <c r="G130" s="743"/>
      <c r="H130" s="743"/>
      <c r="I130" s="644"/>
    </row>
    <row r="131" spans="1:9" ht="18.75" x14ac:dyDescent="0.3">
      <c r="A131" s="742"/>
      <c r="B131" s="742"/>
      <c r="C131" s="743"/>
      <c r="D131" s="743"/>
      <c r="E131" s="743"/>
      <c r="F131" s="747"/>
      <c r="G131" s="743"/>
      <c r="H131" s="743"/>
      <c r="I131" s="644"/>
    </row>
    <row r="132" spans="1:9" ht="18.75" x14ac:dyDescent="0.3">
      <c r="A132" s="742"/>
      <c r="B132" s="742"/>
      <c r="C132" s="743"/>
      <c r="D132" s="743"/>
      <c r="E132" s="743"/>
      <c r="F132" s="747"/>
      <c r="G132" s="743"/>
      <c r="H132" s="743"/>
      <c r="I132" s="644"/>
    </row>
    <row r="133" spans="1:9" ht="18.75" x14ac:dyDescent="0.3">
      <c r="A133" s="742"/>
      <c r="B133" s="742"/>
      <c r="C133" s="743"/>
      <c r="D133" s="743"/>
      <c r="E133" s="743"/>
      <c r="F133" s="747"/>
      <c r="G133" s="743"/>
      <c r="H133" s="743"/>
      <c r="I133" s="644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B20" sqref="B20"/>
    </sheetView>
  </sheetViews>
  <sheetFormatPr defaultRowHeight="13.5" x14ac:dyDescent="0.25"/>
  <cols>
    <col min="1" max="1" width="27.5703125" style="772" customWidth="1"/>
    <col min="2" max="2" width="20.42578125" style="772" customWidth="1"/>
    <col min="3" max="3" width="31.85546875" style="772" customWidth="1"/>
    <col min="4" max="4" width="25.85546875" style="772" customWidth="1"/>
    <col min="5" max="5" width="25.7109375" style="772" customWidth="1"/>
    <col min="6" max="6" width="23.140625" style="772" customWidth="1"/>
    <col min="7" max="7" width="28.42578125" style="772" customWidth="1"/>
    <col min="8" max="8" width="21.5703125" style="772" customWidth="1"/>
    <col min="9" max="9" width="9.140625" style="77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76" t="s">
        <v>0</v>
      </c>
      <c r="B15" s="876"/>
      <c r="C15" s="876"/>
      <c r="D15" s="876"/>
      <c r="E15" s="87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772" t="s">
        <v>125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7</v>
      </c>
      <c r="C19" s="72"/>
      <c r="D19" s="72"/>
      <c r="E19" s="72"/>
    </row>
    <row r="20" spans="1:5" ht="16.5" customHeight="1" x14ac:dyDescent="0.3">
      <c r="A20" s="8" t="s">
        <v>8</v>
      </c>
      <c r="B20" s="12">
        <v>17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0.17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4326118</v>
      </c>
      <c r="C24" s="18">
        <v>49706.400000000001</v>
      </c>
      <c r="D24" s="19">
        <v>1.1000000000000001</v>
      </c>
      <c r="E24" s="20">
        <v>6.367</v>
      </c>
    </row>
    <row r="25" spans="1:5" ht="16.5" customHeight="1" x14ac:dyDescent="0.3">
      <c r="A25" s="17">
        <v>2</v>
      </c>
      <c r="B25" s="18">
        <v>4293979</v>
      </c>
      <c r="C25" s="18">
        <v>49827.5</v>
      </c>
      <c r="D25" s="19">
        <v>1.1000000000000001</v>
      </c>
      <c r="E25" s="19">
        <v>6.36</v>
      </c>
    </row>
    <row r="26" spans="1:5" ht="16.5" customHeight="1" x14ac:dyDescent="0.3">
      <c r="A26" s="17">
        <v>3</v>
      </c>
      <c r="B26" s="18">
        <v>4299448</v>
      </c>
      <c r="C26" s="18">
        <v>49721.4</v>
      </c>
      <c r="D26" s="19">
        <v>1.1000000000000001</v>
      </c>
      <c r="E26" s="19">
        <v>6.36</v>
      </c>
    </row>
    <row r="27" spans="1:5" ht="16.5" customHeight="1" x14ac:dyDescent="0.3">
      <c r="A27" s="17">
        <v>4</v>
      </c>
      <c r="B27" s="18">
        <v>4292853</v>
      </c>
      <c r="C27" s="18">
        <v>49863.1</v>
      </c>
      <c r="D27" s="19">
        <v>1.1000000000000001</v>
      </c>
      <c r="E27" s="19">
        <v>6.36</v>
      </c>
    </row>
    <row r="28" spans="1:5" ht="16.5" customHeight="1" x14ac:dyDescent="0.3">
      <c r="A28" s="17">
        <v>5</v>
      </c>
      <c r="B28" s="18">
        <v>4286665</v>
      </c>
      <c r="C28" s="18">
        <v>49368.2</v>
      </c>
      <c r="D28" s="19">
        <v>1.2</v>
      </c>
      <c r="E28" s="19">
        <v>6.3529999999999998</v>
      </c>
    </row>
    <row r="29" spans="1:5" ht="16.5" customHeight="1" x14ac:dyDescent="0.3">
      <c r="A29" s="17">
        <v>6</v>
      </c>
      <c r="B29" s="21">
        <v>4275204</v>
      </c>
      <c r="C29" s="21">
        <v>49887.3</v>
      </c>
      <c r="D29" s="22">
        <v>1.1000000000000001</v>
      </c>
      <c r="E29" s="22">
        <v>6.3529999999999998</v>
      </c>
    </row>
    <row r="30" spans="1:5" ht="16.5" customHeight="1" x14ac:dyDescent="0.3">
      <c r="A30" s="23" t="s">
        <v>18</v>
      </c>
      <c r="B30" s="24">
        <f>AVERAGE(B24:B29)</f>
        <v>4295711.166666667</v>
      </c>
      <c r="C30" s="25">
        <f>AVERAGE(C24:C29)</f>
        <v>49728.98333333333</v>
      </c>
      <c r="D30" s="26">
        <f>AVERAGE(D24:D29)</f>
        <v>1.1166666666666669</v>
      </c>
      <c r="E30" s="26">
        <f>AVERAGE(E24:E29)</f>
        <v>6.3588333333333331</v>
      </c>
    </row>
    <row r="31" spans="1:5" ht="16.5" customHeight="1" x14ac:dyDescent="0.3">
      <c r="A31" s="27" t="s">
        <v>19</v>
      </c>
      <c r="B31" s="28">
        <f>(STDEV(B24:B29)/B30)</f>
        <v>3.9671268725873926E-3</v>
      </c>
      <c r="C31" s="29"/>
      <c r="D31" s="29"/>
      <c r="E31" s="30"/>
    </row>
    <row r="32" spans="1:5" s="77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772" customFormat="1" ht="15.75" customHeight="1" x14ac:dyDescent="0.25">
      <c r="A33" s="72"/>
      <c r="B33" s="72"/>
      <c r="C33" s="72"/>
      <c r="D33" s="72"/>
      <c r="E33" s="72"/>
    </row>
    <row r="34" spans="1:5" s="772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4326118</v>
      </c>
      <c r="C45" s="18">
        <v>49706.400000000001</v>
      </c>
      <c r="D45" s="19">
        <v>1.1000000000000001</v>
      </c>
      <c r="E45" s="20">
        <v>6.367</v>
      </c>
    </row>
    <row r="46" spans="1:5" ht="16.5" customHeight="1" x14ac:dyDescent="0.3">
      <c r="A46" s="17">
        <v>2</v>
      </c>
      <c r="B46" s="18">
        <v>4293979</v>
      </c>
      <c r="C46" s="18">
        <v>49827.5</v>
      </c>
      <c r="D46" s="19">
        <v>1.1000000000000001</v>
      </c>
      <c r="E46" s="19">
        <v>6.36</v>
      </c>
    </row>
    <row r="47" spans="1:5" ht="16.5" customHeight="1" x14ac:dyDescent="0.3">
      <c r="A47" s="17">
        <v>3</v>
      </c>
      <c r="B47" s="18">
        <v>4299448</v>
      </c>
      <c r="C47" s="18">
        <v>49721.4</v>
      </c>
      <c r="D47" s="19">
        <v>1.1000000000000001</v>
      </c>
      <c r="E47" s="19">
        <v>6.36</v>
      </c>
    </row>
    <row r="48" spans="1:5" ht="16.5" customHeight="1" x14ac:dyDescent="0.3">
      <c r="A48" s="17">
        <v>4</v>
      </c>
      <c r="B48" s="18">
        <v>4292853</v>
      </c>
      <c r="C48" s="18">
        <v>49863.1</v>
      </c>
      <c r="D48" s="19">
        <v>1.1000000000000001</v>
      </c>
      <c r="E48" s="19">
        <v>6.36</v>
      </c>
    </row>
    <row r="49" spans="1:7" ht="16.5" customHeight="1" x14ac:dyDescent="0.3">
      <c r="A49" s="17">
        <v>5</v>
      </c>
      <c r="B49" s="18">
        <v>4286665</v>
      </c>
      <c r="C49" s="18">
        <v>49368.2</v>
      </c>
      <c r="D49" s="19">
        <v>1.2</v>
      </c>
      <c r="E49" s="19">
        <v>6.3529999999999998</v>
      </c>
    </row>
    <row r="50" spans="1:7" ht="16.5" customHeight="1" x14ac:dyDescent="0.3">
      <c r="A50" s="17">
        <v>6</v>
      </c>
      <c r="B50" s="21">
        <v>4275204</v>
      </c>
      <c r="C50" s="21">
        <v>49887.3</v>
      </c>
      <c r="D50" s="22">
        <v>1.1000000000000001</v>
      </c>
      <c r="E50" s="22">
        <v>6.3529999999999998</v>
      </c>
    </row>
    <row r="51" spans="1:7" ht="16.5" customHeight="1" x14ac:dyDescent="0.3">
      <c r="A51" s="23" t="s">
        <v>18</v>
      </c>
      <c r="B51" s="24">
        <f>AVERAGE(B45:B50)</f>
        <v>4295711.166666667</v>
      </c>
      <c r="C51" s="25">
        <f>AVERAGE(C45:C50)</f>
        <v>49728.98333333333</v>
      </c>
      <c r="D51" s="26">
        <f>AVERAGE(D45:D50)</f>
        <v>1.1166666666666669</v>
      </c>
      <c r="E51" s="26">
        <f>AVERAGE(E45:E50)</f>
        <v>6.3588333333333331</v>
      </c>
    </row>
    <row r="52" spans="1:7" ht="16.5" customHeight="1" x14ac:dyDescent="0.3">
      <c r="A52" s="27" t="s">
        <v>19</v>
      </c>
      <c r="B52" s="28">
        <f>(STDEV(B45:B50)/B51)</f>
        <v>3.9671268725873926E-3</v>
      </c>
      <c r="C52" s="29"/>
      <c r="D52" s="29"/>
      <c r="E52" s="30"/>
    </row>
    <row r="53" spans="1:7" s="772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772" customFormat="1" ht="15.75" customHeight="1" x14ac:dyDescent="0.25">
      <c r="A54" s="72"/>
      <c r="B54" s="72"/>
      <c r="C54" s="72"/>
      <c r="D54" s="72"/>
      <c r="E54" s="72"/>
    </row>
    <row r="55" spans="1:7" s="772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96"/>
      <c r="D58" s="43"/>
      <c r="F58" s="44"/>
      <c r="G58" s="44"/>
    </row>
    <row r="59" spans="1:7" ht="15" customHeight="1" x14ac:dyDescent="0.3">
      <c r="B59" s="877" t="s">
        <v>26</v>
      </c>
      <c r="C59" s="877"/>
      <c r="E59" s="826" t="s">
        <v>27</v>
      </c>
      <c r="F59" s="46"/>
      <c r="G59" s="826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9" zoomScale="90" zoomScaleNormal="100" zoomScaleSheetLayoutView="90" workbookViewId="0">
      <selection activeCell="C20" sqref="C20"/>
    </sheetView>
  </sheetViews>
  <sheetFormatPr defaultRowHeight="13.5" x14ac:dyDescent="0.25"/>
  <cols>
    <col min="1" max="1" width="27.5703125" style="772" customWidth="1"/>
    <col min="2" max="2" width="20.42578125" style="772" customWidth="1"/>
    <col min="3" max="3" width="31.85546875" style="772" customWidth="1"/>
    <col min="4" max="4" width="25.85546875" style="772" customWidth="1"/>
    <col min="5" max="5" width="25.7109375" style="772" customWidth="1"/>
    <col min="6" max="6" width="23.140625" style="772" customWidth="1"/>
    <col min="7" max="7" width="28.42578125" style="772" customWidth="1"/>
    <col min="8" max="8" width="21.5703125" style="772" customWidth="1"/>
    <col min="9" max="9" width="9.140625" style="772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876" t="s">
        <v>0</v>
      </c>
      <c r="B15" s="876"/>
      <c r="C15" s="876"/>
      <c r="D15" s="876"/>
      <c r="E15" s="876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772" t="s">
        <v>135</v>
      </c>
      <c r="C18" s="72"/>
      <c r="D18" s="72"/>
      <c r="E18" s="72"/>
    </row>
    <row r="19" spans="1:5" ht="16.5" customHeight="1" x14ac:dyDescent="0.3">
      <c r="A19" s="75" t="s">
        <v>6</v>
      </c>
      <c r="B19" s="12" t="s">
        <v>7</v>
      </c>
      <c r="C19" s="72"/>
      <c r="D19" s="72"/>
      <c r="E19" s="72"/>
    </row>
    <row r="20" spans="1:5" ht="16.5" customHeight="1" x14ac:dyDescent="0.3">
      <c r="A20" s="8" t="s">
        <v>8</v>
      </c>
      <c r="B20" s="12">
        <v>33.26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B20/100</f>
        <v>0.33260000000000001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41438804</v>
      </c>
      <c r="C24" s="18">
        <v>10050.700000000001</v>
      </c>
      <c r="D24" s="19">
        <v>0.9</v>
      </c>
      <c r="E24" s="20">
        <v>3.7</v>
      </c>
    </row>
    <row r="25" spans="1:5" ht="16.5" customHeight="1" x14ac:dyDescent="0.3">
      <c r="A25" s="17">
        <v>2</v>
      </c>
      <c r="B25" s="18">
        <v>41689014</v>
      </c>
      <c r="C25" s="18">
        <v>10147.700000000001</v>
      </c>
      <c r="D25" s="19">
        <v>0.9</v>
      </c>
      <c r="E25" s="19">
        <v>3.8</v>
      </c>
    </row>
    <row r="26" spans="1:5" ht="16.5" customHeight="1" x14ac:dyDescent="0.3">
      <c r="A26" s="17">
        <v>3</v>
      </c>
      <c r="B26" s="18">
        <v>41884935</v>
      </c>
      <c r="C26" s="18">
        <v>10236.6</v>
      </c>
      <c r="D26" s="19">
        <v>0.9</v>
      </c>
      <c r="E26" s="19">
        <v>3.8</v>
      </c>
    </row>
    <row r="27" spans="1:5" ht="16.5" customHeight="1" x14ac:dyDescent="0.3">
      <c r="A27" s="17">
        <v>4</v>
      </c>
      <c r="B27" s="18">
        <v>41982752</v>
      </c>
      <c r="C27" s="18">
        <v>10286.700000000001</v>
      </c>
      <c r="D27" s="19">
        <v>0.9</v>
      </c>
      <c r="E27" s="19">
        <v>3.8</v>
      </c>
    </row>
    <row r="28" spans="1:5" ht="16.5" customHeight="1" x14ac:dyDescent="0.3">
      <c r="A28" s="17">
        <v>5</v>
      </c>
      <c r="B28" s="18">
        <v>42008024</v>
      </c>
      <c r="C28" s="18">
        <v>10348.299999999999</v>
      </c>
      <c r="D28" s="19">
        <v>0.9</v>
      </c>
      <c r="E28" s="19">
        <v>3.8</v>
      </c>
    </row>
    <row r="29" spans="1:5" ht="16.5" customHeight="1" x14ac:dyDescent="0.3">
      <c r="A29" s="17">
        <v>6</v>
      </c>
      <c r="B29" s="21">
        <v>42127875</v>
      </c>
      <c r="C29" s="21">
        <v>10419.700000000001</v>
      </c>
      <c r="D29" s="22">
        <v>0.9</v>
      </c>
      <c r="E29" s="22">
        <v>3.9</v>
      </c>
    </row>
    <row r="30" spans="1:5" ht="16.5" customHeight="1" x14ac:dyDescent="0.3">
      <c r="A30" s="23" t="s">
        <v>18</v>
      </c>
      <c r="B30" s="24">
        <f>AVERAGE(B24:B29)</f>
        <v>41855234</v>
      </c>
      <c r="C30" s="25">
        <f>AVERAGE(C24:C29)</f>
        <v>10248.283333333333</v>
      </c>
      <c r="D30" s="26">
        <v>0.9</v>
      </c>
      <c r="E30" s="26">
        <f>AVERAGE(E24:E29)</f>
        <v>3.8000000000000003</v>
      </c>
    </row>
    <row r="31" spans="1:5" ht="16.5" customHeight="1" x14ac:dyDescent="0.3">
      <c r="A31" s="27" t="s">
        <v>19</v>
      </c>
      <c r="B31" s="28">
        <f>(STDEV(B24:B29)/B30)</f>
        <v>6.0050307460057838E-3</v>
      </c>
      <c r="C31" s="29"/>
      <c r="D31" s="29"/>
      <c r="E31" s="30"/>
    </row>
    <row r="32" spans="1:5" s="772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772" customFormat="1" ht="15.75" customHeight="1" x14ac:dyDescent="0.25">
      <c r="A33" s="72"/>
      <c r="B33" s="72"/>
      <c r="C33" s="72"/>
      <c r="D33" s="72"/>
      <c r="E33" s="72"/>
    </row>
    <row r="34" spans="1:5" s="772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41438804</v>
      </c>
      <c r="C45" s="18">
        <v>10050.700000000001</v>
      </c>
      <c r="D45" s="19">
        <v>0.9</v>
      </c>
      <c r="E45" s="20">
        <v>3.7</v>
      </c>
    </row>
    <row r="46" spans="1:5" ht="16.5" customHeight="1" x14ac:dyDescent="0.3">
      <c r="A46" s="17">
        <v>2</v>
      </c>
      <c r="B46" s="18">
        <v>41689014</v>
      </c>
      <c r="C46" s="18">
        <v>10147.700000000001</v>
      </c>
      <c r="D46" s="19">
        <v>0.9</v>
      </c>
      <c r="E46" s="19">
        <v>3.8</v>
      </c>
    </row>
    <row r="47" spans="1:5" ht="16.5" customHeight="1" x14ac:dyDescent="0.3">
      <c r="A47" s="17">
        <v>3</v>
      </c>
      <c r="B47" s="18">
        <v>41884935</v>
      </c>
      <c r="C47" s="18">
        <v>10236.6</v>
      </c>
      <c r="D47" s="19">
        <v>0.9</v>
      </c>
      <c r="E47" s="19">
        <v>3.8</v>
      </c>
    </row>
    <row r="48" spans="1:5" ht="16.5" customHeight="1" x14ac:dyDescent="0.3">
      <c r="A48" s="17">
        <v>4</v>
      </c>
      <c r="B48" s="18">
        <v>41982752</v>
      </c>
      <c r="C48" s="18">
        <v>10286.700000000001</v>
      </c>
      <c r="D48" s="19">
        <v>0.9</v>
      </c>
      <c r="E48" s="19">
        <v>3.8</v>
      </c>
    </row>
    <row r="49" spans="1:7" ht="16.5" customHeight="1" x14ac:dyDescent="0.3">
      <c r="A49" s="17">
        <v>5</v>
      </c>
      <c r="B49" s="18">
        <v>42008024</v>
      </c>
      <c r="C49" s="18">
        <v>10348.299999999999</v>
      </c>
      <c r="D49" s="19">
        <v>0.9</v>
      </c>
      <c r="E49" s="19">
        <v>3.8</v>
      </c>
    </row>
    <row r="50" spans="1:7" ht="16.5" customHeight="1" x14ac:dyDescent="0.3">
      <c r="A50" s="17">
        <v>6</v>
      </c>
      <c r="B50" s="21">
        <v>42127875</v>
      </c>
      <c r="C50" s="21">
        <v>10419.700000000001</v>
      </c>
      <c r="D50" s="22">
        <v>0.9</v>
      </c>
      <c r="E50" s="22">
        <v>3.9</v>
      </c>
    </row>
    <row r="51" spans="1:7" ht="16.5" customHeight="1" x14ac:dyDescent="0.3">
      <c r="A51" s="23" t="s">
        <v>18</v>
      </c>
      <c r="B51" s="24">
        <f>AVERAGE(B45:B50)</f>
        <v>41855234</v>
      </c>
      <c r="C51" s="25">
        <f>AVERAGE(C45:C50)</f>
        <v>10248.283333333333</v>
      </c>
      <c r="D51" s="26">
        <f>AVERAGE(D45:D50)</f>
        <v>0.9</v>
      </c>
      <c r="E51" s="26">
        <f>AVERAGE(E45:E50)</f>
        <v>3.8000000000000003</v>
      </c>
    </row>
    <row r="52" spans="1:7" ht="16.5" customHeight="1" x14ac:dyDescent="0.3">
      <c r="A52" s="27" t="s">
        <v>19</v>
      </c>
      <c r="B52" s="28">
        <f>(STDEV(B45:B50)/B51)</f>
        <v>6.0050307460057838E-3</v>
      </c>
      <c r="C52" s="29"/>
      <c r="D52" s="29"/>
      <c r="E52" s="30"/>
    </row>
    <row r="53" spans="1:7" s="772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772" customFormat="1" ht="15.75" customHeight="1" x14ac:dyDescent="0.25">
      <c r="A54" s="72"/>
      <c r="B54" s="72"/>
      <c r="C54" s="72"/>
      <c r="D54" s="72"/>
      <c r="E54" s="72"/>
    </row>
    <row r="55" spans="1:7" s="772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696"/>
      <c r="D58" s="43"/>
      <c r="F58" s="44"/>
      <c r="G58" s="44"/>
    </row>
    <row r="59" spans="1:7" ht="15" customHeight="1" x14ac:dyDescent="0.3">
      <c r="B59" s="877" t="s">
        <v>26</v>
      </c>
      <c r="C59" s="877"/>
      <c r="E59" s="827" t="s">
        <v>27</v>
      </c>
      <c r="F59" s="46"/>
      <c r="G59" s="827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Uniformity</vt:lpstr>
      <vt:lpstr>Rifampicin</vt:lpstr>
      <vt:lpstr>SST I</vt:lpstr>
      <vt:lpstr>Isoniazid</vt:lpstr>
      <vt:lpstr>SST P</vt:lpstr>
      <vt:lpstr>Pyrazinamide</vt:lpstr>
      <vt:lpstr>Ethambutol hydrochloride</vt:lpstr>
      <vt:lpstr>SST R</vt:lpstr>
      <vt:lpstr>SST E</vt:lpstr>
      <vt:lpstr>'Ethambutol hydrochloride'!Print_Area</vt:lpstr>
      <vt:lpstr>Isoniazid!Print_Area</vt:lpstr>
      <vt:lpstr>Pyrazinamide!Print_Area</vt:lpstr>
      <vt:lpstr>Rifampicin!Print_Area</vt:lpstr>
      <vt:lpstr>'SST 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2016-06-20T10:08:22Z</cp:lastPrinted>
  <dcterms:created xsi:type="dcterms:W3CDTF">2005-07-05T10:19:27Z</dcterms:created>
  <dcterms:modified xsi:type="dcterms:W3CDTF">2016-06-20T10:45:35Z</dcterms:modified>
</cp:coreProperties>
</file>