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3"/>
  </bookViews>
  <sheets>
    <sheet name="SST E (2)" sheetId="17" r:id="rId1"/>
    <sheet name="Ethambutol hydrochloride (2)" sheetId="18" r:id="rId2"/>
    <sheet name="Uniformity (2)" sheetId="16" r:id="rId3"/>
    <sheet name="Rifampicin" sheetId="3" r:id="rId4"/>
    <sheet name="SST I" sheetId="1" r:id="rId5"/>
    <sheet name="Isoniazid" sheetId="4" r:id="rId6"/>
    <sheet name="SST P" sheetId="7" r:id="rId7"/>
    <sheet name="Pyrazinamide" sheetId="5" r:id="rId8"/>
    <sheet name="SST R" sheetId="8" r:id="rId9"/>
  </sheets>
  <definedNames>
    <definedName name="_xlnm.Print_Area" localSheetId="1">'Ethambutol hydrochloride (2)'!$A$1:$I$125</definedName>
    <definedName name="_xlnm.Print_Area" localSheetId="5">Isoniazid!$A$1:$I$125</definedName>
    <definedName name="_xlnm.Print_Area" localSheetId="7">Pyrazinamide!$A$1:$I$125</definedName>
    <definedName name="_xlnm.Print_Area" localSheetId="3">Rifampicin!$A$1:$I$125</definedName>
    <definedName name="_xlnm.Print_Area" localSheetId="6">'SST P'!$A$1:$F$61</definedName>
    <definedName name="_xlnm.Print_Area" localSheetId="8">'SST R'!$A$1:$F$61</definedName>
    <definedName name="_xlnm.Print_Area" localSheetId="2">'Uniformity (2)'!$A$1:$F$54</definedName>
  </definedNames>
  <calcPr calcId="144525"/>
</workbook>
</file>

<file path=xl/calcChain.xml><?xml version="1.0" encoding="utf-8"?>
<calcChain xmlns="http://schemas.openxmlformats.org/spreadsheetml/2006/main">
  <c r="B57" i="17" l="1"/>
  <c r="B57" i="18"/>
  <c r="C120" i="18" l="1"/>
  <c r="B116" i="18"/>
  <c r="D101" i="18"/>
  <c r="D102" i="18" s="1"/>
  <c r="D100" i="18"/>
  <c r="B98" i="18"/>
  <c r="F96" i="18"/>
  <c r="F97" i="18" s="1"/>
  <c r="F98" i="18" s="1"/>
  <c r="D96" i="18"/>
  <c r="F95" i="18"/>
  <c r="D95" i="18"/>
  <c r="G94" i="18"/>
  <c r="E94" i="18"/>
  <c r="B87" i="18"/>
  <c r="D97" i="18" s="1"/>
  <c r="D98" i="18" s="1"/>
  <c r="B83" i="18"/>
  <c r="B81" i="18"/>
  <c r="B80" i="18"/>
  <c r="B79" i="18"/>
  <c r="C76" i="18"/>
  <c r="H71" i="18"/>
  <c r="G71" i="18"/>
  <c r="B68" i="18"/>
  <c r="B69" i="18" s="1"/>
  <c r="H67" i="18"/>
  <c r="G67" i="18"/>
  <c r="H63" i="18"/>
  <c r="G63" i="18"/>
  <c r="G62" i="18"/>
  <c r="H62" i="18" s="1"/>
  <c r="G61" i="18"/>
  <c r="H61" i="18" s="1"/>
  <c r="G60" i="18"/>
  <c r="H60" i="18" s="1"/>
  <c r="C56" i="18"/>
  <c r="B55" i="18"/>
  <c r="D48" i="18"/>
  <c r="D45" i="18"/>
  <c r="D46" i="18" s="1"/>
  <c r="B45" i="18"/>
  <c r="D44" i="18"/>
  <c r="F42" i="18"/>
  <c r="D42" i="18"/>
  <c r="G41" i="18"/>
  <c r="E41" i="18"/>
  <c r="I39" i="18"/>
  <c r="E38" i="18"/>
  <c r="B34" i="18"/>
  <c r="F44" i="18" s="1"/>
  <c r="F45" i="18" s="1"/>
  <c r="F46" i="18" s="1"/>
  <c r="B30" i="18"/>
  <c r="B53" i="17"/>
  <c r="E51" i="17"/>
  <c r="D51" i="17"/>
  <c r="C51" i="17"/>
  <c r="B51" i="17"/>
  <c r="B52" i="17" s="1"/>
  <c r="B32" i="17"/>
  <c r="E30" i="17"/>
  <c r="D30" i="17"/>
  <c r="C30" i="17"/>
  <c r="B30" i="17"/>
  <c r="B31" i="17" s="1"/>
  <c r="B21" i="17"/>
  <c r="G92" i="18" l="1"/>
  <c r="G93" i="18"/>
  <c r="F99" i="18"/>
  <c r="G40" i="18"/>
  <c r="D99" i="18"/>
  <c r="E92" i="18"/>
  <c r="G38" i="18"/>
  <c r="G39" i="18"/>
  <c r="G91" i="18"/>
  <c r="E93" i="18"/>
  <c r="D52" i="18"/>
  <c r="E40" i="18"/>
  <c r="D49" i="18"/>
  <c r="E39" i="18"/>
  <c r="D50" i="18" s="1"/>
  <c r="E42" i="18"/>
  <c r="E91" i="18"/>
  <c r="I92" i="18"/>
  <c r="B42" i="7"/>
  <c r="B21" i="7"/>
  <c r="B21" i="8"/>
  <c r="B21" i="1"/>
  <c r="B57" i="3"/>
  <c r="C46" i="16"/>
  <c r="D50" i="16" s="1"/>
  <c r="C45" i="16"/>
  <c r="D41" i="16"/>
  <c r="D37" i="16"/>
  <c r="D33" i="16"/>
  <c r="D29" i="16"/>
  <c r="D25" i="16"/>
  <c r="C19" i="16"/>
  <c r="B42" i="1"/>
  <c r="G66" i="18" l="1"/>
  <c r="H66" i="18" s="1"/>
  <c r="G64" i="18"/>
  <c r="G68" i="18"/>
  <c r="H68" i="18" s="1"/>
  <c r="G65" i="18"/>
  <c r="H65" i="18" s="1"/>
  <c r="G69" i="18"/>
  <c r="H69" i="18" s="1"/>
  <c r="D51" i="18"/>
  <c r="G70" i="18"/>
  <c r="H70" i="18" s="1"/>
  <c r="G42" i="18"/>
  <c r="D105" i="18"/>
  <c r="E95" i="18"/>
  <c r="D103" i="18"/>
  <c r="G95" i="18"/>
  <c r="D27" i="16"/>
  <c r="D31" i="16"/>
  <c r="D35" i="16"/>
  <c r="D39" i="16"/>
  <c r="D43" i="16"/>
  <c r="C49" i="16"/>
  <c r="D24" i="16"/>
  <c r="D28" i="16"/>
  <c r="D32" i="16"/>
  <c r="D36" i="16"/>
  <c r="D40" i="16"/>
  <c r="D49" i="16"/>
  <c r="C50" i="16"/>
  <c r="D26" i="16"/>
  <c r="D30" i="16"/>
  <c r="D34" i="16"/>
  <c r="D38" i="16"/>
  <c r="D42" i="16"/>
  <c r="B49" i="16"/>
  <c r="E112" i="18" l="1"/>
  <c r="F112" i="18" s="1"/>
  <c r="E110" i="18"/>
  <c r="F110" i="18" s="1"/>
  <c r="E108" i="18"/>
  <c r="E113" i="18"/>
  <c r="F113" i="18" s="1"/>
  <c r="E111" i="18"/>
  <c r="F111" i="18" s="1"/>
  <c r="E109" i="18"/>
  <c r="F109" i="18" s="1"/>
  <c r="D104" i="18"/>
  <c r="H64" i="18"/>
  <c r="G74" i="18"/>
  <c r="G72" i="18"/>
  <c r="G73" i="18" s="1"/>
  <c r="E115" i="18" l="1"/>
  <c r="E116" i="18" s="1"/>
  <c r="E117" i="18"/>
  <c r="F108" i="18"/>
  <c r="H72" i="18"/>
  <c r="H74" i="18"/>
  <c r="B42" i="8"/>
  <c r="F117" i="18" l="1"/>
  <c r="F115" i="18"/>
  <c r="G76" i="18"/>
  <c r="H73" i="18"/>
  <c r="D68" i="4"/>
  <c r="D60" i="4"/>
  <c r="D64" i="4"/>
  <c r="G120" i="18" l="1"/>
  <c r="F116" i="18"/>
  <c r="B57" i="4"/>
  <c r="B57" i="5" s="1"/>
  <c r="B19" i="8"/>
  <c r="B19" i="7"/>
  <c r="B19" i="5"/>
  <c r="B19" i="4"/>
  <c r="D68" i="5"/>
  <c r="D64" i="5"/>
  <c r="D60" i="5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120" i="5" l="1"/>
  <c r="B116" i="5"/>
  <c r="D100" i="5"/>
  <c r="D101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D101" i="4"/>
  <c r="D102" i="4" s="1"/>
  <c r="I92" i="3"/>
  <c r="I92" i="4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D46" i="5"/>
  <c r="E38" i="5"/>
  <c r="G91" i="5"/>
  <c r="D44" i="3"/>
  <c r="D45" i="3" s="1"/>
  <c r="E39" i="3" s="1"/>
  <c r="D49" i="3"/>
  <c r="D98" i="5"/>
  <c r="D99" i="5" s="1"/>
  <c r="D102" i="5"/>
  <c r="G94" i="5"/>
  <c r="G92" i="5"/>
  <c r="B69" i="4"/>
  <c r="F44" i="4"/>
  <c r="F45" i="4" s="1"/>
  <c r="F46" i="4" s="1"/>
  <c r="D49" i="5"/>
  <c r="E40" i="5"/>
  <c r="E41" i="5"/>
  <c r="E39" i="5"/>
  <c r="B69" i="5"/>
  <c r="F44" i="5"/>
  <c r="F45" i="5" s="1"/>
  <c r="F46" i="5" s="1"/>
  <c r="E40" i="4" l="1"/>
  <c r="G93" i="4"/>
  <c r="G91" i="4"/>
  <c r="G93" i="5"/>
  <c r="G95" i="5" s="1"/>
  <c r="G92" i="4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G95" i="4" l="1"/>
  <c r="D105" i="3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95" i="5"/>
  <c r="D103" i="5"/>
  <c r="D105" i="5"/>
  <c r="E112" i="4" l="1"/>
  <c r="F112" i="4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<sst xmlns="http://schemas.openxmlformats.org/spreadsheetml/2006/main" count="854" uniqueCount="142">
  <si>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</si>
  <si>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</si>
  <si>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</si>
  <si>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</si>
  <si>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</si>
  <si>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</si>
  <si>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</si>
  <si>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</si>
  <si>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</si>
  <si>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</si>
  <si>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</si>
  <si>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</si>
  <si>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</si>
  <si>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</si>
  <si>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</si>
  <si>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</si>
  <si>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</si>
  <si>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</si>
  <si>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</si>
  <si>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</si>
  <si>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</si>
  <si>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</si>
  <si>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</si>
  <si>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</si>
  <si>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</si>
  <si>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</si>
  <si>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</si>
  <si>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</si>
  <si>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</si>
  <si>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</si>
  <si>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</si>
  <si>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</si>
  <si>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</si>
  <si>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</si>
  <si>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</si>
  <si>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</si>
  <si>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</si>
  <si>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</si>
  <si>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</si>
  <si>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</si>
  <si>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</si>
  <si>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</si>
  <si>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</si>
  <si>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</si>
  <si>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</si>
  <si>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</si>
  <si>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</si>
  <si>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</si>
  <si>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</si>
  <si>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</si>
  <si>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</si>
  <si>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</si>
  <si>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</si>
  <si>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</si>
  <si>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</si>
  <si>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</si>
  <si>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</si>
  <si>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</si>
  <si>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</si>
  <si>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</si>
  <si>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</si>
  <si>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</si>
  <si>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</si>
  <si>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</si>
  <si>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</si>
  <si>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</si>
  <si>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</si>
  <si>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</si>
  <si>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</si>
  <si>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</si>
  <si>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</si>
  <si>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</si>
  <si>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</si>
  <si>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</si>
  <si>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</si>
  <si>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</si>
  <si>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</si>
  <si>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</si>
  <si>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</si>
  <si>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</si>
  <si>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</si>
  <si>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</si>
  <si>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</si>
  <si>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</si>
  <si>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</si>
  <si>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</si>
  <si>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</si>
  <si>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</si>
  <si>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</si>
  <si>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</si>
  <si>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</si>
  <si>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</si>
  <si>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</si>
  <si>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</si>
  <si>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</si>
  <si>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</si>
  <si>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</si>
  <si>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</si>
  <si>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</si>
  <si>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</si>
  <si>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</si>
  <si>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</si>
  <si>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</si>
  <si>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</si>
  <si>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</si>
  <si>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</si>
  <si>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</si>
  <si>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</si>
  <si>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</si>
  <si>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</si>
  <si>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</si>
  <si>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</si>
  <si>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</si>
  <si>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</si>
  <si>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</si>
  <si>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</si>
  <si>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</si>
  <si>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</si>
  <si>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</si>
  <si>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</si>
  <si>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</si>
  <si>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</si>
  <si>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</si>
  <si>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</si>
  <si>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</si>
  <si>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</si>
  <si>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</si>
  <si>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</si>
  <si>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</si>
  <si>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</si>
  <si>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</si>
  <si>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</si>
  <si>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</si>
  <si>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Pyrazinamide</t>
  </si>
  <si>
    <t>Rifampicin</t>
  </si>
  <si>
    <t xml:space="preserve"> ISONIAZID</t>
  </si>
  <si>
    <t>ETHAMBUTOL HCl</t>
  </si>
  <si>
    <t>E12 3</t>
  </si>
  <si>
    <t>Ethambutol HCl</t>
  </si>
  <si>
    <t>NDQD2016061091</t>
  </si>
  <si>
    <t>2016-06-09 15:18:25</t>
  </si>
  <si>
    <t>ETHAMBUTOL HCl 275mg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</si>
</sst>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3" fillId="2" borderId="0"/>
    <xf numFmtId="0" fontId="25" fillId="2" borderId="0"/>
  </cellStyleXfs>
  <cellXfs count="9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26" fillId="2" borderId="0" xfId="3" applyFont="1" applyFill="1"/>
    <xf numFmtId="0" fontId="25" fillId="2" borderId="0" xfId="3" applyFill="1"/>
    <xf numFmtId="0" fontId="27" fillId="2" borderId="0" xfId="3" applyFont="1" applyFill="1" applyAlignment="1">
      <alignment wrapText="1"/>
    </xf>
    <xf numFmtId="0" fontId="28" fillId="2" borderId="0" xfId="3" applyFont="1" applyFill="1"/>
    <xf numFmtId="0" fontId="30" fillId="2" borderId="0" xfId="3" applyFont="1" applyFill="1"/>
    <xf numFmtId="167" fontId="30" fillId="2" borderId="0" xfId="3" applyNumberFormat="1" applyFont="1" applyFill="1" applyAlignment="1">
      <alignment horizontal="center"/>
    </xf>
    <xf numFmtId="0" fontId="29" fillId="2" borderId="0" xfId="3" applyFont="1" applyFill="1" applyAlignment="1">
      <alignment horizontal="right"/>
    </xf>
    <xf numFmtId="167" fontId="30" fillId="2" borderId="0" xfId="3" applyNumberFormat="1" applyFont="1" applyFill="1"/>
    <xf numFmtId="0" fontId="28" fillId="2" borderId="0" xfId="3" applyFont="1" applyFill="1" applyAlignment="1">
      <alignment horizontal="left"/>
    </xf>
    <xf numFmtId="0" fontId="31" fillId="2" borderId="0" xfId="3" applyFont="1" applyFill="1"/>
    <xf numFmtId="164" fontId="26" fillId="2" borderId="0" xfId="3" applyNumberFormat="1" applyFont="1" applyFill="1"/>
    <xf numFmtId="164" fontId="29" fillId="2" borderId="12" xfId="3" applyNumberFormat="1" applyFont="1" applyFill="1" applyBorder="1" applyAlignment="1">
      <alignment horizontal="center" wrapText="1"/>
    </xf>
    <xf numFmtId="0" fontId="29" fillId="2" borderId="12" xfId="3" applyFont="1" applyFill="1" applyBorder="1" applyAlignment="1">
      <alignment horizontal="center" wrapText="1"/>
    </xf>
    <xf numFmtId="0" fontId="32" fillId="2" borderId="0" xfId="3" applyFont="1" applyFill="1" applyAlignment="1">
      <alignment horizontal="center"/>
    </xf>
    <xf numFmtId="2" fontId="30" fillId="3" borderId="14" xfId="3" applyNumberFormat="1" applyFont="1" applyFill="1" applyBorder="1" applyProtection="1">
      <protection locked="0"/>
    </xf>
    <xf numFmtId="10" fontId="30" fillId="2" borderId="13" xfId="3" applyNumberFormat="1" applyFont="1" applyFill="1" applyBorder="1" applyAlignment="1">
      <alignment horizontal="center"/>
    </xf>
    <xf numFmtId="10" fontId="30" fillId="2" borderId="0" xfId="3" applyNumberFormat="1" applyFont="1" applyFill="1" applyAlignment="1">
      <alignment horizontal="center"/>
    </xf>
    <xf numFmtId="10" fontId="30" fillId="2" borderId="14" xfId="3" applyNumberFormat="1" applyFont="1" applyFill="1" applyBorder="1" applyAlignment="1">
      <alignment horizontal="center"/>
    </xf>
    <xf numFmtId="2" fontId="30" fillId="3" borderId="15" xfId="3" applyNumberFormat="1" applyFont="1" applyFill="1" applyBorder="1" applyProtection="1">
      <protection locked="0"/>
    </xf>
    <xf numFmtId="10" fontId="30" fillId="2" borderId="15" xfId="3" applyNumberFormat="1" applyFont="1" applyFill="1" applyBorder="1" applyAlignment="1">
      <alignment horizontal="center"/>
    </xf>
    <xf numFmtId="166" fontId="32" fillId="2" borderId="0" xfId="3" applyNumberFormat="1" applyFont="1" applyFill="1" applyAlignment="1">
      <alignment horizontal="center"/>
    </xf>
    <xf numFmtId="10" fontId="32" fillId="2" borderId="0" xfId="3" applyNumberFormat="1" applyFont="1" applyFill="1" applyAlignment="1">
      <alignment horizontal="center"/>
    </xf>
    <xf numFmtId="0" fontId="30" fillId="2" borderId="12" xfId="3" applyFont="1" applyFill="1" applyBorder="1" applyAlignment="1">
      <alignment horizontal="right" vertical="center"/>
    </xf>
    <xf numFmtId="166" fontId="30" fillId="2" borderId="12" xfId="3" applyNumberFormat="1" applyFont="1" applyFill="1" applyBorder="1" applyAlignment="1">
      <alignment horizontal="center" vertical="center"/>
    </xf>
    <xf numFmtId="166" fontId="30" fillId="2" borderId="0" xfId="3" applyNumberFormat="1" applyFont="1" applyFill="1" applyAlignment="1">
      <alignment horizontal="center"/>
    </xf>
    <xf numFmtId="164" fontId="29" fillId="2" borderId="12" xfId="3" applyNumberFormat="1" applyFont="1" applyFill="1" applyBorder="1" applyAlignment="1">
      <alignment horizontal="center" vertical="center"/>
    </xf>
    <xf numFmtId="2" fontId="33" fillId="2" borderId="0" xfId="3" applyNumberFormat="1" applyFont="1" applyFill="1" applyAlignment="1">
      <alignment horizontal="right"/>
    </xf>
    <xf numFmtId="2" fontId="29" fillId="2" borderId="0" xfId="3" applyNumberFormat="1" applyFont="1" applyFill="1"/>
    <xf numFmtId="2" fontId="33" fillId="2" borderId="0" xfId="3" applyNumberFormat="1" applyFont="1" applyFill="1"/>
    <xf numFmtId="0" fontId="29" fillId="2" borderId="12" xfId="3" applyFont="1" applyFill="1" applyBorder="1" applyAlignment="1">
      <alignment horizontal="center" vertical="center"/>
    </xf>
    <xf numFmtId="10" fontId="32" fillId="2" borderId="0" xfId="3" applyNumberFormat="1" applyFont="1" applyFill="1"/>
    <xf numFmtId="165" fontId="29" fillId="2" borderId="16" xfId="3" applyNumberFormat="1" applyFont="1" applyFill="1" applyBorder="1" applyAlignment="1">
      <alignment horizontal="center"/>
    </xf>
    <xf numFmtId="2" fontId="29" fillId="2" borderId="12" xfId="3" applyNumberFormat="1" applyFont="1" applyFill="1" applyBorder="1" applyAlignment="1">
      <alignment horizontal="center" vertical="center"/>
    </xf>
    <xf numFmtId="165" fontId="29" fillId="2" borderId="17" xfId="3" applyNumberFormat="1" applyFont="1" applyFill="1" applyBorder="1" applyAlignment="1">
      <alignment horizontal="center"/>
    </xf>
    <xf numFmtId="0" fontId="30" fillId="2" borderId="9" xfId="3" applyFont="1" applyFill="1" applyBorder="1"/>
    <xf numFmtId="0" fontId="30" fillId="2" borderId="0" xfId="3" applyFont="1" applyFill="1" applyAlignment="1">
      <alignment horizontal="center"/>
    </xf>
    <xf numFmtId="10" fontId="30" fillId="2" borderId="9" xfId="3" applyNumberFormat="1" applyFont="1" applyFill="1" applyBorder="1"/>
    <xf numFmtId="0" fontId="29" fillId="2" borderId="10" xfId="3" applyFont="1" applyFill="1" applyBorder="1"/>
    <xf numFmtId="0" fontId="29" fillId="2" borderId="10" xfId="3" applyFont="1" applyFill="1" applyBorder="1" applyAlignment="1">
      <alignment horizontal="center"/>
    </xf>
    <xf numFmtId="0" fontId="30" fillId="2" borderId="10" xfId="3" applyFont="1" applyFill="1" applyBorder="1" applyAlignment="1">
      <alignment horizontal="center"/>
    </xf>
    <xf numFmtId="0" fontId="30" fillId="2" borderId="7" xfId="3" applyFont="1" applyFill="1" applyBorder="1"/>
    <xf numFmtId="0" fontId="29" fillId="2" borderId="11" xfId="3" applyFont="1" applyFill="1" applyBorder="1"/>
    <xf numFmtId="0" fontId="29" fillId="2" borderId="0" xfId="3" applyFont="1" applyFill="1"/>
    <xf numFmtId="0" fontId="30" fillId="2" borderId="11" xfId="3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0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/>
    </xf>
    <xf numFmtId="166" fontId="29" fillId="2" borderId="13" xfId="3" applyNumberFormat="1" applyFont="1" applyFill="1" applyBorder="1" applyAlignment="1">
      <alignment horizontal="center" vertical="center"/>
    </xf>
    <xf numFmtId="166" fontId="29" fillId="2" borderId="15" xfId="3" applyNumberFormat="1" applyFont="1" applyFill="1" applyBorder="1" applyAlignment="1">
      <alignment horizontal="center" vertical="center"/>
    </xf>
    <xf numFmtId="0" fontId="27" fillId="2" borderId="18" xfId="3" applyFont="1" applyFill="1" applyBorder="1" applyAlignment="1">
      <alignment horizontal="center" wrapText="1"/>
    </xf>
    <xf numFmtId="0" fontId="27" fillId="2" borderId="19" xfId="3" applyFont="1" applyFill="1" applyBorder="1" applyAlignment="1">
      <alignment horizontal="center" wrapText="1"/>
    </xf>
    <xf numFmtId="0" fontId="27" fillId="2" borderId="20" xfId="3" applyFont="1" applyFill="1" applyBorder="1" applyAlignment="1">
      <alignment horizontal="center" wrapText="1"/>
    </xf>
    <xf numFmtId="0" fontId="28" fillId="2" borderId="0" xfId="3" applyFont="1" applyFill="1" applyAlignment="1">
      <alignment horizontal="center"/>
    </xf>
    <xf numFmtId="0" fontId="29" fillId="2" borderId="0" xfId="3" applyFont="1" applyFill="1" applyAlignment="1">
      <alignment horizontal="right"/>
    </xf>
    <xf numFmtId="164" fontId="26" fillId="2" borderId="0" xfId="3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113"/>
  <sheetViews>
    <sheetView view="pageBreakPreview" topLeftCell="A37" zoomScale="60" zoomScaleNormal="100" workbookViewId="0">
      <selection activeCell="F49" sqref="F49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854" t="s">
        <v>0</v>
      </c>
      <c r="B15" s="854"/>
      <c r="C15" s="854"/>
      <c r="D15" s="854"/>
      <c r="E15" s="854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D17" s="655"/>
      <c r="E17" s="656"/>
    </row>
    <row r="18" spans="1:5" ht="16.5" customHeight="1" x14ac:dyDescent="0.3">
      <c r="A18" s="657" t="s">
        <v>4</v>
      </c>
      <c r="B18" s="657" t="s">
        <v>138</v>
      </c>
      <c r="C18" s="656"/>
      <c r="D18" s="656"/>
      <c r="E18" s="656"/>
    </row>
    <row r="19" spans="1:5" ht="16.5" customHeight="1" x14ac:dyDescent="0.3">
      <c r="A19" s="657" t="s">
        <v>6</v>
      </c>
      <c r="B19" s="658" t="s">
        <v>139</v>
      </c>
      <c r="C19" s="656"/>
      <c r="D19" s="656"/>
      <c r="E19" s="656"/>
    </row>
    <row r="20" spans="1:5" ht="16.5" customHeight="1" x14ac:dyDescent="0.3">
      <c r="A20" s="654" t="s">
        <v>7</v>
      </c>
      <c r="B20" s="658">
        <v>33.26</v>
      </c>
      <c r="C20" s="656"/>
      <c r="D20" s="656"/>
      <c r="E20" s="656"/>
    </row>
    <row r="21" spans="1:5" ht="16.5" customHeight="1" x14ac:dyDescent="0.3">
      <c r="A21" s="654" t="s">
        <v>9</v>
      </c>
      <c r="B21" s="659">
        <f>B20/100</f>
        <v>0.33260000000000001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12</v>
      </c>
      <c r="B23" s="661" t="s">
        <v>13</v>
      </c>
      <c r="C23" s="660" t="s">
        <v>14</v>
      </c>
      <c r="D23" s="660" t="s">
        <v>15</v>
      </c>
      <c r="E23" s="660" t="s">
        <v>16</v>
      </c>
    </row>
    <row r="24" spans="1:5" ht="16.5" customHeight="1" x14ac:dyDescent="0.3">
      <c r="A24" s="662">
        <v>1</v>
      </c>
      <c r="B24" s="663">
        <v>3256014</v>
      </c>
      <c r="C24" s="663">
        <v>12800.8</v>
      </c>
      <c r="D24" s="664">
        <v>1.2</v>
      </c>
      <c r="E24" s="665">
        <v>4.5</v>
      </c>
    </row>
    <row r="25" spans="1:5" ht="16.5" customHeight="1" x14ac:dyDescent="0.3">
      <c r="A25" s="662">
        <v>2</v>
      </c>
      <c r="B25" s="663">
        <v>3247663</v>
      </c>
      <c r="C25" s="663">
        <v>12827.5</v>
      </c>
      <c r="D25" s="664">
        <v>1.2</v>
      </c>
      <c r="E25" s="664">
        <v>4.5</v>
      </c>
    </row>
    <row r="26" spans="1:5" ht="16.5" customHeight="1" x14ac:dyDescent="0.3">
      <c r="A26" s="662">
        <v>3</v>
      </c>
      <c r="B26" s="663">
        <v>3250365</v>
      </c>
      <c r="C26" s="663">
        <v>12805.7</v>
      </c>
      <c r="D26" s="664">
        <v>1.1000000000000001</v>
      </c>
      <c r="E26" s="664">
        <v>4.5</v>
      </c>
    </row>
    <row r="27" spans="1:5" ht="16.5" customHeight="1" x14ac:dyDescent="0.3">
      <c r="A27" s="662">
        <v>4</v>
      </c>
      <c r="B27" s="663">
        <v>3246653</v>
      </c>
      <c r="C27" s="663">
        <v>12778.3</v>
      </c>
      <c r="D27" s="664">
        <v>1.1000000000000001</v>
      </c>
      <c r="E27" s="664">
        <v>4.5</v>
      </c>
    </row>
    <row r="28" spans="1:5" ht="16.5" customHeight="1" x14ac:dyDescent="0.3">
      <c r="A28" s="662">
        <v>5</v>
      </c>
      <c r="B28" s="663">
        <v>3243670</v>
      </c>
      <c r="C28" s="663">
        <v>12721.5</v>
      </c>
      <c r="D28" s="664">
        <v>1.2</v>
      </c>
      <c r="E28" s="664">
        <v>4.5</v>
      </c>
    </row>
    <row r="29" spans="1:5" ht="16.5" customHeight="1" x14ac:dyDescent="0.3">
      <c r="A29" s="662">
        <v>6</v>
      </c>
      <c r="B29" s="666">
        <v>3239308</v>
      </c>
      <c r="C29" s="666">
        <v>12774.1</v>
      </c>
      <c r="D29" s="667">
        <v>1.1000000000000001</v>
      </c>
      <c r="E29" s="667">
        <v>4.3</v>
      </c>
    </row>
    <row r="30" spans="1:5" ht="16.5" customHeight="1" x14ac:dyDescent="0.3">
      <c r="A30" s="668" t="s">
        <v>17</v>
      </c>
      <c r="B30" s="669">
        <f>AVERAGE(B24:B29)</f>
        <v>3247278.8333333335</v>
      </c>
      <c r="C30" s="670">
        <f>AVERAGE(C24:C29)</f>
        <v>12784.650000000001</v>
      </c>
      <c r="D30" s="671">
        <f>AVERAGE(D24:D29)</f>
        <v>1.1500000000000001</v>
      </c>
      <c r="E30" s="671">
        <f>AVERAGE(E24:E29)</f>
        <v>4.4666666666666668</v>
      </c>
    </row>
    <row r="31" spans="1:5" ht="16.5" customHeight="1" x14ac:dyDescent="0.3">
      <c r="A31" s="672" t="s">
        <v>18</v>
      </c>
      <c r="B31" s="673">
        <f>(STDEV(B24:B29)/B30)</f>
        <v>1.7578784721686985E-3</v>
      </c>
      <c r="C31" s="674"/>
      <c r="D31" s="674"/>
      <c r="E31" s="675"/>
    </row>
    <row r="32" spans="1:5" s="650" customFormat="1" ht="16.5" customHeight="1" x14ac:dyDescent="0.3">
      <c r="A32" s="676" t="s">
        <v>19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20</v>
      </c>
      <c r="B34" s="681" t="s">
        <v>21</v>
      </c>
      <c r="C34" s="682"/>
      <c r="D34" s="682"/>
      <c r="E34" s="682"/>
    </row>
    <row r="35" spans="1:5" ht="16.5" customHeight="1" x14ac:dyDescent="0.3">
      <c r="A35" s="657"/>
      <c r="B35" s="681" t="s">
        <v>22</v>
      </c>
      <c r="C35" s="682"/>
      <c r="D35" s="682"/>
      <c r="E35" s="682"/>
    </row>
    <row r="36" spans="1:5" ht="16.5" customHeight="1" x14ac:dyDescent="0.3">
      <c r="A36" s="657"/>
      <c r="B36" s="681" t="s">
        <v>23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2" t="s">
        <v>1</v>
      </c>
      <c r="B38" s="653" t="s">
        <v>24</v>
      </c>
    </row>
    <row r="39" spans="1:5" ht="16.5" customHeight="1" x14ac:dyDescent="0.3">
      <c r="A39" s="657" t="s">
        <v>4</v>
      </c>
      <c r="B39" s="654"/>
      <c r="C39" s="656"/>
      <c r="D39" s="656"/>
      <c r="E39" s="656"/>
    </row>
    <row r="40" spans="1:5" ht="16.5" customHeight="1" x14ac:dyDescent="0.3">
      <c r="A40" s="657" t="s">
        <v>6</v>
      </c>
      <c r="B40" s="658"/>
      <c r="C40" s="656"/>
      <c r="D40" s="656"/>
      <c r="E40" s="656"/>
    </row>
    <row r="41" spans="1:5" ht="16.5" customHeight="1" x14ac:dyDescent="0.3">
      <c r="A41" s="654" t="s">
        <v>7</v>
      </c>
      <c r="B41" s="658"/>
      <c r="C41" s="656"/>
      <c r="D41" s="656"/>
      <c r="E41" s="656"/>
    </row>
    <row r="42" spans="1:5" ht="16.5" customHeight="1" x14ac:dyDescent="0.3">
      <c r="A42" s="654" t="s">
        <v>9</v>
      </c>
      <c r="B42" s="659"/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12</v>
      </c>
      <c r="B44" s="661" t="s">
        <v>13</v>
      </c>
      <c r="C44" s="660" t="s">
        <v>14</v>
      </c>
      <c r="D44" s="660" t="s">
        <v>15</v>
      </c>
      <c r="E44" s="660" t="s">
        <v>16</v>
      </c>
    </row>
    <row r="45" spans="1:5" ht="16.5" customHeight="1" x14ac:dyDescent="0.3">
      <c r="A45" s="662">
        <v>1</v>
      </c>
      <c r="B45" s="663">
        <v>3256014</v>
      </c>
      <c r="C45" s="663">
        <v>12800.8</v>
      </c>
      <c r="D45" s="664">
        <v>1.2</v>
      </c>
      <c r="E45" s="665">
        <v>4.5</v>
      </c>
    </row>
    <row r="46" spans="1:5" ht="16.5" customHeight="1" x14ac:dyDescent="0.3">
      <c r="A46" s="662">
        <v>2</v>
      </c>
      <c r="B46" s="663">
        <v>3247663</v>
      </c>
      <c r="C46" s="663">
        <v>12827.5</v>
      </c>
      <c r="D46" s="664">
        <v>1.2</v>
      </c>
      <c r="E46" s="664">
        <v>4.5</v>
      </c>
    </row>
    <row r="47" spans="1:5" ht="16.5" customHeight="1" x14ac:dyDescent="0.3">
      <c r="A47" s="662">
        <v>3</v>
      </c>
      <c r="B47" s="663">
        <v>3250365</v>
      </c>
      <c r="C47" s="663">
        <v>12805.7</v>
      </c>
      <c r="D47" s="664">
        <v>1.1000000000000001</v>
      </c>
      <c r="E47" s="664">
        <v>4.5</v>
      </c>
    </row>
    <row r="48" spans="1:5" ht="16.5" customHeight="1" x14ac:dyDescent="0.3">
      <c r="A48" s="662">
        <v>4</v>
      </c>
      <c r="B48" s="663">
        <v>3246653</v>
      </c>
      <c r="C48" s="663">
        <v>12778.3</v>
      </c>
      <c r="D48" s="664">
        <v>1.1000000000000001</v>
      </c>
      <c r="E48" s="664">
        <v>4.5</v>
      </c>
    </row>
    <row r="49" spans="1:7" ht="16.5" customHeight="1" x14ac:dyDescent="0.3">
      <c r="A49" s="662">
        <v>5</v>
      </c>
      <c r="B49" s="663">
        <v>3243670</v>
      </c>
      <c r="C49" s="663">
        <v>12721.5</v>
      </c>
      <c r="D49" s="664">
        <v>1.2</v>
      </c>
      <c r="E49" s="664">
        <v>4.5</v>
      </c>
    </row>
    <row r="50" spans="1:7" ht="16.5" customHeight="1" x14ac:dyDescent="0.3">
      <c r="A50" s="662">
        <v>6</v>
      </c>
      <c r="B50" s="666">
        <v>3239308</v>
      </c>
      <c r="C50" s="666">
        <v>12774.1</v>
      </c>
      <c r="D50" s="667">
        <v>1.1000000000000001</v>
      </c>
      <c r="E50" s="667">
        <v>4.3</v>
      </c>
    </row>
    <row r="51" spans="1:7" ht="16.5" customHeight="1" x14ac:dyDescent="0.3">
      <c r="A51" s="668" t="s">
        <v>17</v>
      </c>
      <c r="B51" s="669">
        <f>AVERAGE(B45:B50)</f>
        <v>3247278.8333333335</v>
      </c>
      <c r="C51" s="670">
        <f>AVERAGE(C45:C50)</f>
        <v>12784.650000000001</v>
      </c>
      <c r="D51" s="671">
        <f>AVERAGE(D45:D50)</f>
        <v>1.1500000000000001</v>
      </c>
      <c r="E51" s="671">
        <f>AVERAGE(E45:E50)</f>
        <v>4.4666666666666668</v>
      </c>
    </row>
    <row r="52" spans="1:7" ht="16.5" customHeight="1" x14ac:dyDescent="0.3">
      <c r="A52" s="672" t="s">
        <v>18</v>
      </c>
      <c r="B52" s="673">
        <f>(STDEV(B45:B50)/B51)</f>
        <v>1.7578784721686985E-3</v>
      </c>
      <c r="C52" s="674"/>
      <c r="D52" s="674"/>
      <c r="E52" s="675"/>
    </row>
    <row r="53" spans="1:7" s="650" customFormat="1" ht="16.5" customHeight="1" x14ac:dyDescent="0.3">
      <c r="A53" s="676" t="s">
        <v>19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20</v>
      </c>
      <c r="B55" s="681" t="s">
        <v>21</v>
      </c>
      <c r="C55" s="682"/>
      <c r="D55" s="682"/>
      <c r="E55" s="682"/>
    </row>
    <row r="56" spans="1:7" ht="16.5" customHeight="1" x14ac:dyDescent="0.3">
      <c r="A56" s="657"/>
      <c r="B56" s="681" t="s">
        <v>22</v>
      </c>
      <c r="C56" s="682"/>
      <c r="D56" s="682"/>
      <c r="E56" s="682"/>
    </row>
    <row r="57" spans="1:7" ht="16.5" customHeight="1" x14ac:dyDescent="0.3">
      <c r="A57" s="657"/>
      <c r="B57" s="681">
        <f>'Uniformity (2)'!C46</f>
        <v>1256.998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855" t="s">
        <v>25</v>
      </c>
      <c r="C59" s="855"/>
      <c r="E59" s="687" t="s">
        <v>26</v>
      </c>
      <c r="F59" s="688"/>
      <c r="G59" s="687" t="s">
        <v>27</v>
      </c>
    </row>
    <row r="60" spans="1:7" ht="15" customHeight="1" x14ac:dyDescent="0.3">
      <c r="A60" s="689" t="s">
        <v>28</v>
      </c>
      <c r="B60" s="690"/>
      <c r="C60" s="690"/>
      <c r="E60" s="690"/>
      <c r="G60" s="690"/>
    </row>
    <row r="61" spans="1:7" ht="15" customHeight="1" x14ac:dyDescent="0.3">
      <c r="A61" s="689" t="s">
        <v>29</v>
      </c>
      <c r="B61" s="691"/>
      <c r="C61" s="691"/>
      <c r="E61" s="691"/>
      <c r="G61" s="692"/>
    </row>
    <row r="108" spans="4:4" x14ac:dyDescent="0.25">
      <c r="D108" s="650">
        <v>2764803</v>
      </c>
    </row>
    <row r="109" spans="4:4" x14ac:dyDescent="0.25">
      <c r="D109" s="650">
        <v>2764744</v>
      </c>
    </row>
    <row r="110" spans="4:4" x14ac:dyDescent="0.25">
      <c r="D110" s="650">
        <v>2762968</v>
      </c>
    </row>
    <row r="111" spans="4:4" x14ac:dyDescent="0.25">
      <c r="D111" s="650">
        <v>2758864</v>
      </c>
    </row>
    <row r="112" spans="4:4" x14ac:dyDescent="0.25">
      <c r="D112" s="650">
        <v>2750105</v>
      </c>
    </row>
    <row r="113" spans="4:4" x14ac:dyDescent="0.25">
      <c r="D113" s="650">
        <v>2748150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2" zoomScale="50" zoomScaleNormal="40" zoomScalePageLayoutView="50" workbookViewId="0">
      <selection activeCell="D122" sqref="D122"/>
    </sheetView>
  </sheetViews>
  <sheetFormatPr defaultColWidth="9.140625" defaultRowHeight="13.5" x14ac:dyDescent="0.25"/>
  <cols>
    <col min="1" max="1" width="55.42578125" style="650" customWidth="1"/>
    <col min="2" max="2" width="33.7109375" style="650" customWidth="1"/>
    <col min="3" max="3" width="42.28515625" style="650" customWidth="1"/>
    <col min="4" max="4" width="30.5703125" style="650" customWidth="1"/>
    <col min="5" max="5" width="39.85546875" style="650" customWidth="1"/>
    <col min="6" max="6" width="30.7109375" style="650" customWidth="1"/>
    <col min="7" max="7" width="39.85546875" style="650" customWidth="1"/>
    <col min="8" max="8" width="30" style="650" customWidth="1"/>
    <col min="9" max="9" width="30.28515625" style="650" hidden="1" customWidth="1"/>
    <col min="10" max="10" width="30.42578125" style="650" customWidth="1"/>
    <col min="11" max="11" width="21.28515625" style="650" customWidth="1"/>
    <col min="12" max="12" width="9.140625" style="650"/>
    <col min="13" max="16384" width="9.140625" style="686"/>
  </cols>
  <sheetData>
    <row r="1" spans="1:9" ht="18.75" customHeight="1" x14ac:dyDescent="0.25">
      <c r="A1" s="859" t="s">
        <v>44</v>
      </c>
      <c r="B1" s="859"/>
      <c r="C1" s="859"/>
      <c r="D1" s="859"/>
      <c r="E1" s="859"/>
      <c r="F1" s="859"/>
      <c r="G1" s="859"/>
      <c r="H1" s="859"/>
      <c r="I1" s="859"/>
    </row>
    <row r="2" spans="1:9" ht="18.75" customHeight="1" x14ac:dyDescent="0.25">
      <c r="A2" s="859"/>
      <c r="B2" s="859"/>
      <c r="C2" s="859"/>
      <c r="D2" s="859"/>
      <c r="E2" s="859"/>
      <c r="F2" s="859"/>
      <c r="G2" s="859"/>
      <c r="H2" s="859"/>
      <c r="I2" s="859"/>
    </row>
    <row r="3" spans="1:9" ht="18.75" customHeight="1" x14ac:dyDescent="0.25">
      <c r="A3" s="859"/>
      <c r="B3" s="859"/>
      <c r="C3" s="859"/>
      <c r="D3" s="859"/>
      <c r="E3" s="859"/>
      <c r="F3" s="859"/>
      <c r="G3" s="859"/>
      <c r="H3" s="859"/>
      <c r="I3" s="859"/>
    </row>
    <row r="4" spans="1:9" ht="18.75" customHeight="1" x14ac:dyDescent="0.25">
      <c r="A4" s="859"/>
      <c r="B4" s="859"/>
      <c r="C4" s="859"/>
      <c r="D4" s="859"/>
      <c r="E4" s="859"/>
      <c r="F4" s="859"/>
      <c r="G4" s="859"/>
      <c r="H4" s="859"/>
      <c r="I4" s="859"/>
    </row>
    <row r="5" spans="1:9" ht="18.75" customHeight="1" x14ac:dyDescent="0.25">
      <c r="A5" s="859"/>
      <c r="B5" s="859"/>
      <c r="C5" s="859"/>
      <c r="D5" s="859"/>
      <c r="E5" s="859"/>
      <c r="F5" s="859"/>
      <c r="G5" s="859"/>
      <c r="H5" s="859"/>
      <c r="I5" s="859"/>
    </row>
    <row r="6" spans="1:9" ht="18.75" customHeight="1" x14ac:dyDescent="0.25">
      <c r="A6" s="859"/>
      <c r="B6" s="859"/>
      <c r="C6" s="859"/>
      <c r="D6" s="859"/>
      <c r="E6" s="859"/>
      <c r="F6" s="859"/>
      <c r="G6" s="859"/>
      <c r="H6" s="859"/>
      <c r="I6" s="859"/>
    </row>
    <row r="7" spans="1:9" ht="18.75" customHeight="1" x14ac:dyDescent="0.25">
      <c r="A7" s="859"/>
      <c r="B7" s="859"/>
      <c r="C7" s="859"/>
      <c r="D7" s="859"/>
      <c r="E7" s="859"/>
      <c r="F7" s="859"/>
      <c r="G7" s="859"/>
      <c r="H7" s="859"/>
      <c r="I7" s="859"/>
    </row>
    <row r="8" spans="1:9" x14ac:dyDescent="0.25">
      <c r="A8" s="860" t="s">
        <v>45</v>
      </c>
      <c r="B8" s="860"/>
      <c r="C8" s="860"/>
      <c r="D8" s="860"/>
      <c r="E8" s="860"/>
      <c r="F8" s="860"/>
      <c r="G8" s="860"/>
      <c r="H8" s="860"/>
      <c r="I8" s="860"/>
    </row>
    <row r="9" spans="1:9" x14ac:dyDescent="0.25">
      <c r="A9" s="860"/>
      <c r="B9" s="860"/>
      <c r="C9" s="860"/>
      <c r="D9" s="860"/>
      <c r="E9" s="860"/>
      <c r="F9" s="860"/>
      <c r="G9" s="860"/>
      <c r="H9" s="860"/>
      <c r="I9" s="860"/>
    </row>
    <row r="10" spans="1:9" x14ac:dyDescent="0.25">
      <c r="A10" s="860"/>
      <c r="B10" s="860"/>
      <c r="C10" s="860"/>
      <c r="D10" s="860"/>
      <c r="E10" s="860"/>
      <c r="F10" s="860"/>
      <c r="G10" s="860"/>
      <c r="H10" s="860"/>
      <c r="I10" s="860"/>
    </row>
    <row r="11" spans="1:9" x14ac:dyDescent="0.25">
      <c r="A11" s="860"/>
      <c r="B11" s="860"/>
      <c r="C11" s="860"/>
      <c r="D11" s="860"/>
      <c r="E11" s="860"/>
      <c r="F11" s="860"/>
      <c r="G11" s="860"/>
      <c r="H11" s="860"/>
      <c r="I11" s="860"/>
    </row>
    <row r="12" spans="1:9" x14ac:dyDescent="0.25">
      <c r="A12" s="860"/>
      <c r="B12" s="860"/>
      <c r="C12" s="860"/>
      <c r="D12" s="860"/>
      <c r="E12" s="860"/>
      <c r="F12" s="860"/>
      <c r="G12" s="860"/>
      <c r="H12" s="860"/>
      <c r="I12" s="860"/>
    </row>
    <row r="13" spans="1:9" x14ac:dyDescent="0.25">
      <c r="A13" s="860"/>
      <c r="B13" s="860"/>
      <c r="C13" s="860"/>
      <c r="D13" s="860"/>
      <c r="E13" s="860"/>
      <c r="F13" s="860"/>
      <c r="G13" s="860"/>
      <c r="H13" s="860"/>
      <c r="I13" s="860"/>
    </row>
    <row r="14" spans="1:9" x14ac:dyDescent="0.25">
      <c r="A14" s="860"/>
      <c r="B14" s="860"/>
      <c r="C14" s="860"/>
      <c r="D14" s="860"/>
      <c r="E14" s="860"/>
      <c r="F14" s="860"/>
      <c r="G14" s="860"/>
      <c r="H14" s="860"/>
      <c r="I14" s="860"/>
    </row>
    <row r="15" spans="1:9" ht="19.5" customHeight="1" thickBot="1" x14ac:dyDescent="0.35">
      <c r="A15" s="693"/>
    </row>
    <row r="16" spans="1:9" ht="19.5" customHeight="1" thickBot="1" x14ac:dyDescent="0.35">
      <c r="A16" s="861" t="s">
        <v>30</v>
      </c>
      <c r="B16" s="862"/>
      <c r="C16" s="862"/>
      <c r="D16" s="862"/>
      <c r="E16" s="862"/>
      <c r="F16" s="862"/>
      <c r="G16" s="862"/>
      <c r="H16" s="863"/>
    </row>
    <row r="17" spans="1:14" ht="20.25" customHeight="1" x14ac:dyDescent="0.25">
      <c r="A17" s="864" t="s">
        <v>46</v>
      </c>
      <c r="B17" s="864"/>
      <c r="C17" s="864"/>
      <c r="D17" s="864"/>
      <c r="E17" s="864"/>
      <c r="F17" s="864"/>
      <c r="G17" s="864"/>
      <c r="H17" s="864"/>
    </row>
    <row r="18" spans="1:14" ht="26.25" customHeight="1" x14ac:dyDescent="0.4">
      <c r="A18" s="694" t="s">
        <v>32</v>
      </c>
      <c r="B18" s="865" t="s">
        <v>5</v>
      </c>
      <c r="C18" s="865"/>
      <c r="D18" s="695"/>
      <c r="E18" s="696"/>
      <c r="F18" s="697"/>
      <c r="G18" s="697"/>
      <c r="H18" s="697"/>
    </row>
    <row r="19" spans="1:14" ht="26.25" customHeight="1" x14ac:dyDescent="0.4">
      <c r="A19" s="694" t="s">
        <v>33</v>
      </c>
      <c r="B19" s="698" t="s">
        <v>139</v>
      </c>
      <c r="C19" s="697">
        <v>29</v>
      </c>
      <c r="D19" s="697"/>
      <c r="E19" s="697"/>
      <c r="F19" s="697"/>
      <c r="G19" s="697"/>
      <c r="H19" s="697"/>
    </row>
    <row r="20" spans="1:14" ht="26.25" customHeight="1" x14ac:dyDescent="0.4">
      <c r="A20" s="694" t="s">
        <v>34</v>
      </c>
      <c r="B20" s="866" t="s">
        <v>136</v>
      </c>
      <c r="C20" s="866"/>
      <c r="D20" s="697"/>
      <c r="E20" s="697"/>
      <c r="F20" s="697"/>
      <c r="G20" s="697"/>
      <c r="H20" s="697"/>
    </row>
    <row r="21" spans="1:14" ht="26.25" customHeight="1" x14ac:dyDescent="0.4">
      <c r="A21" s="694" t="s">
        <v>35</v>
      </c>
      <c r="B21" s="866" t="s">
        <v>141</v>
      </c>
      <c r="C21" s="866"/>
      <c r="D21" s="866"/>
      <c r="E21" s="866"/>
      <c r="F21" s="866"/>
      <c r="G21" s="866"/>
      <c r="H21" s="866"/>
      <c r="I21" s="699"/>
    </row>
    <row r="22" spans="1:14" ht="26.25" customHeight="1" x14ac:dyDescent="0.4">
      <c r="A22" s="694" t="s">
        <v>36</v>
      </c>
      <c r="B22" s="700" t="s">
        <v>11</v>
      </c>
      <c r="C22" s="697"/>
      <c r="D22" s="697"/>
      <c r="E22" s="697"/>
      <c r="F22" s="697"/>
      <c r="G22" s="697"/>
      <c r="H22" s="697"/>
    </row>
    <row r="23" spans="1:14" ht="26.25" customHeight="1" x14ac:dyDescent="0.4">
      <c r="A23" s="694" t="s">
        <v>37</v>
      </c>
      <c r="B23" s="700"/>
      <c r="C23" s="697"/>
      <c r="D23" s="697"/>
      <c r="E23" s="697"/>
      <c r="F23" s="697"/>
      <c r="G23" s="697"/>
      <c r="H23" s="697"/>
    </row>
    <row r="24" spans="1:14" ht="18.75" x14ac:dyDescent="0.3">
      <c r="A24" s="694"/>
      <c r="B24" s="701"/>
    </row>
    <row r="25" spans="1:14" ht="18.75" x14ac:dyDescent="0.3">
      <c r="A25" s="702" t="s">
        <v>1</v>
      </c>
      <c r="B25" s="701"/>
    </row>
    <row r="26" spans="1:14" ht="26.25" customHeight="1" x14ac:dyDescent="0.4">
      <c r="A26" s="703" t="s">
        <v>4</v>
      </c>
      <c r="B26" s="865" t="s">
        <v>127</v>
      </c>
      <c r="C26" s="865"/>
    </row>
    <row r="27" spans="1:14" ht="26.25" customHeight="1" x14ac:dyDescent="0.4">
      <c r="A27" s="704" t="s">
        <v>47</v>
      </c>
      <c r="B27" s="867" t="s">
        <v>137</v>
      </c>
      <c r="C27" s="867"/>
    </row>
    <row r="28" spans="1:14" ht="27" customHeight="1" thickBot="1" x14ac:dyDescent="0.45">
      <c r="A28" s="704" t="s">
        <v>6</v>
      </c>
      <c r="B28" s="705">
        <v>100</v>
      </c>
    </row>
    <row r="29" spans="1:14" s="660" customFormat="1" ht="27" customHeight="1" thickBot="1" x14ac:dyDescent="0.45">
      <c r="A29" s="704" t="s">
        <v>48</v>
      </c>
      <c r="B29" s="706">
        <v>0</v>
      </c>
      <c r="C29" s="868" t="s">
        <v>49</v>
      </c>
      <c r="D29" s="869"/>
      <c r="E29" s="869"/>
      <c r="F29" s="869"/>
      <c r="G29" s="870"/>
      <c r="I29" s="707"/>
      <c r="J29" s="707"/>
      <c r="K29" s="707"/>
      <c r="L29" s="707"/>
    </row>
    <row r="30" spans="1:14" s="660" customFormat="1" ht="19.5" customHeight="1" thickBot="1" x14ac:dyDescent="0.35">
      <c r="A30" s="704" t="s">
        <v>50</v>
      </c>
      <c r="B30" s="708">
        <f>B28-B29</f>
        <v>100</v>
      </c>
      <c r="C30" s="709"/>
      <c r="D30" s="709"/>
      <c r="E30" s="709"/>
      <c r="F30" s="709"/>
      <c r="G30" s="710"/>
      <c r="I30" s="707"/>
      <c r="J30" s="707"/>
      <c r="K30" s="707"/>
      <c r="L30" s="707"/>
    </row>
    <row r="31" spans="1:14" s="660" customFormat="1" ht="27" customHeight="1" thickBot="1" x14ac:dyDescent="0.45">
      <c r="A31" s="704" t="s">
        <v>51</v>
      </c>
      <c r="B31" s="711">
        <v>1</v>
      </c>
      <c r="C31" s="856" t="s">
        <v>52</v>
      </c>
      <c r="D31" s="857"/>
      <c r="E31" s="857"/>
      <c r="F31" s="857"/>
      <c r="G31" s="857"/>
      <c r="H31" s="858"/>
      <c r="I31" s="707"/>
      <c r="J31" s="707"/>
      <c r="K31" s="707"/>
      <c r="L31" s="707"/>
    </row>
    <row r="32" spans="1:14" s="660" customFormat="1" ht="27" customHeight="1" thickBot="1" x14ac:dyDescent="0.45">
      <c r="A32" s="704" t="s">
        <v>53</v>
      </c>
      <c r="B32" s="711">
        <v>1</v>
      </c>
      <c r="C32" s="856" t="s">
        <v>54</v>
      </c>
      <c r="D32" s="857"/>
      <c r="E32" s="857"/>
      <c r="F32" s="857"/>
      <c r="G32" s="857"/>
      <c r="H32" s="858"/>
      <c r="I32" s="707"/>
      <c r="J32" s="707"/>
      <c r="K32" s="707"/>
      <c r="L32" s="712"/>
      <c r="M32" s="712"/>
      <c r="N32" s="713"/>
    </row>
    <row r="33" spans="1:14" s="660" customFormat="1" ht="17.25" customHeight="1" x14ac:dyDescent="0.3">
      <c r="A33" s="704"/>
      <c r="B33" s="714"/>
      <c r="C33" s="715"/>
      <c r="D33" s="715"/>
      <c r="E33" s="715"/>
      <c r="F33" s="715"/>
      <c r="G33" s="715"/>
      <c r="H33" s="715"/>
      <c r="I33" s="707"/>
      <c r="J33" s="707"/>
      <c r="K33" s="707"/>
      <c r="L33" s="712"/>
      <c r="M33" s="712"/>
      <c r="N33" s="713"/>
    </row>
    <row r="34" spans="1:14" s="660" customFormat="1" ht="18.75" x14ac:dyDescent="0.3">
      <c r="A34" s="704" t="s">
        <v>55</v>
      </c>
      <c r="B34" s="716">
        <f>B31/B32</f>
        <v>1</v>
      </c>
      <c r="C34" s="693" t="s">
        <v>56</v>
      </c>
      <c r="D34" s="693"/>
      <c r="E34" s="693"/>
      <c r="F34" s="693"/>
      <c r="G34" s="693"/>
      <c r="I34" s="707"/>
      <c r="J34" s="707"/>
      <c r="K34" s="707"/>
      <c r="L34" s="712"/>
      <c r="M34" s="712"/>
      <c r="N34" s="713"/>
    </row>
    <row r="35" spans="1:14" s="660" customFormat="1" ht="19.5" customHeight="1" thickBot="1" x14ac:dyDescent="0.35">
      <c r="A35" s="704"/>
      <c r="B35" s="708"/>
      <c r="G35" s="693"/>
      <c r="I35" s="707"/>
      <c r="J35" s="707"/>
      <c r="K35" s="707"/>
      <c r="L35" s="712"/>
      <c r="M35" s="712"/>
      <c r="N35" s="713"/>
    </row>
    <row r="36" spans="1:14" s="660" customFormat="1" ht="27" customHeight="1" thickBot="1" x14ac:dyDescent="0.45">
      <c r="A36" s="717" t="s">
        <v>57</v>
      </c>
      <c r="B36" s="718">
        <v>100</v>
      </c>
      <c r="C36" s="693"/>
      <c r="D36" s="876" t="s">
        <v>58</v>
      </c>
      <c r="E36" s="877"/>
      <c r="F36" s="876" t="s">
        <v>59</v>
      </c>
      <c r="G36" s="878"/>
      <c r="J36" s="707"/>
      <c r="K36" s="707"/>
      <c r="L36" s="712"/>
      <c r="M36" s="712"/>
      <c r="N36" s="713"/>
    </row>
    <row r="37" spans="1:14" s="660" customFormat="1" ht="27" customHeight="1" thickBot="1" x14ac:dyDescent="0.45">
      <c r="A37" s="719" t="s">
        <v>60</v>
      </c>
      <c r="B37" s="720">
        <v>1</v>
      </c>
      <c r="C37" s="721" t="s">
        <v>61</v>
      </c>
      <c r="D37" s="722" t="s">
        <v>62</v>
      </c>
      <c r="E37" s="723" t="s">
        <v>63</v>
      </c>
      <c r="F37" s="722" t="s">
        <v>62</v>
      </c>
      <c r="G37" s="724" t="s">
        <v>63</v>
      </c>
      <c r="I37" s="725" t="s">
        <v>64</v>
      </c>
      <c r="J37" s="707"/>
      <c r="K37" s="707"/>
      <c r="L37" s="712"/>
      <c r="M37" s="712"/>
      <c r="N37" s="713"/>
    </row>
    <row r="38" spans="1:14" s="660" customFormat="1" ht="26.25" customHeight="1" x14ac:dyDescent="0.4">
      <c r="A38" s="719" t="s">
        <v>65</v>
      </c>
      <c r="B38" s="720">
        <v>1</v>
      </c>
      <c r="C38" s="726">
        <v>1</v>
      </c>
      <c r="D38" s="727">
        <v>3246653</v>
      </c>
      <c r="E38" s="728">
        <f>IF(ISBLANK(D38),"-",$D$48/$D$45*D38)</f>
        <v>2928430.2465423937</v>
      </c>
      <c r="F38" s="727">
        <v>2530413</v>
      </c>
      <c r="G38" s="729">
        <f>IF(ISBLANK(F38),"-",$D$48/$F$45*F38)</f>
        <v>2885305.5872291904</v>
      </c>
      <c r="I38" s="730"/>
      <c r="J38" s="707"/>
      <c r="K38" s="707"/>
      <c r="L38" s="712"/>
      <c r="M38" s="712"/>
      <c r="N38" s="713"/>
    </row>
    <row r="39" spans="1:14" s="660" customFormat="1" ht="26.25" customHeight="1" x14ac:dyDescent="0.4">
      <c r="A39" s="719" t="s">
        <v>66</v>
      </c>
      <c r="B39" s="720">
        <v>1</v>
      </c>
      <c r="C39" s="731">
        <v>2</v>
      </c>
      <c r="D39" s="732">
        <v>3243670</v>
      </c>
      <c r="E39" s="733">
        <f>IF(ISBLANK(D39),"-",$D$48/$D$45*D39)</f>
        <v>2925739.6271797959</v>
      </c>
      <c r="F39" s="732">
        <v>2527029</v>
      </c>
      <c r="G39" s="734">
        <f>IF(ISBLANK(F39),"-",$D$48/$F$45*F39)</f>
        <v>2881446.9783352339</v>
      </c>
      <c r="I39" s="879">
        <f>ABS((F43/D43*D42)-F42)/D42</f>
        <v>1.1824715094746604E-2</v>
      </c>
      <c r="J39" s="707"/>
      <c r="K39" s="707"/>
      <c r="L39" s="712"/>
      <c r="M39" s="712"/>
      <c r="N39" s="713"/>
    </row>
    <row r="40" spans="1:14" ht="26.25" customHeight="1" x14ac:dyDescent="0.4">
      <c r="A40" s="719" t="s">
        <v>67</v>
      </c>
      <c r="B40" s="720">
        <v>1</v>
      </c>
      <c r="C40" s="731">
        <v>3</v>
      </c>
      <c r="D40" s="732">
        <v>3239308</v>
      </c>
      <c r="E40" s="733">
        <f>IF(ISBLANK(D40),"-",$D$48/$D$45*D40)</f>
        <v>2921805.1713770297</v>
      </c>
      <c r="F40" s="732">
        <v>2524038</v>
      </c>
      <c r="G40" s="734">
        <f>IF(ISBLANK(F40),"-",$D$48/$F$45*F40)</f>
        <v>2878036.4880273659</v>
      </c>
      <c r="I40" s="879"/>
      <c r="L40" s="712"/>
      <c r="M40" s="712"/>
      <c r="N40" s="693"/>
    </row>
    <row r="41" spans="1:14" ht="27" customHeight="1" thickBot="1" x14ac:dyDescent="0.45">
      <c r="A41" s="719" t="s">
        <v>68</v>
      </c>
      <c r="B41" s="720">
        <v>1</v>
      </c>
      <c r="C41" s="735">
        <v>4</v>
      </c>
      <c r="D41" s="736"/>
      <c r="E41" s="737" t="str">
        <f>IF(ISBLANK(D41),"-",$D$48/$D$45*D41)</f>
        <v>-</v>
      </c>
      <c r="F41" s="736"/>
      <c r="G41" s="738" t="str">
        <f>IF(ISBLANK(F41),"-",$D$48/$F$45*F41)</f>
        <v>-</v>
      </c>
      <c r="I41" s="739"/>
      <c r="L41" s="712"/>
      <c r="M41" s="712"/>
      <c r="N41" s="693"/>
    </row>
    <row r="42" spans="1:14" ht="27" customHeight="1" thickBot="1" x14ac:dyDescent="0.45">
      <c r="A42" s="719" t="s">
        <v>69</v>
      </c>
      <c r="B42" s="720">
        <v>1</v>
      </c>
      <c r="C42" s="740" t="s">
        <v>70</v>
      </c>
      <c r="D42" s="741">
        <f>AVERAGE(D38:D41)</f>
        <v>3243210.3333333335</v>
      </c>
      <c r="E42" s="742">
        <f>AVERAGE(E38:E41)</f>
        <v>2925325.0150330733</v>
      </c>
      <c r="F42" s="741">
        <f>AVERAGE(F38:F41)</f>
        <v>2527160</v>
      </c>
      <c r="G42" s="743">
        <f>AVERAGE(G38:G41)</f>
        <v>2881596.3511972632</v>
      </c>
      <c r="H42" s="684"/>
    </row>
    <row r="43" spans="1:14" ht="26.25" customHeight="1" x14ac:dyDescent="0.4">
      <c r="A43" s="719" t="s">
        <v>71</v>
      </c>
      <c r="B43" s="720">
        <v>1</v>
      </c>
      <c r="C43" s="744" t="s">
        <v>72</v>
      </c>
      <c r="D43" s="745">
        <v>33.26</v>
      </c>
      <c r="E43" s="693"/>
      <c r="F43" s="745">
        <v>26.31</v>
      </c>
      <c r="H43" s="684"/>
    </row>
    <row r="44" spans="1:14" ht="26.25" customHeight="1" x14ac:dyDescent="0.4">
      <c r="A44" s="719" t="s">
        <v>73</v>
      </c>
      <c r="B44" s="720">
        <v>1</v>
      </c>
      <c r="C44" s="746" t="s">
        <v>74</v>
      </c>
      <c r="D44" s="747">
        <f>D43*$B$34</f>
        <v>33.26</v>
      </c>
      <c r="E44" s="748"/>
      <c r="F44" s="747">
        <f>F43*$B$34</f>
        <v>26.31</v>
      </c>
      <c r="H44" s="684"/>
    </row>
    <row r="45" spans="1:14" ht="19.5" customHeight="1" thickBot="1" x14ac:dyDescent="0.35">
      <c r="A45" s="719" t="s">
        <v>75</v>
      </c>
      <c r="B45" s="731">
        <f>(B44/B43)*(B42/B41)*(B40/B39)*(B38/B37)*B36</f>
        <v>100</v>
      </c>
      <c r="C45" s="746" t="s">
        <v>76</v>
      </c>
      <c r="D45" s="749">
        <f>D44*$B$30/100</f>
        <v>33.26</v>
      </c>
      <c r="E45" s="750"/>
      <c r="F45" s="749">
        <f>F44*$B$30/100</f>
        <v>26.31</v>
      </c>
      <c r="H45" s="684"/>
    </row>
    <row r="46" spans="1:14" ht="19.5" customHeight="1" thickBot="1" x14ac:dyDescent="0.35">
      <c r="A46" s="880" t="s">
        <v>77</v>
      </c>
      <c r="B46" s="881"/>
      <c r="C46" s="746" t="s">
        <v>78</v>
      </c>
      <c r="D46" s="751">
        <f>D45/$B$45</f>
        <v>0.33260000000000001</v>
      </c>
      <c r="E46" s="752"/>
      <c r="F46" s="753">
        <f>F45/$B$45</f>
        <v>0.2631</v>
      </c>
      <c r="H46" s="684"/>
    </row>
    <row r="47" spans="1:14" ht="27" customHeight="1" thickBot="1" x14ac:dyDescent="0.45">
      <c r="A47" s="882"/>
      <c r="B47" s="883"/>
      <c r="C47" s="754" t="s">
        <v>79</v>
      </c>
      <c r="D47" s="755">
        <v>0.3</v>
      </c>
      <c r="E47" s="756"/>
      <c r="F47" s="752"/>
      <c r="H47" s="684"/>
    </row>
    <row r="48" spans="1:14" ht="18.75" x14ac:dyDescent="0.3">
      <c r="C48" s="757" t="s">
        <v>80</v>
      </c>
      <c r="D48" s="749">
        <f>D47*$B$45</f>
        <v>30</v>
      </c>
      <c r="F48" s="758"/>
      <c r="H48" s="684"/>
    </row>
    <row r="49" spans="1:12" ht="19.5" customHeight="1" thickBot="1" x14ac:dyDescent="0.35">
      <c r="C49" s="759" t="s">
        <v>81</v>
      </c>
      <c r="D49" s="760">
        <f>D48/B34</f>
        <v>30</v>
      </c>
      <c r="F49" s="758"/>
      <c r="H49" s="684"/>
    </row>
    <row r="50" spans="1:12" ht="18.75" x14ac:dyDescent="0.3">
      <c r="C50" s="717" t="s">
        <v>82</v>
      </c>
      <c r="D50" s="761">
        <f>AVERAGE(E38:E41,G38:G41)</f>
        <v>2903460.683115168</v>
      </c>
      <c r="F50" s="762"/>
      <c r="H50" s="684"/>
    </row>
    <row r="51" spans="1:12" ht="18.75" x14ac:dyDescent="0.3">
      <c r="C51" s="719" t="s">
        <v>83</v>
      </c>
      <c r="D51" s="763">
        <f>STDEV(E38:E41,G38:G41)/D50</f>
        <v>8.3188563015657128E-3</v>
      </c>
      <c r="F51" s="762"/>
      <c r="H51" s="684"/>
    </row>
    <row r="52" spans="1:12" ht="19.5" customHeight="1" thickBot="1" x14ac:dyDescent="0.35">
      <c r="C52" s="764" t="s">
        <v>19</v>
      </c>
      <c r="D52" s="765">
        <f>COUNT(E38:E41,G38:G41)</f>
        <v>6</v>
      </c>
      <c r="F52" s="762"/>
    </row>
    <row r="54" spans="1:12" ht="18.75" x14ac:dyDescent="0.3">
      <c r="A54" s="766" t="s">
        <v>1</v>
      </c>
      <c r="B54" s="767" t="s">
        <v>84</v>
      </c>
    </row>
    <row r="55" spans="1:12" ht="18.75" x14ac:dyDescent="0.3">
      <c r="A55" s="693" t="s">
        <v>85</v>
      </c>
      <c r="B55" s="768" t="str">
        <f>B21</f>
        <v>ETHAMBUTOL HCl 275mg</v>
      </c>
    </row>
    <row r="56" spans="1:12" ht="26.25" customHeight="1" x14ac:dyDescent="0.4">
      <c r="A56" s="768" t="s">
        <v>86</v>
      </c>
      <c r="B56" s="769">
        <v>275</v>
      </c>
      <c r="C56" s="693" t="str">
        <f>B20</f>
        <v>ETHAMBUTOL HCl</v>
      </c>
      <c r="H56" s="748"/>
    </row>
    <row r="57" spans="1:12" ht="18.75" x14ac:dyDescent="0.3">
      <c r="A57" s="768" t="s">
        <v>87</v>
      </c>
      <c r="B57" s="770">
        <f>'Uniformity (2)'!C46</f>
        <v>1256.998</v>
      </c>
      <c r="H57" s="748"/>
    </row>
    <row r="58" spans="1:12" ht="19.5" customHeight="1" thickBot="1" x14ac:dyDescent="0.35">
      <c r="H58" s="748"/>
    </row>
    <row r="59" spans="1:12" s="660" customFormat="1" ht="27" customHeight="1" thickBot="1" x14ac:dyDescent="0.45">
      <c r="A59" s="717" t="s">
        <v>88</v>
      </c>
      <c r="B59" s="718">
        <v>200</v>
      </c>
      <c r="C59" s="693"/>
      <c r="D59" s="771" t="s">
        <v>89</v>
      </c>
      <c r="E59" s="772" t="s">
        <v>61</v>
      </c>
      <c r="F59" s="772" t="s">
        <v>62</v>
      </c>
      <c r="G59" s="772" t="s">
        <v>90</v>
      </c>
      <c r="H59" s="721" t="s">
        <v>91</v>
      </c>
      <c r="L59" s="707"/>
    </row>
    <row r="60" spans="1:12" s="660" customFormat="1" ht="26.25" customHeight="1" x14ac:dyDescent="0.4">
      <c r="A60" s="719" t="s">
        <v>92</v>
      </c>
      <c r="B60" s="720">
        <v>4</v>
      </c>
      <c r="C60" s="884" t="s">
        <v>93</v>
      </c>
      <c r="D60" s="887">
        <v>1258.24</v>
      </c>
      <c r="E60" s="773">
        <v>1</v>
      </c>
      <c r="F60" s="774">
        <v>2794535</v>
      </c>
      <c r="G60" s="775">
        <f>IF(ISBLANK(F60),"-",(F60/$D$50*$D$47*$B$68)*($B$57/$D$60))</f>
        <v>288.46023816354551</v>
      </c>
      <c r="H60" s="776">
        <f t="shared" ref="H60:H71" si="0">IF(ISBLANK(F60),"-",G60/$B$56)</f>
        <v>1.0489463205947109</v>
      </c>
      <c r="L60" s="707"/>
    </row>
    <row r="61" spans="1:12" s="660" customFormat="1" ht="26.25" customHeight="1" x14ac:dyDescent="0.4">
      <c r="A61" s="719" t="s">
        <v>94</v>
      </c>
      <c r="B61" s="720">
        <v>20</v>
      </c>
      <c r="C61" s="885"/>
      <c r="D61" s="888"/>
      <c r="E61" s="777">
        <v>2</v>
      </c>
      <c r="F61" s="732">
        <v>2788608</v>
      </c>
      <c r="G61" s="778">
        <f>IF(ISBLANK(F61),"-",(F61/$D$50*$D$47*$B$68)*($B$57/$D$60))</f>
        <v>287.84843554464993</v>
      </c>
      <c r="H61" s="779">
        <f t="shared" si="0"/>
        <v>1.0467215837987269</v>
      </c>
      <c r="L61" s="707"/>
    </row>
    <row r="62" spans="1:12" s="660" customFormat="1" ht="26.25" customHeight="1" x14ac:dyDescent="0.4">
      <c r="A62" s="719" t="s">
        <v>95</v>
      </c>
      <c r="B62" s="720">
        <v>1</v>
      </c>
      <c r="C62" s="885"/>
      <c r="D62" s="888"/>
      <c r="E62" s="777">
        <v>3</v>
      </c>
      <c r="F62" s="780">
        <v>2776948</v>
      </c>
      <c r="G62" s="778">
        <f>IF(ISBLANK(F62),"-",(F62/$D$50*$D$47*$B$68)*($B$57/$D$60))</f>
        <v>286.64485556551682</v>
      </c>
      <c r="H62" s="779">
        <f t="shared" si="0"/>
        <v>1.042344929329152</v>
      </c>
      <c r="L62" s="707"/>
    </row>
    <row r="63" spans="1:12" ht="27" customHeight="1" thickBot="1" x14ac:dyDescent="0.45">
      <c r="A63" s="719" t="s">
        <v>96</v>
      </c>
      <c r="B63" s="720">
        <v>1</v>
      </c>
      <c r="C63" s="886"/>
      <c r="D63" s="889"/>
      <c r="E63" s="781">
        <v>4</v>
      </c>
      <c r="F63" s="782"/>
      <c r="G63" s="778" t="str">
        <f>IF(ISBLANK(F63),"-",(F63/$D$50*$D$47*$B$68)*($B$57/$D$60))</f>
        <v>-</v>
      </c>
      <c r="H63" s="779" t="str">
        <f t="shared" si="0"/>
        <v>-</v>
      </c>
    </row>
    <row r="64" spans="1:12" ht="26.25" customHeight="1" x14ac:dyDescent="0.4">
      <c r="A64" s="719" t="s">
        <v>97</v>
      </c>
      <c r="B64" s="720">
        <v>1</v>
      </c>
      <c r="C64" s="884" t="s">
        <v>98</v>
      </c>
      <c r="D64" s="887">
        <v>1255.18</v>
      </c>
      <c r="E64" s="773">
        <v>1</v>
      </c>
      <c r="F64" s="774">
        <v>2737413</v>
      </c>
      <c r="G64" s="783">
        <f>IF(ISBLANK(F64),"-",(F64/$D$50*$D$47*$B$68)*($B$57/$D$64))</f>
        <v>283.25279681073744</v>
      </c>
      <c r="H64" s="784">
        <f t="shared" si="0"/>
        <v>1.0300101702208635</v>
      </c>
    </row>
    <row r="65" spans="1:8" ht="26.25" customHeight="1" x14ac:dyDescent="0.4">
      <c r="A65" s="719" t="s">
        <v>99</v>
      </c>
      <c r="B65" s="720">
        <v>1</v>
      </c>
      <c r="C65" s="885"/>
      <c r="D65" s="888"/>
      <c r="E65" s="777">
        <v>2</v>
      </c>
      <c r="F65" s="732">
        <v>2727342</v>
      </c>
      <c r="G65" s="785">
        <f>IF(ISBLANK(F65),"-",(F65/$D$50*$D$47*$B$68)*($B$57/$D$64))</f>
        <v>282.21070381392587</v>
      </c>
      <c r="H65" s="786">
        <f t="shared" si="0"/>
        <v>1.0262207411415487</v>
      </c>
    </row>
    <row r="66" spans="1:8" ht="26.25" customHeight="1" x14ac:dyDescent="0.4">
      <c r="A66" s="719" t="s">
        <v>100</v>
      </c>
      <c r="B66" s="720">
        <v>1</v>
      </c>
      <c r="C66" s="885"/>
      <c r="D66" s="888"/>
      <c r="E66" s="777">
        <v>3</v>
      </c>
      <c r="F66" s="732">
        <v>2721051</v>
      </c>
      <c r="G66" s="785">
        <f>IF(ISBLANK(F66),"-",(F66/$D$50*$D$47*$B$68)*($B$57/$D$64))</f>
        <v>281.55974491779426</v>
      </c>
      <c r="H66" s="786">
        <f t="shared" si="0"/>
        <v>1.0238536178828883</v>
      </c>
    </row>
    <row r="67" spans="1:8" ht="27" customHeight="1" thickBot="1" x14ac:dyDescent="0.45">
      <c r="A67" s="719" t="s">
        <v>101</v>
      </c>
      <c r="B67" s="720">
        <v>1</v>
      </c>
      <c r="C67" s="886"/>
      <c r="D67" s="889"/>
      <c r="E67" s="781">
        <v>4</v>
      </c>
      <c r="F67" s="782"/>
      <c r="G67" s="787" t="str">
        <f>IF(ISBLANK(F67),"-",(F67/$D$50*$D$47*$B$68)*($B$57/$D$64))</f>
        <v>-</v>
      </c>
      <c r="H67" s="788" t="str">
        <f t="shared" si="0"/>
        <v>-</v>
      </c>
    </row>
    <row r="68" spans="1:8" ht="26.25" customHeight="1" x14ac:dyDescent="0.4">
      <c r="A68" s="719" t="s">
        <v>102</v>
      </c>
      <c r="B68" s="789">
        <f>(B67/B66)*(B65/B64)*(B63/B62)*(B61/B60)*B59</f>
        <v>1000</v>
      </c>
      <c r="C68" s="884" t="s">
        <v>103</v>
      </c>
      <c r="D68" s="887">
        <v>1258.08</v>
      </c>
      <c r="E68" s="773">
        <v>1</v>
      </c>
      <c r="F68" s="774">
        <v>2812060</v>
      </c>
      <c r="G68" s="783">
        <f>IF(ISBLANK(F68),"-",(F68/$D$50*$D$47*$B$68)*($B$57/$D$68))</f>
        <v>290.30613677295634</v>
      </c>
      <c r="H68" s="779">
        <f t="shared" si="0"/>
        <v>1.0556586791743867</v>
      </c>
    </row>
    <row r="69" spans="1:8" ht="27" customHeight="1" thickBot="1" x14ac:dyDescent="0.45">
      <c r="A69" s="764" t="s">
        <v>104</v>
      </c>
      <c r="B69" s="790">
        <f>(D47*B68)/B56*B57</f>
        <v>1371.2705454545453</v>
      </c>
      <c r="C69" s="885"/>
      <c r="D69" s="888"/>
      <c r="E69" s="777">
        <v>2</v>
      </c>
      <c r="F69" s="732">
        <v>2800414</v>
      </c>
      <c r="G69" s="785">
        <f>IF(ISBLANK(F69),"-",(F69/$D$50*$D$47*$B$68)*($B$57/$D$68))</f>
        <v>289.10384903056894</v>
      </c>
      <c r="H69" s="779">
        <f t="shared" si="0"/>
        <v>1.0512867237475234</v>
      </c>
    </row>
    <row r="70" spans="1:8" ht="26.25" customHeight="1" x14ac:dyDescent="0.4">
      <c r="A70" s="871" t="s">
        <v>77</v>
      </c>
      <c r="B70" s="872"/>
      <c r="C70" s="885"/>
      <c r="D70" s="888"/>
      <c r="E70" s="777">
        <v>3</v>
      </c>
      <c r="F70" s="732">
        <v>2792902</v>
      </c>
      <c r="G70" s="785">
        <f>IF(ISBLANK(F70),"-",(F70/$D$50*$D$47*$B$68)*($B$57/$D$68))</f>
        <v>288.32833936881258</v>
      </c>
      <c r="H70" s="779">
        <f t="shared" si="0"/>
        <v>1.0484666886138638</v>
      </c>
    </row>
    <row r="71" spans="1:8" ht="27" customHeight="1" thickBot="1" x14ac:dyDescent="0.45">
      <c r="A71" s="873"/>
      <c r="B71" s="874"/>
      <c r="C71" s="890"/>
      <c r="D71" s="889"/>
      <c r="E71" s="781">
        <v>4</v>
      </c>
      <c r="F71" s="782"/>
      <c r="G71" s="787" t="str">
        <f>IF(ISBLANK(F71),"-",(F71/$D$50*$D$47*$B$68)*($B$57/$D$68))</f>
        <v>-</v>
      </c>
      <c r="H71" s="791" t="str">
        <f t="shared" si="0"/>
        <v>-</v>
      </c>
    </row>
    <row r="72" spans="1:8" ht="26.25" customHeight="1" x14ac:dyDescent="0.4">
      <c r="A72" s="748"/>
      <c r="B72" s="748"/>
      <c r="C72" s="748"/>
      <c r="D72" s="748"/>
      <c r="E72" s="748"/>
      <c r="F72" s="792" t="s">
        <v>70</v>
      </c>
      <c r="G72" s="793">
        <f>AVERAGE(G60:G71)</f>
        <v>286.41278888761195</v>
      </c>
      <c r="H72" s="794">
        <f>AVERAGE(H60:H71)</f>
        <v>1.0415010505004072</v>
      </c>
    </row>
    <row r="73" spans="1:8" ht="26.25" customHeight="1" x14ac:dyDescent="0.4">
      <c r="C73" s="748"/>
      <c r="D73" s="748"/>
      <c r="E73" s="748"/>
      <c r="F73" s="795" t="s">
        <v>83</v>
      </c>
      <c r="G73" s="796">
        <f>STDEV(G60:G71)/G72</f>
        <v>1.1284735952500824E-2</v>
      </c>
      <c r="H73" s="796">
        <f>STDEV(H60:H71)/H72</f>
        <v>1.1284735952500777E-2</v>
      </c>
    </row>
    <row r="74" spans="1:8" ht="27" customHeight="1" thickBot="1" x14ac:dyDescent="0.45">
      <c r="A74" s="748"/>
      <c r="B74" s="748"/>
      <c r="C74" s="748"/>
      <c r="D74" s="748"/>
      <c r="E74" s="750"/>
      <c r="F74" s="797" t="s">
        <v>19</v>
      </c>
      <c r="G74" s="798">
        <f>COUNT(G60:G71)</f>
        <v>9</v>
      </c>
      <c r="H74" s="798">
        <f>COUNT(H60:H71)</f>
        <v>9</v>
      </c>
    </row>
    <row r="76" spans="1:8" ht="26.25" customHeight="1" x14ac:dyDescent="0.4">
      <c r="A76" s="703" t="s">
        <v>105</v>
      </c>
      <c r="B76" s="704" t="s">
        <v>106</v>
      </c>
      <c r="C76" s="875" t="str">
        <f>B20</f>
        <v>ETHAMBUTOL HCl</v>
      </c>
      <c r="D76" s="875"/>
      <c r="E76" s="693" t="s">
        <v>107</v>
      </c>
      <c r="F76" s="693"/>
      <c r="G76" s="799">
        <f>H72</f>
        <v>1.0415010505004072</v>
      </c>
      <c r="H76" s="708"/>
    </row>
    <row r="77" spans="1:8" ht="18.75" x14ac:dyDescent="0.3">
      <c r="A77" s="702" t="s">
        <v>108</v>
      </c>
      <c r="B77" s="702" t="s">
        <v>109</v>
      </c>
    </row>
    <row r="78" spans="1:8" ht="18.75" x14ac:dyDescent="0.3">
      <c r="A78" s="702"/>
      <c r="B78" s="702"/>
    </row>
    <row r="79" spans="1:8" ht="26.25" customHeight="1" x14ac:dyDescent="0.4">
      <c r="A79" s="703" t="s">
        <v>4</v>
      </c>
      <c r="B79" s="891" t="str">
        <f>B26</f>
        <v>ETHAMBUTOL HYDROCHLORIDE</v>
      </c>
      <c r="C79" s="891"/>
    </row>
    <row r="80" spans="1:8" ht="26.25" customHeight="1" x14ac:dyDescent="0.4">
      <c r="A80" s="704" t="s">
        <v>47</v>
      </c>
      <c r="B80" s="891" t="str">
        <f>B27</f>
        <v>E12 3</v>
      </c>
      <c r="C80" s="891"/>
    </row>
    <row r="81" spans="1:12" ht="27" customHeight="1" thickBot="1" x14ac:dyDescent="0.45">
      <c r="A81" s="704" t="s">
        <v>6</v>
      </c>
      <c r="B81" s="705">
        <f>B28</f>
        <v>100</v>
      </c>
    </row>
    <row r="82" spans="1:12" s="660" customFormat="1" ht="27" customHeight="1" thickBot="1" x14ac:dyDescent="0.45">
      <c r="A82" s="704" t="s">
        <v>48</v>
      </c>
      <c r="B82" s="706">
        <v>0</v>
      </c>
      <c r="C82" s="868" t="s">
        <v>49</v>
      </c>
      <c r="D82" s="869"/>
      <c r="E82" s="869"/>
      <c r="F82" s="869"/>
      <c r="G82" s="870"/>
      <c r="I82" s="707"/>
      <c r="J82" s="707"/>
      <c r="K82" s="707"/>
      <c r="L82" s="707"/>
    </row>
    <row r="83" spans="1:12" s="660" customFormat="1" ht="19.5" customHeight="1" thickBot="1" x14ac:dyDescent="0.35">
      <c r="A83" s="704" t="s">
        <v>50</v>
      </c>
      <c r="B83" s="708">
        <f>B81-B82</f>
        <v>100</v>
      </c>
      <c r="C83" s="709"/>
      <c r="D83" s="709"/>
      <c r="E83" s="709"/>
      <c r="F83" s="709"/>
      <c r="G83" s="710"/>
      <c r="I83" s="707"/>
      <c r="J83" s="707"/>
      <c r="K83" s="707"/>
      <c r="L83" s="707"/>
    </row>
    <row r="84" spans="1:12" s="660" customFormat="1" ht="27" customHeight="1" thickBot="1" x14ac:dyDescent="0.45">
      <c r="A84" s="704" t="s">
        <v>51</v>
      </c>
      <c r="B84" s="711">
        <v>1</v>
      </c>
      <c r="C84" s="856" t="s">
        <v>110</v>
      </c>
      <c r="D84" s="857"/>
      <c r="E84" s="857"/>
      <c r="F84" s="857"/>
      <c r="G84" s="857"/>
      <c r="H84" s="858"/>
      <c r="I84" s="707"/>
      <c r="J84" s="707"/>
      <c r="K84" s="707"/>
      <c r="L84" s="707"/>
    </row>
    <row r="85" spans="1:12" s="660" customFormat="1" ht="27" customHeight="1" thickBot="1" x14ac:dyDescent="0.45">
      <c r="A85" s="704" t="s">
        <v>53</v>
      </c>
      <c r="B85" s="711">
        <v>1</v>
      </c>
      <c r="C85" s="856" t="s">
        <v>111</v>
      </c>
      <c r="D85" s="857"/>
      <c r="E85" s="857"/>
      <c r="F85" s="857"/>
      <c r="G85" s="857"/>
      <c r="H85" s="858"/>
      <c r="I85" s="707"/>
      <c r="J85" s="707"/>
      <c r="K85" s="707"/>
      <c r="L85" s="707"/>
    </row>
    <row r="86" spans="1:12" s="660" customFormat="1" ht="18.75" x14ac:dyDescent="0.3">
      <c r="A86" s="704"/>
      <c r="B86" s="714"/>
      <c r="C86" s="715"/>
      <c r="D86" s="715"/>
      <c r="E86" s="715"/>
      <c r="F86" s="715"/>
      <c r="G86" s="715"/>
      <c r="H86" s="715"/>
      <c r="I86" s="707"/>
      <c r="J86" s="707"/>
      <c r="K86" s="707"/>
      <c r="L86" s="707"/>
    </row>
    <row r="87" spans="1:12" s="660" customFormat="1" ht="18.75" x14ac:dyDescent="0.3">
      <c r="A87" s="704" t="s">
        <v>55</v>
      </c>
      <c r="B87" s="716">
        <f>B84/B85</f>
        <v>1</v>
      </c>
      <c r="C87" s="693" t="s">
        <v>56</v>
      </c>
      <c r="D87" s="693"/>
      <c r="E87" s="693"/>
      <c r="F87" s="693"/>
      <c r="G87" s="693"/>
      <c r="I87" s="707"/>
      <c r="J87" s="707"/>
      <c r="K87" s="707"/>
      <c r="L87" s="707"/>
    </row>
    <row r="88" spans="1:12" ht="19.5" customHeight="1" thickBot="1" x14ac:dyDescent="0.35">
      <c r="A88" s="702"/>
      <c r="B88" s="702"/>
    </row>
    <row r="89" spans="1:12" ht="27" customHeight="1" thickBot="1" x14ac:dyDescent="0.45">
      <c r="A89" s="717" t="s">
        <v>57</v>
      </c>
      <c r="B89" s="718">
        <v>100</v>
      </c>
      <c r="D89" s="800" t="s">
        <v>58</v>
      </c>
      <c r="E89" s="801"/>
      <c r="F89" s="876" t="s">
        <v>59</v>
      </c>
      <c r="G89" s="878"/>
    </row>
    <row r="90" spans="1:12" ht="27" customHeight="1" thickBot="1" x14ac:dyDescent="0.45">
      <c r="A90" s="719" t="s">
        <v>60</v>
      </c>
      <c r="B90" s="720">
        <v>1</v>
      </c>
      <c r="C90" s="802" t="s">
        <v>61</v>
      </c>
      <c r="D90" s="722" t="s">
        <v>62</v>
      </c>
      <c r="E90" s="723" t="s">
        <v>63</v>
      </c>
      <c r="F90" s="722" t="s">
        <v>62</v>
      </c>
      <c r="G90" s="803" t="s">
        <v>63</v>
      </c>
      <c r="I90" s="725" t="s">
        <v>64</v>
      </c>
    </row>
    <row r="91" spans="1:12" ht="26.25" customHeight="1" x14ac:dyDescent="0.4">
      <c r="A91" s="719" t="s">
        <v>65</v>
      </c>
      <c r="B91" s="720">
        <v>1</v>
      </c>
      <c r="C91" s="804">
        <v>1</v>
      </c>
      <c r="D91" s="727">
        <v>3246653</v>
      </c>
      <c r="E91" s="728">
        <f>IF(ISBLANK(D91),"-",$D$101/$D$98*D91)</f>
        <v>2982660.4362931787</v>
      </c>
      <c r="F91" s="727">
        <v>2530413</v>
      </c>
      <c r="G91" s="729">
        <f>IF(ISBLANK(F91),"-",$D$101/$F$98*F91)</f>
        <v>2938737.1721778796</v>
      </c>
      <c r="I91" s="730"/>
    </row>
    <row r="92" spans="1:12" ht="26.25" customHeight="1" x14ac:dyDescent="0.4">
      <c r="A92" s="719" t="s">
        <v>66</v>
      </c>
      <c r="B92" s="720">
        <v>1</v>
      </c>
      <c r="C92" s="748">
        <v>2</v>
      </c>
      <c r="D92" s="732">
        <v>3243670</v>
      </c>
      <c r="E92" s="733">
        <f>IF(ISBLANK(D92),"-",$D$101/$D$98*D92)</f>
        <v>2979919.9906460885</v>
      </c>
      <c r="F92" s="732">
        <v>2527029</v>
      </c>
      <c r="G92" s="734">
        <f>IF(ISBLANK(F92),"-",$D$101/$F$98*F92)</f>
        <v>2934807.1075636647</v>
      </c>
      <c r="I92" s="879">
        <f>ABS((F96/D96*D95)-F95)/D95</f>
        <v>1.1824715094746604E-2</v>
      </c>
    </row>
    <row r="93" spans="1:12" ht="26.25" customHeight="1" x14ac:dyDescent="0.4">
      <c r="A93" s="719" t="s">
        <v>67</v>
      </c>
      <c r="B93" s="720">
        <v>1</v>
      </c>
      <c r="C93" s="748">
        <v>3</v>
      </c>
      <c r="D93" s="732">
        <v>3239308</v>
      </c>
      <c r="E93" s="733">
        <f>IF(ISBLANK(D93),"-",$D$101/$D$98*D93)</f>
        <v>2975912.6745506786</v>
      </c>
      <c r="F93" s="732">
        <v>2524038</v>
      </c>
      <c r="G93" s="734">
        <f>IF(ISBLANK(F93),"-",$D$101/$F$98*F93)</f>
        <v>2931333.4600278735</v>
      </c>
      <c r="I93" s="879"/>
    </row>
    <row r="94" spans="1:12" ht="27" customHeight="1" thickBot="1" x14ac:dyDescent="0.45">
      <c r="A94" s="719" t="s">
        <v>68</v>
      </c>
      <c r="B94" s="720">
        <v>1</v>
      </c>
      <c r="C94" s="805">
        <v>4</v>
      </c>
      <c r="D94" s="736"/>
      <c r="E94" s="737" t="str">
        <f>IF(ISBLANK(D94),"-",$D$101/$D$98*D94)</f>
        <v>-</v>
      </c>
      <c r="F94" s="736"/>
      <c r="G94" s="738" t="str">
        <f>IF(ISBLANK(F94),"-",$D$101/$F$98*F94)</f>
        <v>-</v>
      </c>
      <c r="I94" s="739"/>
    </row>
    <row r="95" spans="1:12" ht="27" customHeight="1" thickBot="1" x14ac:dyDescent="0.45">
      <c r="A95" s="719" t="s">
        <v>69</v>
      </c>
      <c r="B95" s="720">
        <v>1</v>
      </c>
      <c r="C95" s="704" t="s">
        <v>70</v>
      </c>
      <c r="D95" s="806">
        <f>AVERAGE(D91:D94)</f>
        <v>3243210.3333333335</v>
      </c>
      <c r="E95" s="742">
        <f>AVERAGE(E91:E94)</f>
        <v>2979497.7004966489</v>
      </c>
      <c r="F95" s="807">
        <f>AVERAGE(F91:F94)</f>
        <v>2527160</v>
      </c>
      <c r="G95" s="808">
        <f>AVERAGE(G91:G94)</f>
        <v>2934959.2465898059</v>
      </c>
    </row>
    <row r="96" spans="1:12" ht="26.25" customHeight="1" x14ac:dyDescent="0.4">
      <c r="A96" s="719" t="s">
        <v>71</v>
      </c>
      <c r="B96" s="705">
        <v>1</v>
      </c>
      <c r="C96" s="809" t="s">
        <v>112</v>
      </c>
      <c r="D96" s="810">
        <f>D43</f>
        <v>33.26</v>
      </c>
      <c r="E96" s="693"/>
      <c r="F96" s="745">
        <f>F43</f>
        <v>26.31</v>
      </c>
    </row>
    <row r="97" spans="1:10" ht="26.25" customHeight="1" x14ac:dyDescent="0.4">
      <c r="A97" s="719" t="s">
        <v>73</v>
      </c>
      <c r="B97" s="705">
        <v>1</v>
      </c>
      <c r="C97" s="811" t="s">
        <v>113</v>
      </c>
      <c r="D97" s="812">
        <f>D96*$B$87</f>
        <v>33.26</v>
      </c>
      <c r="E97" s="748"/>
      <c r="F97" s="747">
        <f>F96*$B$87</f>
        <v>26.31</v>
      </c>
    </row>
    <row r="98" spans="1:10" ht="19.5" customHeight="1" thickBot="1" x14ac:dyDescent="0.35">
      <c r="A98" s="719" t="s">
        <v>75</v>
      </c>
      <c r="B98" s="748">
        <f>(B97/B96)*(B95/B94)*(B93/B92)*(B91/B90)*B89</f>
        <v>100</v>
      </c>
      <c r="C98" s="811" t="s">
        <v>114</v>
      </c>
      <c r="D98" s="813">
        <f>D97*$B$83/100</f>
        <v>33.26</v>
      </c>
      <c r="E98" s="750"/>
      <c r="F98" s="749">
        <f>F97*$B$83/100</f>
        <v>26.31</v>
      </c>
    </row>
    <row r="99" spans="1:10" ht="19.5" customHeight="1" thickBot="1" x14ac:dyDescent="0.35">
      <c r="A99" s="880" t="s">
        <v>77</v>
      </c>
      <c r="B99" s="892"/>
      <c r="C99" s="811" t="s">
        <v>115</v>
      </c>
      <c r="D99" s="814">
        <f>D98/$B$98</f>
        <v>0.33260000000000001</v>
      </c>
      <c r="E99" s="750"/>
      <c r="F99" s="753">
        <f>F98/$B$98</f>
        <v>0.2631</v>
      </c>
      <c r="H99" s="684"/>
    </row>
    <row r="100" spans="1:10" ht="19.5" customHeight="1" thickBot="1" x14ac:dyDescent="0.35">
      <c r="A100" s="882"/>
      <c r="B100" s="893"/>
      <c r="C100" s="811" t="s">
        <v>79</v>
      </c>
      <c r="D100" s="815">
        <f>$B$56/$B$116</f>
        <v>0.30555555555555558</v>
      </c>
      <c r="F100" s="758"/>
      <c r="G100" s="816"/>
      <c r="H100" s="684"/>
    </row>
    <row r="101" spans="1:10" ht="18.75" x14ac:dyDescent="0.3">
      <c r="C101" s="811" t="s">
        <v>80</v>
      </c>
      <c r="D101" s="812">
        <f>D100*$B$98</f>
        <v>30.555555555555557</v>
      </c>
      <c r="F101" s="758"/>
      <c r="H101" s="684"/>
    </row>
    <row r="102" spans="1:10" ht="19.5" customHeight="1" thickBot="1" x14ac:dyDescent="0.35">
      <c r="C102" s="817" t="s">
        <v>81</v>
      </c>
      <c r="D102" s="818">
        <f>D101/B34</f>
        <v>30.555555555555557</v>
      </c>
      <c r="F102" s="762"/>
      <c r="H102" s="684"/>
      <c r="J102" s="819"/>
    </row>
    <row r="103" spans="1:10" ht="18.75" x14ac:dyDescent="0.3">
      <c r="C103" s="820" t="s">
        <v>116</v>
      </c>
      <c r="D103" s="821">
        <f>AVERAGE(E91:E94,G91:G94)</f>
        <v>2957228.4735432272</v>
      </c>
      <c r="F103" s="762"/>
      <c r="G103" s="816"/>
      <c r="H103" s="684"/>
      <c r="J103" s="822"/>
    </row>
    <row r="104" spans="1:10" ht="18.75" x14ac:dyDescent="0.3">
      <c r="C104" s="795" t="s">
        <v>83</v>
      </c>
      <c r="D104" s="823">
        <f>STDEV(E91:E94,G91:G94)/D103</f>
        <v>8.3188563015656001E-3</v>
      </c>
      <c r="F104" s="762"/>
      <c r="H104" s="684"/>
      <c r="J104" s="822"/>
    </row>
    <row r="105" spans="1:10" ht="19.5" customHeight="1" thickBot="1" x14ac:dyDescent="0.35">
      <c r="C105" s="797" t="s">
        <v>19</v>
      </c>
      <c r="D105" s="824">
        <f>COUNT(E91:E94,G91:G94)</f>
        <v>6</v>
      </c>
      <c r="F105" s="762"/>
      <c r="H105" s="684"/>
      <c r="J105" s="822"/>
    </row>
    <row r="106" spans="1:10" ht="19.5" customHeight="1" thickBot="1" x14ac:dyDescent="0.35">
      <c r="A106" s="766"/>
      <c r="B106" s="766"/>
      <c r="C106" s="766"/>
      <c r="D106" s="766"/>
      <c r="E106" s="766"/>
    </row>
    <row r="107" spans="1:10" ht="26.25" customHeight="1" x14ac:dyDescent="0.4">
      <c r="A107" s="717" t="s">
        <v>117</v>
      </c>
      <c r="B107" s="718">
        <v>900</v>
      </c>
      <c r="C107" s="800" t="s">
        <v>118</v>
      </c>
      <c r="D107" s="825" t="s">
        <v>62</v>
      </c>
      <c r="E107" s="826" t="s">
        <v>119</v>
      </c>
      <c r="F107" s="827" t="s">
        <v>120</v>
      </c>
    </row>
    <row r="108" spans="1:10" ht="26.25" customHeight="1" x14ac:dyDescent="0.4">
      <c r="A108" s="719" t="s">
        <v>121</v>
      </c>
      <c r="B108" s="720">
        <v>1</v>
      </c>
      <c r="C108" s="828">
        <v>1</v>
      </c>
      <c r="D108" s="829">
        <v>2764803</v>
      </c>
      <c r="E108" s="830">
        <f t="shared" ref="E108:E113" si="1">IF(ISBLANK(D108),"-",D108/$D$103*$D$100*$B$116)</f>
        <v>257.10587863000507</v>
      </c>
      <c r="F108" s="831">
        <f t="shared" ref="F108:F113" si="2">IF(ISBLANK(D108), "-", E108/$B$56)</f>
        <v>0.93493046774547295</v>
      </c>
    </row>
    <row r="109" spans="1:10" ht="26.25" customHeight="1" x14ac:dyDescent="0.4">
      <c r="A109" s="719" t="s">
        <v>94</v>
      </c>
      <c r="B109" s="720">
        <v>1</v>
      </c>
      <c r="C109" s="828">
        <v>2</v>
      </c>
      <c r="D109" s="829">
        <v>2764744</v>
      </c>
      <c r="E109" s="832">
        <f t="shared" si="1"/>
        <v>257.1003920738782</v>
      </c>
      <c r="F109" s="833">
        <f t="shared" si="2"/>
        <v>0.93491051663228431</v>
      </c>
    </row>
    <row r="110" spans="1:10" ht="26.25" customHeight="1" x14ac:dyDescent="0.4">
      <c r="A110" s="719" t="s">
        <v>95</v>
      </c>
      <c r="B110" s="720">
        <v>1</v>
      </c>
      <c r="C110" s="828">
        <v>3</v>
      </c>
      <c r="D110" s="829">
        <v>2762968</v>
      </c>
      <c r="E110" s="832">
        <f t="shared" si="1"/>
        <v>256.93523743521246</v>
      </c>
      <c r="F110" s="833">
        <f t="shared" si="2"/>
        <v>0.93430995430986352</v>
      </c>
    </row>
    <row r="111" spans="1:10" ht="26.25" customHeight="1" x14ac:dyDescent="0.4">
      <c r="A111" s="719" t="s">
        <v>96</v>
      </c>
      <c r="B111" s="720">
        <v>1</v>
      </c>
      <c r="C111" s="828">
        <v>4</v>
      </c>
      <c r="D111" s="829">
        <v>2758864</v>
      </c>
      <c r="E111" s="832">
        <f t="shared" si="1"/>
        <v>256.55359631072815</v>
      </c>
      <c r="F111" s="833">
        <f t="shared" si="2"/>
        <v>0.93292216840264786</v>
      </c>
    </row>
    <row r="112" spans="1:10" ht="26.25" customHeight="1" x14ac:dyDescent="0.4">
      <c r="A112" s="719" t="s">
        <v>97</v>
      </c>
      <c r="B112" s="720">
        <v>1</v>
      </c>
      <c r="C112" s="828">
        <v>5</v>
      </c>
      <c r="D112" s="829">
        <v>2750105</v>
      </c>
      <c r="E112" s="832">
        <f t="shared" si="1"/>
        <v>255.73907520708349</v>
      </c>
      <c r="F112" s="833">
        <f t="shared" si="2"/>
        <v>0.92996027348030363</v>
      </c>
    </row>
    <row r="113" spans="1:10" ht="26.25" customHeight="1" x14ac:dyDescent="0.4">
      <c r="A113" s="719" t="s">
        <v>99</v>
      </c>
      <c r="B113" s="720">
        <v>1</v>
      </c>
      <c r="C113" s="834">
        <v>6</v>
      </c>
      <c r="D113" s="835">
        <v>2748150</v>
      </c>
      <c r="E113" s="836">
        <f t="shared" si="1"/>
        <v>255.55727491508378</v>
      </c>
      <c r="F113" s="837">
        <f t="shared" si="2"/>
        <v>0.92929918150939561</v>
      </c>
    </row>
    <row r="114" spans="1:10" ht="26.25" customHeight="1" x14ac:dyDescent="0.4">
      <c r="A114" s="719" t="s">
        <v>100</v>
      </c>
      <c r="B114" s="720">
        <v>1</v>
      </c>
      <c r="C114" s="828"/>
      <c r="D114" s="748"/>
      <c r="E114" s="693"/>
      <c r="F114" s="838"/>
    </row>
    <row r="115" spans="1:10" ht="26.25" customHeight="1" x14ac:dyDescent="0.4">
      <c r="A115" s="719" t="s">
        <v>101</v>
      </c>
      <c r="B115" s="720">
        <v>1</v>
      </c>
      <c r="C115" s="828"/>
      <c r="D115" s="839" t="s">
        <v>70</v>
      </c>
      <c r="E115" s="840">
        <f>AVERAGE(E108:E113)</f>
        <v>256.49857576199855</v>
      </c>
      <c r="F115" s="841">
        <f>AVERAGE(F108:F113)</f>
        <v>0.93272209367999459</v>
      </c>
    </row>
    <row r="116" spans="1:10" ht="27" customHeight="1" thickBot="1" x14ac:dyDescent="0.45">
      <c r="A116" s="719" t="s">
        <v>102</v>
      </c>
      <c r="B116" s="731">
        <f>(B115/B114)*(B113/B112)*(B111/B110)*(B109/B108)*B107</f>
        <v>900</v>
      </c>
      <c r="C116" s="842"/>
      <c r="D116" s="704" t="s">
        <v>83</v>
      </c>
      <c r="E116" s="843">
        <f>STDEV(E108:E113)/E115</f>
        <v>2.6940757169509329E-3</v>
      </c>
      <c r="F116" s="843">
        <f>STDEV(F108:F113)/F115</f>
        <v>2.6940757169509042E-3</v>
      </c>
      <c r="I116" s="693"/>
    </row>
    <row r="117" spans="1:10" ht="27" customHeight="1" thickBot="1" x14ac:dyDescent="0.45">
      <c r="A117" s="880" t="s">
        <v>77</v>
      </c>
      <c r="B117" s="881"/>
      <c r="C117" s="844"/>
      <c r="D117" s="845" t="s">
        <v>19</v>
      </c>
      <c r="E117" s="846">
        <f>COUNT(E108:E113)</f>
        <v>6</v>
      </c>
      <c r="F117" s="846">
        <f>COUNT(F108:F113)</f>
        <v>6</v>
      </c>
      <c r="I117" s="693"/>
      <c r="J117" s="822"/>
    </row>
    <row r="118" spans="1:10" ht="19.5" customHeight="1" thickBot="1" x14ac:dyDescent="0.35">
      <c r="A118" s="882"/>
      <c r="B118" s="883"/>
      <c r="C118" s="693"/>
      <c r="D118" s="693"/>
      <c r="E118" s="693"/>
      <c r="F118" s="748"/>
      <c r="G118" s="693"/>
      <c r="H118" s="693"/>
      <c r="I118" s="693"/>
    </row>
    <row r="119" spans="1:10" ht="18.75" x14ac:dyDescent="0.3">
      <c r="A119" s="847"/>
      <c r="B119" s="715"/>
      <c r="C119" s="693"/>
      <c r="D119" s="693"/>
      <c r="E119" s="693"/>
      <c r="F119" s="748"/>
      <c r="G119" s="693"/>
      <c r="H119" s="693"/>
      <c r="I119" s="693"/>
    </row>
    <row r="120" spans="1:10" ht="26.25" customHeight="1" x14ac:dyDescent="0.4">
      <c r="A120" s="703" t="s">
        <v>105</v>
      </c>
      <c r="B120" s="704" t="s">
        <v>122</v>
      </c>
      <c r="C120" s="875" t="str">
        <f>B20</f>
        <v>ETHAMBUTOL HCl</v>
      </c>
      <c r="D120" s="875"/>
      <c r="E120" s="693" t="s">
        <v>123</v>
      </c>
      <c r="F120" s="693"/>
      <c r="G120" s="799">
        <f>F115</f>
        <v>0.93272209367999459</v>
      </c>
      <c r="H120" s="693"/>
      <c r="I120" s="693"/>
    </row>
    <row r="121" spans="1:10" ht="19.5" customHeight="1" thickBot="1" x14ac:dyDescent="0.35">
      <c r="A121" s="848"/>
      <c r="B121" s="848"/>
      <c r="C121" s="849"/>
      <c r="D121" s="849"/>
      <c r="E121" s="849"/>
      <c r="F121" s="849"/>
      <c r="G121" s="849"/>
      <c r="H121" s="849"/>
    </row>
    <row r="122" spans="1:10" ht="18.75" x14ac:dyDescent="0.3">
      <c r="B122" s="894" t="s">
        <v>25</v>
      </c>
      <c r="C122" s="894"/>
      <c r="E122" s="802" t="s">
        <v>26</v>
      </c>
      <c r="F122" s="850"/>
      <c r="G122" s="894" t="s">
        <v>27</v>
      </c>
      <c r="H122" s="894"/>
    </row>
    <row r="123" spans="1:10" ht="69.95" customHeight="1" x14ac:dyDescent="0.3">
      <c r="A123" s="703" t="s">
        <v>28</v>
      </c>
      <c r="B123" s="851"/>
      <c r="C123" s="851"/>
      <c r="E123" s="851"/>
      <c r="F123" s="693"/>
      <c r="G123" s="851"/>
      <c r="H123" s="851"/>
    </row>
    <row r="124" spans="1:10" ht="69.95" customHeight="1" x14ac:dyDescent="0.3">
      <c r="A124" s="703" t="s">
        <v>29</v>
      </c>
      <c r="B124" s="852"/>
      <c r="C124" s="852"/>
      <c r="E124" s="852"/>
      <c r="F124" s="693"/>
      <c r="G124" s="853"/>
      <c r="H124" s="853"/>
    </row>
    <row r="125" spans="1:10" ht="18.75" x14ac:dyDescent="0.3">
      <c r="A125" s="748"/>
      <c r="B125" s="748"/>
      <c r="C125" s="748"/>
      <c r="D125" s="748"/>
      <c r="E125" s="748"/>
      <c r="F125" s="750"/>
      <c r="G125" s="748"/>
      <c r="H125" s="748"/>
      <c r="I125" s="693"/>
    </row>
    <row r="126" spans="1:10" ht="18.75" x14ac:dyDescent="0.3">
      <c r="A126" s="748"/>
      <c r="B126" s="748"/>
      <c r="C126" s="748"/>
      <c r="D126" s="748"/>
      <c r="E126" s="748"/>
      <c r="F126" s="750"/>
      <c r="G126" s="748"/>
      <c r="H126" s="748"/>
      <c r="I126" s="693"/>
    </row>
    <row r="127" spans="1:10" ht="18.75" x14ac:dyDescent="0.3">
      <c r="A127" s="748"/>
      <c r="B127" s="748"/>
      <c r="C127" s="748"/>
      <c r="D127" s="748"/>
      <c r="E127" s="748"/>
      <c r="F127" s="750"/>
      <c r="G127" s="748"/>
      <c r="H127" s="748"/>
      <c r="I127" s="693"/>
    </row>
    <row r="128" spans="1:10" ht="18.75" x14ac:dyDescent="0.3">
      <c r="A128" s="748"/>
      <c r="B128" s="748"/>
      <c r="C128" s="748"/>
      <c r="D128" s="748"/>
      <c r="E128" s="748"/>
      <c r="F128" s="750"/>
      <c r="G128" s="748"/>
      <c r="H128" s="748"/>
      <c r="I128" s="693"/>
    </row>
    <row r="129" spans="1:9" ht="18.75" x14ac:dyDescent="0.3">
      <c r="A129" s="748"/>
      <c r="B129" s="748"/>
      <c r="C129" s="748"/>
      <c r="D129" s="748"/>
      <c r="E129" s="748"/>
      <c r="F129" s="750"/>
      <c r="G129" s="748"/>
      <c r="H129" s="748"/>
      <c r="I129" s="693"/>
    </row>
    <row r="130" spans="1:9" ht="18.75" x14ac:dyDescent="0.3">
      <c r="A130" s="748"/>
      <c r="B130" s="748"/>
      <c r="C130" s="748"/>
      <c r="D130" s="748"/>
      <c r="E130" s="748"/>
      <c r="F130" s="750"/>
      <c r="G130" s="748"/>
      <c r="H130" s="748"/>
      <c r="I130" s="693"/>
    </row>
    <row r="131" spans="1:9" ht="18.75" x14ac:dyDescent="0.3">
      <c r="A131" s="748"/>
      <c r="B131" s="748"/>
      <c r="C131" s="748"/>
      <c r="D131" s="748"/>
      <c r="E131" s="748"/>
      <c r="F131" s="750"/>
      <c r="G131" s="748"/>
      <c r="H131" s="748"/>
      <c r="I131" s="693"/>
    </row>
    <row r="132" spans="1:9" ht="18.75" x14ac:dyDescent="0.3">
      <c r="A132" s="748"/>
      <c r="B132" s="748"/>
      <c r="C132" s="748"/>
      <c r="D132" s="748"/>
      <c r="E132" s="748"/>
      <c r="F132" s="750"/>
      <c r="G132" s="748"/>
      <c r="H132" s="748"/>
      <c r="I132" s="693"/>
    </row>
    <row r="133" spans="1:9" ht="18.75" x14ac:dyDescent="0.3">
      <c r="A133" s="748"/>
      <c r="B133" s="748"/>
      <c r="C133" s="748"/>
      <c r="D133" s="748"/>
      <c r="E133" s="748"/>
      <c r="F133" s="750"/>
      <c r="G133" s="748"/>
      <c r="H133" s="748"/>
      <c r="I133" s="693"/>
    </row>
    <row r="250" spans="1:1" x14ac:dyDescent="0.25">
      <c r="A250" s="650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F22" sqref="F22"/>
    </sheetView>
  </sheetViews>
  <sheetFormatPr defaultRowHeight="15" x14ac:dyDescent="0.3"/>
  <cols>
    <col min="1" max="1" width="15.5703125" style="605" customWidth="1"/>
    <col min="2" max="2" width="18.42578125" style="605" customWidth="1"/>
    <col min="3" max="3" width="14.28515625" style="605" customWidth="1"/>
    <col min="4" max="4" width="15" style="605" customWidth="1"/>
    <col min="5" max="5" width="9.140625" style="605" customWidth="1"/>
    <col min="6" max="6" width="27.85546875" style="605" customWidth="1"/>
    <col min="7" max="7" width="12.28515625" style="605" customWidth="1"/>
    <col min="8" max="8" width="9.140625" style="605" customWidth="1"/>
    <col min="9" max="16384" width="9.140625" style="606"/>
  </cols>
  <sheetData>
    <row r="10" spans="1:7" ht="13.5" customHeight="1" thickBot="1" x14ac:dyDescent="0.35"/>
    <row r="11" spans="1:7" ht="13.5" customHeight="1" thickBot="1" x14ac:dyDescent="0.35">
      <c r="A11" s="897" t="s">
        <v>30</v>
      </c>
      <c r="B11" s="898"/>
      <c r="C11" s="898"/>
      <c r="D11" s="898"/>
      <c r="E11" s="898"/>
      <c r="F11" s="899"/>
      <c r="G11" s="607"/>
    </row>
    <row r="12" spans="1:7" ht="16.5" customHeight="1" x14ac:dyDescent="0.3">
      <c r="A12" s="900" t="s">
        <v>31</v>
      </c>
      <c r="B12" s="900"/>
      <c r="C12" s="900"/>
      <c r="D12" s="900"/>
      <c r="E12" s="900"/>
      <c r="F12" s="900"/>
      <c r="G12" s="608"/>
    </row>
    <row r="14" spans="1:7" ht="16.5" customHeight="1" x14ac:dyDescent="0.3">
      <c r="A14" s="901" t="s">
        <v>32</v>
      </c>
      <c r="B14" s="901"/>
      <c r="C14" s="609" t="s">
        <v>5</v>
      </c>
    </row>
    <row r="15" spans="1:7" ht="16.5" customHeight="1" x14ac:dyDescent="0.3">
      <c r="A15" s="901" t="s">
        <v>33</v>
      </c>
      <c r="B15" s="901"/>
      <c r="C15" s="609" t="s">
        <v>139</v>
      </c>
    </row>
    <row r="16" spans="1:7" ht="16.5" customHeight="1" x14ac:dyDescent="0.3">
      <c r="A16" s="901" t="s">
        <v>34</v>
      </c>
      <c r="B16" s="901"/>
      <c r="C16" s="609" t="s">
        <v>8</v>
      </c>
    </row>
    <row r="17" spans="1:5" ht="16.5" customHeight="1" x14ac:dyDescent="0.3">
      <c r="A17" s="901" t="s">
        <v>35</v>
      </c>
      <c r="B17" s="901"/>
      <c r="C17" s="609" t="s">
        <v>10</v>
      </c>
    </row>
    <row r="18" spans="1:5" ht="16.5" customHeight="1" x14ac:dyDescent="0.3">
      <c r="A18" s="901" t="s">
        <v>36</v>
      </c>
      <c r="B18" s="901"/>
      <c r="C18" s="610" t="s">
        <v>140</v>
      </c>
    </row>
    <row r="19" spans="1:5" ht="16.5" customHeight="1" x14ac:dyDescent="0.3">
      <c r="A19" s="901" t="s">
        <v>37</v>
      </c>
      <c r="B19" s="901"/>
      <c r="C19" s="610" t="e">
        <f>#REF!</f>
        <v>#REF!</v>
      </c>
    </row>
    <row r="20" spans="1:5" ht="16.5" customHeight="1" x14ac:dyDescent="0.3">
      <c r="A20" s="611"/>
      <c r="B20" s="611"/>
      <c r="C20" s="612"/>
    </row>
    <row r="21" spans="1:5" ht="16.5" customHeight="1" x14ac:dyDescent="0.3">
      <c r="A21" s="900" t="s">
        <v>1</v>
      </c>
      <c r="B21" s="900"/>
      <c r="C21" s="613" t="s">
        <v>38</v>
      </c>
      <c r="D21" s="614"/>
    </row>
    <row r="22" spans="1:5" ht="15.75" customHeight="1" thickBot="1" x14ac:dyDescent="0.35">
      <c r="A22" s="902"/>
      <c r="B22" s="902"/>
      <c r="C22" s="615"/>
      <c r="D22" s="902"/>
      <c r="E22" s="902"/>
    </row>
    <row r="23" spans="1:5" ht="33.75" customHeight="1" thickBot="1" x14ac:dyDescent="0.35">
      <c r="C23" s="616" t="s">
        <v>39</v>
      </c>
      <c r="D23" s="617" t="s">
        <v>40</v>
      </c>
      <c r="E23" s="618"/>
    </row>
    <row r="24" spans="1:5" ht="15.75" customHeight="1" x14ac:dyDescent="0.3">
      <c r="C24" s="619">
        <v>1254.0899999999999</v>
      </c>
      <c r="D24" s="620">
        <f t="shared" ref="D24:D43" si="0">(C24-$C$46)/$C$46</f>
        <v>-2.3134483905305567E-3</v>
      </c>
      <c r="E24" s="621"/>
    </row>
    <row r="25" spans="1:5" ht="15.75" customHeight="1" x14ac:dyDescent="0.3">
      <c r="C25" s="619">
        <v>1254.32</v>
      </c>
      <c r="D25" s="622">
        <f t="shared" si="0"/>
        <v>-2.1304727612932645E-3</v>
      </c>
      <c r="E25" s="621"/>
    </row>
    <row r="26" spans="1:5" ht="15.75" customHeight="1" x14ac:dyDescent="0.3">
      <c r="C26" s="619">
        <v>1257.57</v>
      </c>
      <c r="D26" s="622">
        <f t="shared" si="0"/>
        <v>4.5505243445088142E-4</v>
      </c>
      <c r="E26" s="621"/>
    </row>
    <row r="27" spans="1:5" ht="15.75" customHeight="1" x14ac:dyDescent="0.3">
      <c r="C27" s="619">
        <v>1251.5999999999999</v>
      </c>
      <c r="D27" s="622">
        <f t="shared" si="0"/>
        <v>-4.2943584635776171E-3</v>
      </c>
      <c r="E27" s="621"/>
    </row>
    <row r="28" spans="1:5" ht="15.75" customHeight="1" x14ac:dyDescent="0.3">
      <c r="C28" s="619">
        <v>1272.44</v>
      </c>
      <c r="D28" s="622">
        <f t="shared" si="0"/>
        <v>1.2284824637748036E-2</v>
      </c>
      <c r="E28" s="621"/>
    </row>
    <row r="29" spans="1:5" ht="15.75" customHeight="1" x14ac:dyDescent="0.3">
      <c r="C29" s="619">
        <v>1258.1600000000001</v>
      </c>
      <c r="D29" s="622">
        <f t="shared" si="0"/>
        <v>9.2442470075531909E-4</v>
      </c>
      <c r="E29" s="621"/>
    </row>
    <row r="30" spans="1:5" ht="15.75" customHeight="1" x14ac:dyDescent="0.3">
      <c r="C30" s="619">
        <v>1251.06</v>
      </c>
      <c r="D30" s="622">
        <f t="shared" si="0"/>
        <v>-4.7239534191781543E-3</v>
      </c>
      <c r="E30" s="621"/>
    </row>
    <row r="31" spans="1:5" ht="15.75" customHeight="1" x14ac:dyDescent="0.3">
      <c r="C31" s="619">
        <v>1263.3900000000001</v>
      </c>
      <c r="D31" s="622">
        <f t="shared" si="0"/>
        <v>5.0851314003682209E-3</v>
      </c>
      <c r="E31" s="621"/>
    </row>
    <row r="32" spans="1:5" ht="15.75" customHeight="1" x14ac:dyDescent="0.3">
      <c r="C32" s="619">
        <v>1262.01</v>
      </c>
      <c r="D32" s="622">
        <f t="shared" si="0"/>
        <v>3.987277624944466E-3</v>
      </c>
      <c r="E32" s="621"/>
    </row>
    <row r="33" spans="1:7" ht="15.75" customHeight="1" x14ac:dyDescent="0.3">
      <c r="C33" s="619">
        <v>1259.51</v>
      </c>
      <c r="D33" s="622">
        <f t="shared" si="0"/>
        <v>1.9984120897566611E-3</v>
      </c>
      <c r="E33" s="621"/>
    </row>
    <row r="34" spans="1:7" ht="15.75" customHeight="1" x14ac:dyDescent="0.3">
      <c r="C34" s="619">
        <v>1257.9000000000001</v>
      </c>
      <c r="D34" s="622">
        <f t="shared" si="0"/>
        <v>7.1758268509579458E-4</v>
      </c>
      <c r="E34" s="621"/>
    </row>
    <row r="35" spans="1:7" ht="15.75" customHeight="1" x14ac:dyDescent="0.3">
      <c r="C35" s="619">
        <v>1251.73</v>
      </c>
      <c r="D35" s="622">
        <f t="shared" si="0"/>
        <v>-4.1909374557477647E-3</v>
      </c>
      <c r="E35" s="621"/>
    </row>
    <row r="36" spans="1:7" ht="15.75" customHeight="1" x14ac:dyDescent="0.3">
      <c r="C36" s="619">
        <v>1245.23</v>
      </c>
      <c r="D36" s="622">
        <f t="shared" si="0"/>
        <v>-9.3619878472360561E-3</v>
      </c>
      <c r="E36" s="621"/>
    </row>
    <row r="37" spans="1:7" ht="15.75" customHeight="1" x14ac:dyDescent="0.3">
      <c r="C37" s="619">
        <v>1255.75</v>
      </c>
      <c r="D37" s="622">
        <f t="shared" si="0"/>
        <v>-9.9284167516578955E-4</v>
      </c>
      <c r="E37" s="621"/>
    </row>
    <row r="38" spans="1:7" ht="15.75" customHeight="1" x14ac:dyDescent="0.3">
      <c r="C38" s="619">
        <v>1258.53</v>
      </c>
      <c r="D38" s="622">
        <f t="shared" si="0"/>
        <v>1.2187767999630272E-3</v>
      </c>
      <c r="E38" s="621"/>
    </row>
    <row r="39" spans="1:7" ht="15.75" customHeight="1" x14ac:dyDescent="0.3">
      <c r="C39" s="619">
        <v>1262.21</v>
      </c>
      <c r="D39" s="622">
        <f t="shared" si="0"/>
        <v>4.1463868677595259E-3</v>
      </c>
      <c r="E39" s="621"/>
    </row>
    <row r="40" spans="1:7" ht="15.75" customHeight="1" x14ac:dyDescent="0.3">
      <c r="C40" s="619">
        <v>1258.1099999999999</v>
      </c>
      <c r="D40" s="622">
        <f t="shared" si="0"/>
        <v>8.8464739005141826E-4</v>
      </c>
      <c r="E40" s="621"/>
    </row>
    <row r="41" spans="1:7" ht="15.75" customHeight="1" x14ac:dyDescent="0.3">
      <c r="C41" s="619">
        <v>1268.27</v>
      </c>
      <c r="D41" s="622">
        <f t="shared" si="0"/>
        <v>8.9673969250547211E-3</v>
      </c>
      <c r="E41" s="621"/>
    </row>
    <row r="42" spans="1:7" ht="15.75" customHeight="1" x14ac:dyDescent="0.3">
      <c r="C42" s="619">
        <v>1247.6600000000001</v>
      </c>
      <c r="D42" s="622">
        <f t="shared" si="0"/>
        <v>-7.4288105470334603E-3</v>
      </c>
      <c r="E42" s="621"/>
    </row>
    <row r="43" spans="1:7" ht="16.5" customHeight="1" thickBot="1" x14ac:dyDescent="0.35">
      <c r="C43" s="623">
        <v>1250.42</v>
      </c>
      <c r="D43" s="624">
        <f t="shared" si="0"/>
        <v>-5.2331029961861309E-3</v>
      </c>
      <c r="E43" s="621"/>
    </row>
    <row r="44" spans="1:7" ht="16.5" customHeight="1" thickBot="1" x14ac:dyDescent="0.35">
      <c r="C44" s="625"/>
      <c r="D44" s="621"/>
      <c r="E44" s="626"/>
    </row>
    <row r="45" spans="1:7" ht="16.5" customHeight="1" thickBot="1" x14ac:dyDescent="0.35">
      <c r="B45" s="627" t="s">
        <v>41</v>
      </c>
      <c r="C45" s="628">
        <f>SUM(C24:C44)</f>
        <v>25139.96</v>
      </c>
      <c r="D45" s="629"/>
      <c r="E45" s="625"/>
    </row>
    <row r="46" spans="1:7" ht="17.25" customHeight="1" thickBot="1" x14ac:dyDescent="0.35">
      <c r="B46" s="627" t="s">
        <v>42</v>
      </c>
      <c r="C46" s="630">
        <f>AVERAGE(C24:C44)</f>
        <v>1256.998</v>
      </c>
      <c r="E46" s="631"/>
    </row>
    <row r="47" spans="1:7" ht="17.25" customHeight="1" thickBot="1" x14ac:dyDescent="0.35">
      <c r="A47" s="609"/>
      <c r="B47" s="632"/>
      <c r="D47" s="633"/>
      <c r="E47" s="631"/>
    </row>
    <row r="48" spans="1:7" ht="33.75" customHeight="1" thickBot="1" x14ac:dyDescent="0.35">
      <c r="B48" s="634" t="s">
        <v>42</v>
      </c>
      <c r="C48" s="617" t="s">
        <v>43</v>
      </c>
      <c r="D48" s="635"/>
      <c r="G48" s="633"/>
    </row>
    <row r="49" spans="1:6" ht="17.25" customHeight="1" thickBot="1" x14ac:dyDescent="0.35">
      <c r="B49" s="895">
        <f>C46</f>
        <v>1256.998</v>
      </c>
      <c r="C49" s="636">
        <f>-IF(C46&lt;=80,10%,IF(C46&lt;250,7.5%,5%))</f>
        <v>-0.05</v>
      </c>
      <c r="D49" s="637">
        <f>IF(C46&lt;=80,C46*0.9,IF(C46&lt;250,C46*0.925,C46*0.95))</f>
        <v>1194.1480999999999</v>
      </c>
    </row>
    <row r="50" spans="1:6" ht="17.25" customHeight="1" thickBot="1" x14ac:dyDescent="0.35">
      <c r="B50" s="896"/>
      <c r="C50" s="638">
        <f>IF(C46&lt;=80, 10%, IF(C46&lt;250, 7.5%, 5%))</f>
        <v>0.05</v>
      </c>
      <c r="D50" s="637">
        <f>IF(C46&lt;=80, C46*1.1, IF(C46&lt;250, C46*1.075, C46*1.05))</f>
        <v>1319.8479000000002</v>
      </c>
    </row>
    <row r="51" spans="1:6" ht="16.5" customHeight="1" thickBot="1" x14ac:dyDescent="0.35">
      <c r="A51" s="639"/>
      <c r="B51" s="640"/>
      <c r="C51" s="609"/>
      <c r="D51" s="641"/>
      <c r="E51" s="609"/>
      <c r="F51" s="614"/>
    </row>
    <row r="52" spans="1:6" ht="16.5" customHeight="1" x14ac:dyDescent="0.3">
      <c r="A52" s="609"/>
      <c r="B52" s="642" t="s">
        <v>25</v>
      </c>
      <c r="C52" s="642"/>
      <c r="D52" s="643" t="s">
        <v>26</v>
      </c>
      <c r="E52" s="644"/>
      <c r="F52" s="643" t="s">
        <v>27</v>
      </c>
    </row>
    <row r="53" spans="1:6" ht="34.5" customHeight="1" x14ac:dyDescent="0.3">
      <c r="A53" s="611" t="s">
        <v>28</v>
      </c>
      <c r="B53" s="645"/>
      <c r="C53" s="609"/>
      <c r="D53" s="645"/>
      <c r="E53" s="609"/>
      <c r="F53" s="645"/>
    </row>
    <row r="54" spans="1:6" ht="34.5" customHeight="1" x14ac:dyDescent="0.3">
      <c r="A54" s="611" t="s">
        <v>29</v>
      </c>
      <c r="B54" s="646"/>
      <c r="C54" s="647"/>
      <c r="D54" s="646"/>
      <c r="E54" s="609"/>
      <c r="F54" s="64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88" zoomScale="60" zoomScaleNormal="40" zoomScalePageLayoutView="60" workbookViewId="0">
      <selection activeCell="J6" sqref="J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31" t="s">
        <v>44</v>
      </c>
      <c r="B1" s="931"/>
      <c r="C1" s="931"/>
      <c r="D1" s="931"/>
      <c r="E1" s="931"/>
      <c r="F1" s="931"/>
      <c r="G1" s="931"/>
      <c r="H1" s="931"/>
      <c r="I1" s="931"/>
    </row>
    <row r="2" spans="1:9" ht="18.75" customHeight="1" x14ac:dyDescent="0.25">
      <c r="A2" s="931"/>
      <c r="B2" s="931"/>
      <c r="C2" s="931"/>
      <c r="D2" s="931"/>
      <c r="E2" s="931"/>
      <c r="F2" s="931"/>
      <c r="G2" s="931"/>
      <c r="H2" s="931"/>
      <c r="I2" s="931"/>
    </row>
    <row r="3" spans="1:9" ht="18.75" customHeight="1" x14ac:dyDescent="0.25">
      <c r="A3" s="931"/>
      <c r="B3" s="931"/>
      <c r="C3" s="931"/>
      <c r="D3" s="931"/>
      <c r="E3" s="931"/>
      <c r="F3" s="931"/>
      <c r="G3" s="931"/>
      <c r="H3" s="931"/>
      <c r="I3" s="931"/>
    </row>
    <row r="4" spans="1:9" ht="18.75" customHeight="1" x14ac:dyDescent="0.25">
      <c r="A4" s="931"/>
      <c r="B4" s="931"/>
      <c r="C4" s="931"/>
      <c r="D4" s="931"/>
      <c r="E4" s="931"/>
      <c r="F4" s="931"/>
      <c r="G4" s="931"/>
      <c r="H4" s="931"/>
      <c r="I4" s="931"/>
    </row>
    <row r="5" spans="1:9" ht="18.75" customHeight="1" x14ac:dyDescent="0.25">
      <c r="A5" s="931"/>
      <c r="B5" s="931"/>
      <c r="C5" s="931"/>
      <c r="D5" s="931"/>
      <c r="E5" s="931"/>
      <c r="F5" s="931"/>
      <c r="G5" s="931"/>
      <c r="H5" s="931"/>
      <c r="I5" s="931"/>
    </row>
    <row r="6" spans="1:9" ht="18.75" customHeight="1" x14ac:dyDescent="0.25">
      <c r="A6" s="931"/>
      <c r="B6" s="931"/>
      <c r="C6" s="931"/>
      <c r="D6" s="931"/>
      <c r="E6" s="931"/>
      <c r="F6" s="931"/>
      <c r="G6" s="931"/>
      <c r="H6" s="931"/>
      <c r="I6" s="931"/>
    </row>
    <row r="7" spans="1:9" ht="18.75" customHeight="1" x14ac:dyDescent="0.25">
      <c r="A7" s="931"/>
      <c r="B7" s="931"/>
      <c r="C7" s="931"/>
      <c r="D7" s="931"/>
      <c r="E7" s="931"/>
      <c r="F7" s="931"/>
      <c r="G7" s="931"/>
      <c r="H7" s="931"/>
      <c r="I7" s="931"/>
    </row>
    <row r="8" spans="1:9" x14ac:dyDescent="0.25">
      <c r="A8" s="932" t="s">
        <v>45</v>
      </c>
      <c r="B8" s="932"/>
      <c r="C8" s="932"/>
      <c r="D8" s="932"/>
      <c r="E8" s="932"/>
      <c r="F8" s="932"/>
      <c r="G8" s="932"/>
      <c r="H8" s="932"/>
      <c r="I8" s="932"/>
    </row>
    <row r="9" spans="1:9" x14ac:dyDescent="0.25">
      <c r="A9" s="932"/>
      <c r="B9" s="932"/>
      <c r="C9" s="932"/>
      <c r="D9" s="932"/>
      <c r="E9" s="932"/>
      <c r="F9" s="932"/>
      <c r="G9" s="932"/>
      <c r="H9" s="932"/>
      <c r="I9" s="932"/>
    </row>
    <row r="10" spans="1:9" x14ac:dyDescent="0.25">
      <c r="A10" s="932"/>
      <c r="B10" s="932"/>
      <c r="C10" s="932"/>
      <c r="D10" s="932"/>
      <c r="E10" s="932"/>
      <c r="F10" s="932"/>
      <c r="G10" s="932"/>
      <c r="H10" s="932"/>
      <c r="I10" s="932"/>
    </row>
    <row r="11" spans="1:9" x14ac:dyDescent="0.25">
      <c r="A11" s="932"/>
      <c r="B11" s="932"/>
      <c r="C11" s="932"/>
      <c r="D11" s="932"/>
      <c r="E11" s="932"/>
      <c r="F11" s="932"/>
      <c r="G11" s="932"/>
      <c r="H11" s="932"/>
      <c r="I11" s="932"/>
    </row>
    <row r="12" spans="1:9" x14ac:dyDescent="0.25">
      <c r="A12" s="932"/>
      <c r="B12" s="932"/>
      <c r="C12" s="932"/>
      <c r="D12" s="932"/>
      <c r="E12" s="932"/>
      <c r="F12" s="932"/>
      <c r="G12" s="932"/>
      <c r="H12" s="932"/>
      <c r="I12" s="932"/>
    </row>
    <row r="13" spans="1:9" x14ac:dyDescent="0.25">
      <c r="A13" s="932"/>
      <c r="B13" s="932"/>
      <c r="C13" s="932"/>
      <c r="D13" s="932"/>
      <c r="E13" s="932"/>
      <c r="F13" s="932"/>
      <c r="G13" s="932"/>
      <c r="H13" s="932"/>
      <c r="I13" s="932"/>
    </row>
    <row r="14" spans="1:9" x14ac:dyDescent="0.25">
      <c r="A14" s="932"/>
      <c r="B14" s="932"/>
      <c r="C14" s="932"/>
      <c r="D14" s="932"/>
      <c r="E14" s="932"/>
      <c r="F14" s="932"/>
      <c r="G14" s="932"/>
      <c r="H14" s="932"/>
      <c r="I14" s="932"/>
    </row>
    <row r="15" spans="1:9" ht="19.5" customHeight="1" x14ac:dyDescent="0.3">
      <c r="A15" s="57"/>
    </row>
    <row r="16" spans="1:9" ht="19.5" customHeight="1" x14ac:dyDescent="0.3">
      <c r="A16" s="904" t="s">
        <v>30</v>
      </c>
      <c r="B16" s="905"/>
      <c r="C16" s="905"/>
      <c r="D16" s="905"/>
      <c r="E16" s="905"/>
      <c r="F16" s="905"/>
      <c r="G16" s="905"/>
      <c r="H16" s="906"/>
    </row>
    <row r="17" spans="1:14" ht="20.25" customHeight="1" x14ac:dyDescent="0.25">
      <c r="A17" s="907" t="s">
        <v>46</v>
      </c>
      <c r="B17" s="907"/>
      <c r="C17" s="907"/>
      <c r="D17" s="907"/>
      <c r="E17" s="907"/>
      <c r="F17" s="907"/>
      <c r="G17" s="907"/>
      <c r="H17" s="907"/>
    </row>
    <row r="18" spans="1:14" ht="26.25" customHeight="1" x14ac:dyDescent="0.4">
      <c r="A18" s="59" t="s">
        <v>32</v>
      </c>
      <c r="B18" s="903" t="s">
        <v>5</v>
      </c>
      <c r="C18" s="903"/>
      <c r="D18" s="222"/>
      <c r="E18" s="60"/>
      <c r="F18" s="61"/>
      <c r="G18" s="61"/>
      <c r="H18" s="61"/>
    </row>
    <row r="19" spans="1:14" ht="26.25" customHeight="1" x14ac:dyDescent="0.4">
      <c r="A19" s="59" t="s">
        <v>33</v>
      </c>
      <c r="B19" s="604" t="s">
        <v>139</v>
      </c>
      <c r="C19" s="235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34</v>
      </c>
      <c r="B20" s="908" t="s">
        <v>124</v>
      </c>
      <c r="C20" s="908"/>
      <c r="D20" s="61"/>
      <c r="E20" s="61"/>
      <c r="F20" s="61"/>
      <c r="G20" s="61"/>
      <c r="H20" s="61"/>
    </row>
    <row r="21" spans="1:14" ht="26.25" customHeight="1" x14ac:dyDescent="0.4">
      <c r="A21" s="59" t="s">
        <v>35</v>
      </c>
      <c r="B21" s="908" t="s">
        <v>130</v>
      </c>
      <c r="C21" s="908"/>
      <c r="D21" s="908"/>
      <c r="E21" s="908"/>
      <c r="F21" s="908"/>
      <c r="G21" s="908"/>
      <c r="H21" s="908"/>
      <c r="I21" s="62"/>
    </row>
    <row r="22" spans="1:14" ht="26.25" customHeight="1" x14ac:dyDescent="0.4">
      <c r="A22" s="59" t="s">
        <v>36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37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903" t="s">
        <v>124</v>
      </c>
      <c r="C26" s="903"/>
    </row>
    <row r="27" spans="1:14" ht="26.25" customHeight="1" x14ac:dyDescent="0.4">
      <c r="A27" s="67" t="s">
        <v>47</v>
      </c>
      <c r="B27" s="909" t="s">
        <v>128</v>
      </c>
      <c r="C27" s="909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48</v>
      </c>
      <c r="B29" s="69">
        <v>0</v>
      </c>
      <c r="C29" s="910" t="s">
        <v>49</v>
      </c>
      <c r="D29" s="911"/>
      <c r="E29" s="911"/>
      <c r="F29" s="911"/>
      <c r="G29" s="912"/>
      <c r="I29" s="70"/>
      <c r="J29" s="70"/>
      <c r="K29" s="70"/>
      <c r="L29" s="70"/>
    </row>
    <row r="30" spans="1:14" s="14" customFormat="1" ht="19.5" customHeight="1" x14ac:dyDescent="0.3">
      <c r="A30" s="67" t="s">
        <v>50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51</v>
      </c>
      <c r="B31" s="74">
        <v>1</v>
      </c>
      <c r="C31" s="913" t="s">
        <v>52</v>
      </c>
      <c r="D31" s="914"/>
      <c r="E31" s="914"/>
      <c r="F31" s="914"/>
      <c r="G31" s="914"/>
      <c r="H31" s="915"/>
      <c r="I31" s="70"/>
      <c r="J31" s="70"/>
      <c r="K31" s="70"/>
      <c r="L31" s="70"/>
    </row>
    <row r="32" spans="1:14" s="14" customFormat="1" ht="27" customHeight="1" x14ac:dyDescent="0.4">
      <c r="A32" s="67" t="s">
        <v>53</v>
      </c>
      <c r="B32" s="74">
        <v>1</v>
      </c>
      <c r="C32" s="913" t="s">
        <v>54</v>
      </c>
      <c r="D32" s="914"/>
      <c r="E32" s="914"/>
      <c r="F32" s="914"/>
      <c r="G32" s="914"/>
      <c r="H32" s="915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55</v>
      </c>
      <c r="B34" s="79">
        <f>B31/B32</f>
        <v>1</v>
      </c>
      <c r="C34" s="58" t="s">
        <v>56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57</v>
      </c>
      <c r="B36" s="81">
        <v>5</v>
      </c>
      <c r="C36" s="58"/>
      <c r="D36" s="916" t="s">
        <v>58</v>
      </c>
      <c r="E36" s="917"/>
      <c r="F36" s="916" t="s">
        <v>59</v>
      </c>
      <c r="G36" s="918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60</v>
      </c>
      <c r="B37" s="83">
        <v>3</v>
      </c>
      <c r="C37" s="84" t="s">
        <v>61</v>
      </c>
      <c r="D37" s="85" t="s">
        <v>62</v>
      </c>
      <c r="E37" s="86" t="s">
        <v>63</v>
      </c>
      <c r="F37" s="85" t="s">
        <v>62</v>
      </c>
      <c r="G37" s="87" t="s">
        <v>63</v>
      </c>
      <c r="I37" s="88" t="s">
        <v>64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65</v>
      </c>
      <c r="B38" s="83">
        <v>50</v>
      </c>
      <c r="C38" s="89">
        <v>1</v>
      </c>
      <c r="D38" s="594">
        <v>49822553</v>
      </c>
      <c r="E38" s="90">
        <f>IF(ISBLANK(D38),"-",$D$48/$D$45*D38)</f>
        <v>46317262.568793699</v>
      </c>
      <c r="F38" s="594">
        <v>60858349</v>
      </c>
      <c r="G38" s="91">
        <f>IF(ISBLANK(F38),"-",$D$48/$F$45*F38)</f>
        <v>46554483.840122402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66</v>
      </c>
      <c r="B39" s="83">
        <v>1</v>
      </c>
      <c r="C39" s="93">
        <v>2</v>
      </c>
      <c r="D39" s="595">
        <v>50013796</v>
      </c>
      <c r="E39" s="95">
        <f>IF(ISBLANK(D39),"-",$D$48/$D$45*D39)</f>
        <v>46495050.57266102</v>
      </c>
      <c r="F39" s="595">
        <v>60847155</v>
      </c>
      <c r="G39" s="96">
        <f>IF(ISBLANK(F39),"-",$D$48/$F$45*F39)</f>
        <v>46545920.826161802</v>
      </c>
      <c r="I39" s="920">
        <f>ABS((F43/D43*D42)-F42)/D42</f>
        <v>5.7243616904717473E-3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67</v>
      </c>
      <c r="B40" s="83">
        <v>1</v>
      </c>
      <c r="C40" s="93">
        <v>3</v>
      </c>
      <c r="D40" s="595">
        <v>49858324</v>
      </c>
      <c r="E40" s="95">
        <f>IF(ISBLANK(D40),"-",$D$48/$D$45*D40)</f>
        <v>46350516.882344201</v>
      </c>
      <c r="F40" s="595">
        <v>61072012</v>
      </c>
      <c r="G40" s="96">
        <f>IF(ISBLANK(F40),"-",$D$48/$F$45*F40)</f>
        <v>46717928.475808002</v>
      </c>
      <c r="I40" s="920"/>
      <c r="L40" s="75"/>
      <c r="M40" s="75"/>
      <c r="N40" s="97"/>
    </row>
    <row r="41" spans="1:14" ht="27" customHeight="1" x14ac:dyDescent="0.4">
      <c r="A41" s="82" t="s">
        <v>68</v>
      </c>
      <c r="B41" s="83">
        <v>1</v>
      </c>
      <c r="C41" s="98">
        <v>4</v>
      </c>
      <c r="D41" s="596"/>
      <c r="E41" s="99" t="str">
        <f>IF(ISBLANK(D41),"-",$D$48/$D$45*D41)</f>
        <v>-</v>
      </c>
      <c r="F41" s="596"/>
      <c r="G41" s="100" t="str">
        <f>IF(ISBLANK(F41),"-",$D$48/$F$45*F41)</f>
        <v>-</v>
      </c>
      <c r="I41" s="101"/>
      <c r="L41" s="75"/>
      <c r="M41" s="75"/>
      <c r="N41" s="97"/>
    </row>
    <row r="42" spans="1:14" ht="27" customHeight="1" x14ac:dyDescent="0.4">
      <c r="A42" s="82" t="s">
        <v>69</v>
      </c>
      <c r="B42" s="83">
        <v>1</v>
      </c>
      <c r="C42" s="102" t="s">
        <v>70</v>
      </c>
      <c r="D42" s="103">
        <f>AVERAGE(D38:D41)</f>
        <v>49898224.333333336</v>
      </c>
      <c r="E42" s="104">
        <f>AVERAGE(E38:E41)</f>
        <v>46387610.007932983</v>
      </c>
      <c r="F42" s="103">
        <f>AVERAGE(F38:F41)</f>
        <v>60925838.666666664</v>
      </c>
      <c r="G42" s="105">
        <f>AVERAGE(G38:G41)</f>
        <v>46606111.047364064</v>
      </c>
      <c r="H42" s="106"/>
    </row>
    <row r="43" spans="1:14" ht="26.25" customHeight="1" x14ac:dyDescent="0.4">
      <c r="A43" s="82" t="s">
        <v>71</v>
      </c>
      <c r="B43" s="83">
        <v>1</v>
      </c>
      <c r="C43" s="107" t="s">
        <v>72</v>
      </c>
      <c r="D43" s="108">
        <v>14.4</v>
      </c>
      <c r="E43" s="97"/>
      <c r="F43" s="108">
        <v>17.5</v>
      </c>
      <c r="H43" s="106"/>
    </row>
    <row r="44" spans="1:14" ht="26.25" customHeight="1" x14ac:dyDescent="0.4">
      <c r="A44" s="82" t="s">
        <v>73</v>
      </c>
      <c r="B44" s="83">
        <v>1</v>
      </c>
      <c r="C44" s="109" t="s">
        <v>74</v>
      </c>
      <c r="D44" s="110">
        <f>D43*$B$34</f>
        <v>14.4</v>
      </c>
      <c r="E44" s="111"/>
      <c r="F44" s="110">
        <f>F43*$B$34</f>
        <v>17.5</v>
      </c>
      <c r="H44" s="106"/>
    </row>
    <row r="45" spans="1:14" ht="19.5" customHeight="1" x14ac:dyDescent="0.3">
      <c r="A45" s="82" t="s">
        <v>75</v>
      </c>
      <c r="B45" s="112">
        <f>(B44/B43)*(B42/B41)*(B40/B39)*(B38/B37)*B36</f>
        <v>83.333333333333343</v>
      </c>
      <c r="C45" s="109" t="s">
        <v>76</v>
      </c>
      <c r="D45" s="113">
        <f>D44*$B$30/100</f>
        <v>14.3424</v>
      </c>
      <c r="E45" s="114"/>
      <c r="F45" s="113">
        <f>F44*$B$30/100</f>
        <v>17.43</v>
      </c>
      <c r="H45" s="106"/>
    </row>
    <row r="46" spans="1:14" ht="19.5" customHeight="1" x14ac:dyDescent="0.3">
      <c r="A46" s="921" t="s">
        <v>77</v>
      </c>
      <c r="B46" s="922"/>
      <c r="C46" s="109" t="s">
        <v>78</v>
      </c>
      <c r="D46" s="115">
        <f>D45/$B$45</f>
        <v>0.17210879999999998</v>
      </c>
      <c r="E46" s="116"/>
      <c r="F46" s="117">
        <f>F45/$B$45</f>
        <v>0.20915999999999998</v>
      </c>
      <c r="H46" s="106"/>
    </row>
    <row r="47" spans="1:14" ht="27" customHeight="1" x14ac:dyDescent="0.4">
      <c r="A47" s="923"/>
      <c r="B47" s="924"/>
      <c r="C47" s="118" t="s">
        <v>79</v>
      </c>
      <c r="D47" s="119">
        <v>0.16</v>
      </c>
      <c r="E47" s="120"/>
      <c r="F47" s="116"/>
      <c r="H47" s="106"/>
    </row>
    <row r="48" spans="1:14" ht="18.75" x14ac:dyDescent="0.3">
      <c r="C48" s="121" t="s">
        <v>80</v>
      </c>
      <c r="D48" s="113">
        <f>D47*$B$45</f>
        <v>13.333333333333336</v>
      </c>
      <c r="F48" s="122"/>
      <c r="H48" s="106"/>
    </row>
    <row r="49" spans="1:12" ht="19.5" customHeight="1" x14ac:dyDescent="0.3">
      <c r="C49" s="123" t="s">
        <v>81</v>
      </c>
      <c r="D49" s="124">
        <f>D48/B34</f>
        <v>13.333333333333336</v>
      </c>
      <c r="F49" s="122"/>
      <c r="H49" s="106"/>
    </row>
    <row r="50" spans="1:12" ht="18.75" x14ac:dyDescent="0.3">
      <c r="C50" s="80" t="s">
        <v>82</v>
      </c>
      <c r="D50" s="125">
        <f>AVERAGE(E38:E41,G38:G41)</f>
        <v>46496860.527648531</v>
      </c>
      <c r="F50" s="126"/>
      <c r="H50" s="106"/>
    </row>
    <row r="51" spans="1:12" ht="18.75" x14ac:dyDescent="0.3">
      <c r="C51" s="82" t="s">
        <v>83</v>
      </c>
      <c r="D51" s="127">
        <f>STDEV(E38:E41,G38:G41)/D50</f>
        <v>3.1648459821371887E-3</v>
      </c>
      <c r="F51" s="126"/>
      <c r="H51" s="106"/>
    </row>
    <row r="52" spans="1:12" ht="19.5" customHeight="1" x14ac:dyDescent="0.3">
      <c r="C52" s="128" t="s">
        <v>19</v>
      </c>
      <c r="D52" s="129">
        <f>COUNT(E38:E41,G38:G41)</f>
        <v>6</v>
      </c>
      <c r="F52" s="126"/>
    </row>
    <row r="54" spans="1:12" ht="18.75" x14ac:dyDescent="0.3">
      <c r="A54" s="130" t="s">
        <v>1</v>
      </c>
      <c r="B54" s="131" t="s">
        <v>84</v>
      </c>
    </row>
    <row r="55" spans="1:12" ht="18.75" x14ac:dyDescent="0.3">
      <c r="A55" s="58" t="s">
        <v>85</v>
      </c>
      <c r="B55" s="132" t="str">
        <f>B21</f>
        <v>RIFAMPICIN 150mg</v>
      </c>
    </row>
    <row r="56" spans="1:12" ht="26.25" customHeight="1" x14ac:dyDescent="0.4">
      <c r="A56" s="133" t="s">
        <v>86</v>
      </c>
      <c r="B56" s="134">
        <v>150</v>
      </c>
      <c r="C56" s="58" t="str">
        <f>B20</f>
        <v>RIFAMPICIN</v>
      </c>
      <c r="H56" s="135"/>
    </row>
    <row r="57" spans="1:12" ht="18.75" x14ac:dyDescent="0.3">
      <c r="A57" s="132" t="s">
        <v>87</v>
      </c>
      <c r="B57" s="223">
        <f>'Uniformity (2)'!C46</f>
        <v>1256.998</v>
      </c>
      <c r="H57" s="135"/>
    </row>
    <row r="58" spans="1:12" ht="19.5" customHeight="1" x14ac:dyDescent="0.3">
      <c r="H58" s="135"/>
    </row>
    <row r="59" spans="1:12" s="14" customFormat="1" ht="27" customHeight="1" x14ac:dyDescent="0.4">
      <c r="A59" s="80" t="s">
        <v>88</v>
      </c>
      <c r="B59" s="81">
        <v>200</v>
      </c>
      <c r="C59" s="58"/>
      <c r="D59" s="136" t="s">
        <v>89</v>
      </c>
      <c r="E59" s="137" t="s">
        <v>61</v>
      </c>
      <c r="F59" s="137" t="s">
        <v>62</v>
      </c>
      <c r="G59" s="137" t="s">
        <v>90</v>
      </c>
      <c r="H59" s="84" t="s">
        <v>91</v>
      </c>
      <c r="L59" s="70"/>
    </row>
    <row r="60" spans="1:12" s="14" customFormat="1" ht="26.25" customHeight="1" x14ac:dyDescent="0.4">
      <c r="A60" s="82" t="s">
        <v>92</v>
      </c>
      <c r="B60" s="83">
        <v>4</v>
      </c>
      <c r="C60" s="925" t="s">
        <v>93</v>
      </c>
      <c r="D60" s="928">
        <v>1258.24</v>
      </c>
      <c r="E60" s="138">
        <v>1</v>
      </c>
      <c r="F60" s="139">
        <v>46552710</v>
      </c>
      <c r="G60" s="224">
        <f>IF(ISBLANK(F60),"-",(F60/$D$50*$D$47*$B$68)*($B$57/$D$60))</f>
        <v>160.03405860690339</v>
      </c>
      <c r="H60" s="140">
        <f t="shared" ref="H60:H71" si="0">IF(ISBLANK(F60),"-",G60/$B$56)</f>
        <v>1.0668937240460226</v>
      </c>
      <c r="L60" s="70"/>
    </row>
    <row r="61" spans="1:12" s="14" customFormat="1" ht="26.25" customHeight="1" x14ac:dyDescent="0.4">
      <c r="A61" s="82" t="s">
        <v>94</v>
      </c>
      <c r="B61" s="83">
        <v>20</v>
      </c>
      <c r="C61" s="926"/>
      <c r="D61" s="929"/>
      <c r="E61" s="141">
        <v>2</v>
      </c>
      <c r="F61" s="94">
        <v>45906255</v>
      </c>
      <c r="G61" s="225">
        <f>IF(ISBLANK(F61),"-",(F61/$D$50*$D$47*$B$68)*($B$57/$D$60))</f>
        <v>157.81174292739246</v>
      </c>
      <c r="H61" s="142">
        <f t="shared" si="0"/>
        <v>1.0520782861826163</v>
      </c>
      <c r="L61" s="70"/>
    </row>
    <row r="62" spans="1:12" s="14" customFormat="1" ht="26.25" customHeight="1" x14ac:dyDescent="0.4">
      <c r="A62" s="82" t="s">
        <v>95</v>
      </c>
      <c r="B62" s="83">
        <v>1</v>
      </c>
      <c r="C62" s="926"/>
      <c r="D62" s="929"/>
      <c r="E62" s="141">
        <v>3</v>
      </c>
      <c r="F62" s="143">
        <v>45441845</v>
      </c>
      <c r="G62" s="225">
        <f>IF(ISBLANK(F62),"-",(F62/$D$50*$D$47*$B$68)*($B$57/$D$60))</f>
        <v>156.21524259137269</v>
      </c>
      <c r="H62" s="142">
        <f t="shared" si="0"/>
        <v>1.0414349506091511</v>
      </c>
      <c r="L62" s="70"/>
    </row>
    <row r="63" spans="1:12" ht="27" customHeight="1" x14ac:dyDescent="0.4">
      <c r="A63" s="82" t="s">
        <v>96</v>
      </c>
      <c r="B63" s="83">
        <v>1</v>
      </c>
      <c r="C63" s="927"/>
      <c r="D63" s="930"/>
      <c r="E63" s="144">
        <v>4</v>
      </c>
      <c r="F63" s="145"/>
      <c r="G63" s="225" t="str">
        <f>IF(ISBLANK(F63),"-",(F63/$D$50*$D$47*$B$68)*($B$57/$D$60))</f>
        <v>-</v>
      </c>
      <c r="H63" s="142" t="str">
        <f t="shared" si="0"/>
        <v>-</v>
      </c>
    </row>
    <row r="64" spans="1:12" ht="26.25" customHeight="1" x14ac:dyDescent="0.4">
      <c r="A64" s="82" t="s">
        <v>97</v>
      </c>
      <c r="B64" s="83">
        <v>1</v>
      </c>
      <c r="C64" s="925" t="s">
        <v>98</v>
      </c>
      <c r="D64" s="928">
        <v>1255.18</v>
      </c>
      <c r="E64" s="138">
        <v>1</v>
      </c>
      <c r="F64" s="139">
        <v>46443225</v>
      </c>
      <c r="G64" s="226">
        <f>IF(ISBLANK(F64),"-",(F64/$D$50*$D$47*$B$68)*($B$57/$D$64))</f>
        <v>160.04691151682721</v>
      </c>
      <c r="H64" s="146">
        <f t="shared" si="0"/>
        <v>1.0669794101121814</v>
      </c>
    </row>
    <row r="65" spans="1:8" ht="26.25" customHeight="1" x14ac:dyDescent="0.4">
      <c r="A65" s="82" t="s">
        <v>99</v>
      </c>
      <c r="B65" s="83">
        <v>1</v>
      </c>
      <c r="C65" s="926"/>
      <c r="D65" s="929"/>
      <c r="E65" s="141">
        <v>2</v>
      </c>
      <c r="F65" s="94">
        <v>45803554</v>
      </c>
      <c r="G65" s="227">
        <f>IF(ISBLANK(F65),"-",(F65/$D$50*$D$47*$B$68)*($B$57/$D$64))</f>
        <v>157.84255624354716</v>
      </c>
      <c r="H65" s="147">
        <f t="shared" si="0"/>
        <v>1.0522837082903145</v>
      </c>
    </row>
    <row r="66" spans="1:8" ht="26.25" customHeight="1" x14ac:dyDescent="0.4">
      <c r="A66" s="82" t="s">
        <v>100</v>
      </c>
      <c r="B66" s="83">
        <v>1</v>
      </c>
      <c r="C66" s="926"/>
      <c r="D66" s="929"/>
      <c r="E66" s="141">
        <v>3</v>
      </c>
      <c r="F66" s="94">
        <v>45533307</v>
      </c>
      <c r="G66" s="227">
        <f>IF(ISBLANK(F66),"-",(F66/$D$50*$D$47*$B$68)*($B$57/$D$64))</f>
        <v>156.91126437704378</v>
      </c>
      <c r="H66" s="147">
        <f t="shared" si="0"/>
        <v>1.0460750958469585</v>
      </c>
    </row>
    <row r="67" spans="1:8" ht="27" customHeight="1" x14ac:dyDescent="0.4">
      <c r="A67" s="82" t="s">
        <v>101</v>
      </c>
      <c r="B67" s="83">
        <v>1</v>
      </c>
      <c r="C67" s="927"/>
      <c r="D67" s="930"/>
      <c r="E67" s="144">
        <v>4</v>
      </c>
      <c r="F67" s="145"/>
      <c r="G67" s="228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4">
      <c r="A68" s="82" t="s">
        <v>102</v>
      </c>
      <c r="B68" s="149">
        <f>(B67/B66)*(B65/B64)*(B63/B62)*(B61/B60)*B59</f>
        <v>1000</v>
      </c>
      <c r="C68" s="925" t="s">
        <v>103</v>
      </c>
      <c r="D68" s="928">
        <v>1258.08</v>
      </c>
      <c r="E68" s="138">
        <v>1</v>
      </c>
      <c r="F68" s="139">
        <v>46973879</v>
      </c>
      <c r="G68" s="226">
        <f>IF(ISBLANK(F68),"-",(F68/$D$50*$D$47*$B$68)*($B$57/$D$68))</f>
        <v>161.50244646976608</v>
      </c>
      <c r="H68" s="142">
        <f t="shared" si="0"/>
        <v>1.0766829764651071</v>
      </c>
    </row>
    <row r="69" spans="1:8" ht="27" customHeight="1" x14ac:dyDescent="0.4">
      <c r="A69" s="128" t="s">
        <v>104</v>
      </c>
      <c r="B69" s="150">
        <f>(D47*B68)/B56*B57</f>
        <v>1340.7978666666668</v>
      </c>
      <c r="C69" s="926"/>
      <c r="D69" s="929"/>
      <c r="E69" s="141">
        <v>2</v>
      </c>
      <c r="F69" s="94">
        <v>46836089</v>
      </c>
      <c r="G69" s="227">
        <f>IF(ISBLANK(F69),"-",(F69/$D$50*$D$47*$B$68)*($B$57/$D$68))</f>
        <v>161.02870611506663</v>
      </c>
      <c r="H69" s="142">
        <f t="shared" si="0"/>
        <v>1.0735247074337775</v>
      </c>
    </row>
    <row r="70" spans="1:8" ht="26.25" customHeight="1" x14ac:dyDescent="0.4">
      <c r="A70" s="938" t="s">
        <v>77</v>
      </c>
      <c r="B70" s="939"/>
      <c r="C70" s="926"/>
      <c r="D70" s="929"/>
      <c r="E70" s="141">
        <v>3</v>
      </c>
      <c r="F70" s="94">
        <v>46563689</v>
      </c>
      <c r="G70" s="227">
        <f>IF(ISBLANK(F70),"-",(F70/$D$50*$D$47*$B$68)*($B$57/$D$68))</f>
        <v>160.09215866880686</v>
      </c>
      <c r="H70" s="142">
        <f t="shared" si="0"/>
        <v>1.0672810577920457</v>
      </c>
    </row>
    <row r="71" spans="1:8" ht="27" customHeight="1" x14ac:dyDescent="0.4">
      <c r="A71" s="940"/>
      <c r="B71" s="941"/>
      <c r="C71" s="937"/>
      <c r="D71" s="930"/>
      <c r="E71" s="144">
        <v>4</v>
      </c>
      <c r="F71" s="145"/>
      <c r="G71" s="228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52"/>
      <c r="B72" s="152"/>
      <c r="C72" s="152"/>
      <c r="D72" s="152"/>
      <c r="E72" s="152"/>
      <c r="F72" s="154" t="s">
        <v>70</v>
      </c>
      <c r="G72" s="233">
        <f>AVERAGE(G60:G71)</f>
        <v>159.05389861296959</v>
      </c>
      <c r="H72" s="155">
        <f>AVERAGE(H60:H71)</f>
        <v>1.0603593240864637</v>
      </c>
    </row>
    <row r="73" spans="1:8" ht="26.25" customHeight="1" x14ac:dyDescent="0.4">
      <c r="C73" s="152"/>
      <c r="D73" s="152"/>
      <c r="E73" s="152"/>
      <c r="F73" s="156" t="s">
        <v>83</v>
      </c>
      <c r="G73" s="229">
        <f>STDEV(G60:G71)/G72</f>
        <v>1.1883257945269527E-2</v>
      </c>
      <c r="H73" s="229">
        <f>STDEV(H60:H71)/H72</f>
        <v>1.1883257945269541E-2</v>
      </c>
    </row>
    <row r="74" spans="1:8" ht="27" customHeight="1" x14ac:dyDescent="0.4">
      <c r="A74" s="152"/>
      <c r="B74" s="152"/>
      <c r="C74" s="153"/>
      <c r="D74" s="153"/>
      <c r="E74" s="157"/>
      <c r="F74" s="158" t="s">
        <v>19</v>
      </c>
      <c r="G74" s="159">
        <f>COUNT(G60:G71)</f>
        <v>9</v>
      </c>
      <c r="H74" s="159">
        <f>COUNT(H60:H71)</f>
        <v>9</v>
      </c>
    </row>
    <row r="76" spans="1:8" ht="26.25" customHeight="1" x14ac:dyDescent="0.4">
      <c r="A76" s="66" t="s">
        <v>105</v>
      </c>
      <c r="B76" s="160" t="s">
        <v>106</v>
      </c>
      <c r="C76" s="933" t="str">
        <f>B20</f>
        <v>RIFAMPICIN</v>
      </c>
      <c r="D76" s="933"/>
      <c r="E76" s="161" t="s">
        <v>107</v>
      </c>
      <c r="F76" s="161"/>
      <c r="G76" s="162">
        <f>H72</f>
        <v>1.0603593240864637</v>
      </c>
      <c r="H76" s="163"/>
    </row>
    <row r="77" spans="1:8" ht="18.75" x14ac:dyDescent="0.3">
      <c r="A77" s="65" t="s">
        <v>108</v>
      </c>
      <c r="B77" s="65" t="s">
        <v>109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919" t="str">
        <f>B26</f>
        <v>RIFAMPICIN</v>
      </c>
      <c r="C79" s="919"/>
    </row>
    <row r="80" spans="1:8" ht="26.25" customHeight="1" x14ac:dyDescent="0.4">
      <c r="A80" s="67" t="s">
        <v>47</v>
      </c>
      <c r="B80" s="919" t="str">
        <f>B27</f>
        <v xml:space="preserve">R5 1 </v>
      </c>
      <c r="C80" s="919"/>
    </row>
    <row r="81" spans="1:12" ht="27" customHeight="1" x14ac:dyDescent="0.4">
      <c r="A81" s="67" t="s">
        <v>6</v>
      </c>
      <c r="B81" s="164">
        <f>B28</f>
        <v>99.6</v>
      </c>
    </row>
    <row r="82" spans="1:12" s="14" customFormat="1" ht="27" customHeight="1" x14ac:dyDescent="0.4">
      <c r="A82" s="67" t="s">
        <v>48</v>
      </c>
      <c r="B82" s="69">
        <v>0</v>
      </c>
      <c r="C82" s="910" t="s">
        <v>49</v>
      </c>
      <c r="D82" s="911"/>
      <c r="E82" s="911"/>
      <c r="F82" s="911"/>
      <c r="G82" s="912"/>
      <c r="I82" s="70"/>
      <c r="J82" s="70"/>
      <c r="K82" s="70"/>
      <c r="L82" s="70"/>
    </row>
    <row r="83" spans="1:12" s="14" customFormat="1" ht="19.5" customHeight="1" x14ac:dyDescent="0.3">
      <c r="A83" s="67" t="s">
        <v>50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51</v>
      </c>
      <c r="B84" s="74">
        <v>1</v>
      </c>
      <c r="C84" s="913" t="s">
        <v>110</v>
      </c>
      <c r="D84" s="914"/>
      <c r="E84" s="914"/>
      <c r="F84" s="914"/>
      <c r="G84" s="914"/>
      <c r="H84" s="915"/>
      <c r="I84" s="70"/>
      <c r="J84" s="70"/>
      <c r="K84" s="70"/>
      <c r="L84" s="70"/>
    </row>
    <row r="85" spans="1:12" s="14" customFormat="1" ht="27" customHeight="1" x14ac:dyDescent="0.4">
      <c r="A85" s="67" t="s">
        <v>53</v>
      </c>
      <c r="B85" s="74">
        <v>1</v>
      </c>
      <c r="C85" s="913" t="s">
        <v>111</v>
      </c>
      <c r="D85" s="914"/>
      <c r="E85" s="914"/>
      <c r="F85" s="914"/>
      <c r="G85" s="914"/>
      <c r="H85" s="915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55</v>
      </c>
      <c r="B87" s="79">
        <f>B84/B85</f>
        <v>1</v>
      </c>
      <c r="C87" s="58" t="s">
        <v>56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57</v>
      </c>
      <c r="B89" s="81">
        <v>5</v>
      </c>
      <c r="D89" s="165" t="s">
        <v>58</v>
      </c>
      <c r="E89" s="166"/>
      <c r="F89" s="916" t="s">
        <v>59</v>
      </c>
      <c r="G89" s="918"/>
    </row>
    <row r="90" spans="1:12" ht="27" customHeight="1" x14ac:dyDescent="0.4">
      <c r="A90" s="82" t="s">
        <v>60</v>
      </c>
      <c r="B90" s="83">
        <v>3</v>
      </c>
      <c r="C90" s="167" t="s">
        <v>61</v>
      </c>
      <c r="D90" s="85" t="s">
        <v>62</v>
      </c>
      <c r="E90" s="86" t="s">
        <v>63</v>
      </c>
      <c r="F90" s="85" t="s">
        <v>62</v>
      </c>
      <c r="G90" s="168" t="s">
        <v>63</v>
      </c>
      <c r="I90" s="88" t="s">
        <v>64</v>
      </c>
    </row>
    <row r="91" spans="1:12" ht="26.25" customHeight="1" x14ac:dyDescent="0.4">
      <c r="A91" s="82" t="s">
        <v>65</v>
      </c>
      <c r="B91" s="83">
        <v>50</v>
      </c>
      <c r="C91" s="169">
        <v>1</v>
      </c>
      <c r="D91" s="594">
        <v>49822553</v>
      </c>
      <c r="E91" s="90">
        <f>IF(ISBLANK(D91),"-",$D$101/$D$98*D91)</f>
        <v>48247148.509160101</v>
      </c>
      <c r="F91" s="594">
        <v>60858349</v>
      </c>
      <c r="G91" s="91">
        <f>IF(ISBLANK(F91),"-",$D$101/$F$98*F91)</f>
        <v>48494254.000127502</v>
      </c>
      <c r="I91" s="92"/>
    </row>
    <row r="92" spans="1:12" ht="26.25" customHeight="1" x14ac:dyDescent="0.4">
      <c r="A92" s="82" t="s">
        <v>66</v>
      </c>
      <c r="B92" s="83">
        <v>1</v>
      </c>
      <c r="C92" s="153">
        <v>2</v>
      </c>
      <c r="D92" s="595">
        <v>50013796</v>
      </c>
      <c r="E92" s="95">
        <f>IF(ISBLANK(D92),"-",$D$101/$D$98*D92)</f>
        <v>48432344.346521892</v>
      </c>
      <c r="F92" s="595">
        <v>60847155</v>
      </c>
      <c r="G92" s="96">
        <f>IF(ISBLANK(F92),"-",$D$101/$F$98*F92)</f>
        <v>48485334.193918534</v>
      </c>
      <c r="I92" s="920">
        <f>ABS((F96/D96*D95)-F95)/D95</f>
        <v>5.7243616904717473E-3</v>
      </c>
    </row>
    <row r="93" spans="1:12" ht="26.25" customHeight="1" x14ac:dyDescent="0.4">
      <c r="A93" s="82" t="s">
        <v>67</v>
      </c>
      <c r="B93" s="83">
        <v>1</v>
      </c>
      <c r="C93" s="153">
        <v>3</v>
      </c>
      <c r="D93" s="595">
        <v>49858324</v>
      </c>
      <c r="E93" s="95">
        <f>IF(ISBLANK(D93),"-",$D$101/$D$98*D93)</f>
        <v>48281788.41910854</v>
      </c>
      <c r="F93" s="595">
        <v>61072012</v>
      </c>
      <c r="G93" s="96">
        <f>IF(ISBLANK(F93),"-",$D$101/$F$98*F93)</f>
        <v>48664508.828966662</v>
      </c>
      <c r="I93" s="920"/>
    </row>
    <row r="94" spans="1:12" ht="27" customHeight="1" x14ac:dyDescent="0.4">
      <c r="A94" s="82" t="s">
        <v>68</v>
      </c>
      <c r="B94" s="83">
        <v>1</v>
      </c>
      <c r="C94" s="170">
        <v>4</v>
      </c>
      <c r="D94" s="596"/>
      <c r="E94" s="99" t="str">
        <f>IF(ISBLANK(D94),"-",$D$101/$D$98*D94)</f>
        <v>-</v>
      </c>
      <c r="F94" s="596"/>
      <c r="G94" s="100" t="str">
        <f>IF(ISBLANK(F94),"-",$D$101/$F$98*F94)</f>
        <v>-</v>
      </c>
      <c r="I94" s="101"/>
    </row>
    <row r="95" spans="1:12" ht="27" customHeight="1" x14ac:dyDescent="0.4">
      <c r="A95" s="82" t="s">
        <v>69</v>
      </c>
      <c r="B95" s="83">
        <v>1</v>
      </c>
      <c r="C95" s="171" t="s">
        <v>70</v>
      </c>
      <c r="D95" s="172">
        <f>AVERAGE(D91:D94)</f>
        <v>49898224.333333336</v>
      </c>
      <c r="E95" s="104">
        <f>AVERAGE(E91:E94)</f>
        <v>48320427.091596842</v>
      </c>
      <c r="F95" s="173">
        <f>AVERAGE(F91:F94)</f>
        <v>60925838.666666664</v>
      </c>
      <c r="G95" s="174">
        <f>AVERAGE(G91:G94)</f>
        <v>48548032.34100423</v>
      </c>
    </row>
    <row r="96" spans="1:12" ht="26.25" customHeight="1" x14ac:dyDescent="0.4">
      <c r="A96" s="82" t="s">
        <v>71</v>
      </c>
      <c r="B96" s="68">
        <v>1</v>
      </c>
      <c r="C96" s="175" t="s">
        <v>112</v>
      </c>
      <c r="D96" s="176">
        <v>14.4</v>
      </c>
      <c r="E96" s="97"/>
      <c r="F96" s="108">
        <v>17.5</v>
      </c>
    </row>
    <row r="97" spans="1:10" ht="26.25" customHeight="1" x14ac:dyDescent="0.4">
      <c r="A97" s="82" t="s">
        <v>73</v>
      </c>
      <c r="B97" s="68">
        <v>1</v>
      </c>
      <c r="C97" s="177" t="s">
        <v>113</v>
      </c>
      <c r="D97" s="178">
        <f>D96*$B$87</f>
        <v>14.4</v>
      </c>
      <c r="E97" s="111"/>
      <c r="F97" s="110">
        <f>F96*$B$87</f>
        <v>17.5</v>
      </c>
    </row>
    <row r="98" spans="1:10" ht="19.5" customHeight="1" x14ac:dyDescent="0.3">
      <c r="A98" s="82" t="s">
        <v>75</v>
      </c>
      <c r="B98" s="179">
        <f>(B97/B96)*(B95/B94)*(B93/B92)*(B91/B90)*B89</f>
        <v>83.333333333333343</v>
      </c>
      <c r="C98" s="177" t="s">
        <v>114</v>
      </c>
      <c r="D98" s="180">
        <f>D97*$B$83/100</f>
        <v>14.3424</v>
      </c>
      <c r="E98" s="114"/>
      <c r="F98" s="113">
        <f>F97*$B$83/100</f>
        <v>17.43</v>
      </c>
    </row>
    <row r="99" spans="1:10" ht="19.5" customHeight="1" x14ac:dyDescent="0.3">
      <c r="A99" s="921" t="s">
        <v>77</v>
      </c>
      <c r="B99" s="935"/>
      <c r="C99" s="177" t="s">
        <v>115</v>
      </c>
      <c r="D99" s="181">
        <f>D98/$B$98</f>
        <v>0.17210879999999998</v>
      </c>
      <c r="E99" s="114"/>
      <c r="F99" s="117">
        <f>F98/$B$98</f>
        <v>0.20915999999999998</v>
      </c>
      <c r="G99" s="182"/>
      <c r="H99" s="106"/>
    </row>
    <row r="100" spans="1:10" ht="19.5" customHeight="1" x14ac:dyDescent="0.3">
      <c r="A100" s="923"/>
      <c r="B100" s="936"/>
      <c r="C100" s="177" t="s">
        <v>79</v>
      </c>
      <c r="D100" s="183">
        <f>$B$56/$B$116</f>
        <v>0.16666666666666666</v>
      </c>
      <c r="F100" s="122"/>
      <c r="G100" s="184"/>
      <c r="H100" s="106"/>
    </row>
    <row r="101" spans="1:10" ht="18.75" x14ac:dyDescent="0.3">
      <c r="C101" s="177" t="s">
        <v>80</v>
      </c>
      <c r="D101" s="178">
        <f>D100*$B$98</f>
        <v>13.888888888888889</v>
      </c>
      <c r="F101" s="122"/>
      <c r="G101" s="182"/>
      <c r="H101" s="106"/>
    </row>
    <row r="102" spans="1:10" ht="19.5" customHeight="1" x14ac:dyDescent="0.3">
      <c r="C102" s="185" t="s">
        <v>81</v>
      </c>
      <c r="D102" s="186">
        <f>D101/B34</f>
        <v>13.888888888888889</v>
      </c>
      <c r="F102" s="126"/>
      <c r="G102" s="182"/>
      <c r="H102" s="106"/>
      <c r="J102" s="187"/>
    </row>
    <row r="103" spans="1:10" ht="18.75" x14ac:dyDescent="0.3">
      <c r="C103" s="188" t="s">
        <v>116</v>
      </c>
      <c r="D103" s="189">
        <f>AVERAGE(E91:E94,G91:G94)</f>
        <v>48434229.71630054</v>
      </c>
      <c r="F103" s="126"/>
      <c r="G103" s="190"/>
      <c r="H103" s="106"/>
      <c r="J103" s="191"/>
    </row>
    <row r="104" spans="1:10" ht="18.75" x14ac:dyDescent="0.3">
      <c r="C104" s="156" t="s">
        <v>83</v>
      </c>
      <c r="D104" s="192">
        <f>STDEV(E91:E94,G91:G94)/D103</f>
        <v>3.164845982137158E-3</v>
      </c>
      <c r="F104" s="126"/>
      <c r="G104" s="182"/>
      <c r="H104" s="106"/>
      <c r="J104" s="191"/>
    </row>
    <row r="105" spans="1:10" ht="19.5" customHeight="1" x14ac:dyDescent="0.3">
      <c r="C105" s="158" t="s">
        <v>19</v>
      </c>
      <c r="D105" s="193">
        <f>COUNT(E91:E94,G91:G94)</f>
        <v>6</v>
      </c>
      <c r="F105" s="126"/>
      <c r="G105" s="182"/>
      <c r="H105" s="106"/>
      <c r="J105" s="191"/>
    </row>
    <row r="106" spans="1:10" ht="19.5" customHeight="1" x14ac:dyDescent="0.3">
      <c r="A106" s="130"/>
      <c r="B106" s="130"/>
      <c r="C106" s="130"/>
      <c r="D106" s="130"/>
      <c r="E106" s="130"/>
    </row>
    <row r="107" spans="1:10" ht="26.25" customHeight="1" x14ac:dyDescent="0.4">
      <c r="A107" s="80" t="s">
        <v>117</v>
      </c>
      <c r="B107" s="81">
        <v>900</v>
      </c>
      <c r="C107" s="194" t="s">
        <v>118</v>
      </c>
      <c r="D107" s="195" t="s">
        <v>62</v>
      </c>
      <c r="E107" s="196" t="s">
        <v>119</v>
      </c>
      <c r="F107" s="197" t="s">
        <v>120</v>
      </c>
    </row>
    <row r="108" spans="1:10" ht="26.25" customHeight="1" x14ac:dyDescent="0.4">
      <c r="A108" s="82" t="s">
        <v>121</v>
      </c>
      <c r="B108" s="83">
        <v>1</v>
      </c>
      <c r="C108" s="198">
        <v>1</v>
      </c>
      <c r="D108" s="199">
        <v>46137987</v>
      </c>
      <c r="E108" s="230">
        <f t="shared" ref="E108:E113" si="1">IF(ISBLANK(D108),"-",D108/$D$103*$D$100*$B$116)</f>
        <v>142.88857468235608</v>
      </c>
      <c r="F108" s="200">
        <f t="shared" ref="F108:F113" si="2">IF(ISBLANK(D108), "-", E108/$B$56)</f>
        <v>0.95259049788237382</v>
      </c>
    </row>
    <row r="109" spans="1:10" ht="26.25" customHeight="1" x14ac:dyDescent="0.4">
      <c r="A109" s="82" t="s">
        <v>94</v>
      </c>
      <c r="B109" s="83">
        <v>1</v>
      </c>
      <c r="C109" s="198">
        <v>2</v>
      </c>
      <c r="D109" s="199">
        <v>45772639</v>
      </c>
      <c r="E109" s="231">
        <f t="shared" si="1"/>
        <v>141.7570980320408</v>
      </c>
      <c r="F109" s="201">
        <f t="shared" si="2"/>
        <v>0.94504732021360538</v>
      </c>
    </row>
    <row r="110" spans="1:10" ht="26.25" customHeight="1" x14ac:dyDescent="0.4">
      <c r="A110" s="82" t="s">
        <v>95</v>
      </c>
      <c r="B110" s="83">
        <v>1</v>
      </c>
      <c r="C110" s="198">
        <v>3</v>
      </c>
      <c r="D110" s="199">
        <v>47946203</v>
      </c>
      <c r="E110" s="231">
        <f t="shared" si="1"/>
        <v>148.48858941550495</v>
      </c>
      <c r="F110" s="201">
        <f t="shared" si="2"/>
        <v>0.9899239294366996</v>
      </c>
    </row>
    <row r="111" spans="1:10" ht="26.25" customHeight="1" x14ac:dyDescent="0.4">
      <c r="A111" s="82" t="s">
        <v>96</v>
      </c>
      <c r="B111" s="83">
        <v>1</v>
      </c>
      <c r="C111" s="198">
        <v>4</v>
      </c>
      <c r="D111" s="199">
        <v>45613529</v>
      </c>
      <c r="E111" s="231">
        <f t="shared" si="1"/>
        <v>141.26433702108233</v>
      </c>
      <c r="F111" s="201">
        <f t="shared" si="2"/>
        <v>0.94176224680721554</v>
      </c>
    </row>
    <row r="112" spans="1:10" ht="26.25" customHeight="1" x14ac:dyDescent="0.4">
      <c r="A112" s="82" t="s">
        <v>97</v>
      </c>
      <c r="B112" s="83">
        <v>1</v>
      </c>
      <c r="C112" s="198">
        <v>5</v>
      </c>
      <c r="D112" s="199">
        <v>45705723</v>
      </c>
      <c r="E112" s="231">
        <f t="shared" si="1"/>
        <v>141.54986029833898</v>
      </c>
      <c r="F112" s="201">
        <f t="shared" si="2"/>
        <v>0.94366573532225995</v>
      </c>
    </row>
    <row r="113" spans="1:10" ht="26.25" customHeight="1" x14ac:dyDescent="0.4">
      <c r="A113" s="82" t="s">
        <v>99</v>
      </c>
      <c r="B113" s="83">
        <v>1</v>
      </c>
      <c r="C113" s="202">
        <v>6</v>
      </c>
      <c r="D113" s="203">
        <v>47623502</v>
      </c>
      <c r="E113" s="232">
        <f t="shared" si="1"/>
        <v>147.48918981147429</v>
      </c>
      <c r="F113" s="204">
        <f t="shared" si="2"/>
        <v>0.98326126540982861</v>
      </c>
    </row>
    <row r="114" spans="1:10" ht="26.25" customHeight="1" x14ac:dyDescent="0.4">
      <c r="A114" s="82" t="s">
        <v>100</v>
      </c>
      <c r="B114" s="83">
        <v>1</v>
      </c>
      <c r="C114" s="198"/>
      <c r="D114" s="153"/>
      <c r="E114" s="57"/>
      <c r="F114" s="205"/>
    </row>
    <row r="115" spans="1:10" ht="26.25" customHeight="1" x14ac:dyDescent="0.4">
      <c r="A115" s="82" t="s">
        <v>101</v>
      </c>
      <c r="B115" s="83">
        <v>1</v>
      </c>
      <c r="C115" s="198"/>
      <c r="D115" s="206" t="s">
        <v>70</v>
      </c>
      <c r="E115" s="234">
        <f>AVERAGE(E108:E113)</f>
        <v>143.90627487679959</v>
      </c>
      <c r="F115" s="207">
        <f>AVERAGE(F108:F113)</f>
        <v>0.95937516584533056</v>
      </c>
    </row>
    <row r="116" spans="1:10" ht="27" customHeight="1" x14ac:dyDescent="0.4">
      <c r="A116" s="82" t="s">
        <v>102</v>
      </c>
      <c r="B116" s="112">
        <f>(B115/B114)*(B113/B112)*(B111/B110)*(B109/B108)*B107</f>
        <v>900</v>
      </c>
      <c r="C116" s="208"/>
      <c r="D116" s="171" t="s">
        <v>83</v>
      </c>
      <c r="E116" s="209">
        <f>STDEV(E108:E113)/E115</f>
        <v>2.2414504780195053E-2</v>
      </c>
      <c r="F116" s="209">
        <f>STDEV(F108:F113)/F115</f>
        <v>2.2414504780195025E-2</v>
      </c>
      <c r="I116" s="57"/>
    </row>
    <row r="117" spans="1:10" ht="27" customHeight="1" x14ac:dyDescent="0.4">
      <c r="A117" s="921" t="s">
        <v>77</v>
      </c>
      <c r="B117" s="922"/>
      <c r="C117" s="210"/>
      <c r="D117" s="211" t="s">
        <v>19</v>
      </c>
      <c r="E117" s="212">
        <f>COUNT(E108:E113)</f>
        <v>6</v>
      </c>
      <c r="F117" s="212">
        <f>COUNT(F108:F113)</f>
        <v>6</v>
      </c>
      <c r="I117" s="57"/>
      <c r="J117" s="191"/>
    </row>
    <row r="118" spans="1:10" ht="19.5" customHeight="1" x14ac:dyDescent="0.3">
      <c r="A118" s="923"/>
      <c r="B118" s="924"/>
      <c r="C118" s="57"/>
      <c r="D118" s="57"/>
      <c r="E118" s="57"/>
      <c r="F118" s="153"/>
      <c r="G118" s="57"/>
      <c r="H118" s="57"/>
      <c r="I118" s="57"/>
    </row>
    <row r="119" spans="1:10" ht="18.75" x14ac:dyDescent="0.3">
      <c r="A119" s="221"/>
      <c r="B119" s="78"/>
      <c r="C119" s="57"/>
      <c r="D119" s="57"/>
      <c r="E119" s="57"/>
      <c r="F119" s="153"/>
      <c r="G119" s="57"/>
      <c r="H119" s="57"/>
      <c r="I119" s="57"/>
    </row>
    <row r="120" spans="1:10" ht="26.25" customHeight="1" x14ac:dyDescent="0.4">
      <c r="A120" s="66" t="s">
        <v>105</v>
      </c>
      <c r="B120" s="160" t="s">
        <v>122</v>
      </c>
      <c r="C120" s="933" t="str">
        <f>B20</f>
        <v>RIFAMPICIN</v>
      </c>
      <c r="D120" s="933"/>
      <c r="E120" s="161" t="s">
        <v>123</v>
      </c>
      <c r="F120" s="161"/>
      <c r="G120" s="162">
        <f>F115</f>
        <v>0.95937516584533056</v>
      </c>
      <c r="H120" s="57"/>
      <c r="I120" s="57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934" t="s">
        <v>25</v>
      </c>
      <c r="C122" s="934"/>
      <c r="E122" s="167" t="s">
        <v>26</v>
      </c>
      <c r="F122" s="215"/>
      <c r="G122" s="934" t="s">
        <v>27</v>
      </c>
      <c r="H122" s="934"/>
    </row>
    <row r="123" spans="1:10" ht="69.95" customHeight="1" x14ac:dyDescent="0.3">
      <c r="A123" s="216" t="s">
        <v>28</v>
      </c>
      <c r="B123" s="217"/>
      <c r="C123" s="217"/>
      <c r="E123" s="217"/>
      <c r="F123" s="57"/>
      <c r="G123" s="218"/>
      <c r="H123" s="218"/>
    </row>
    <row r="124" spans="1:10" ht="69.95" customHeight="1" x14ac:dyDescent="0.3">
      <c r="A124" s="216" t="s">
        <v>29</v>
      </c>
      <c r="B124" s="219"/>
      <c r="C124" s="219"/>
      <c r="E124" s="219"/>
      <c r="F124" s="57"/>
      <c r="G124" s="220"/>
      <c r="H124" s="220"/>
    </row>
    <row r="125" spans="1:10" ht="18.75" x14ac:dyDescent="0.3">
      <c r="A125" s="152"/>
      <c r="B125" s="152"/>
      <c r="C125" s="153"/>
      <c r="D125" s="153"/>
      <c r="E125" s="153"/>
      <c r="F125" s="157"/>
      <c r="G125" s="153"/>
      <c r="H125" s="153"/>
      <c r="I125" s="57"/>
    </row>
    <row r="126" spans="1:10" ht="18.75" x14ac:dyDescent="0.3">
      <c r="A126" s="152"/>
      <c r="B126" s="152"/>
      <c r="C126" s="153"/>
      <c r="D126" s="153"/>
      <c r="E126" s="153"/>
      <c r="F126" s="157"/>
      <c r="G126" s="153"/>
      <c r="H126" s="153"/>
      <c r="I126" s="57"/>
    </row>
    <row r="127" spans="1:10" ht="18.75" x14ac:dyDescent="0.3">
      <c r="A127" s="152"/>
      <c r="B127" s="152"/>
      <c r="C127" s="153"/>
      <c r="D127" s="153"/>
      <c r="E127" s="153"/>
      <c r="F127" s="157"/>
      <c r="G127" s="153"/>
      <c r="H127" s="153"/>
      <c r="I127" s="57"/>
    </row>
    <row r="128" spans="1:10" ht="18.75" x14ac:dyDescent="0.3">
      <c r="A128" s="152"/>
      <c r="B128" s="152"/>
      <c r="C128" s="153"/>
      <c r="D128" s="153"/>
      <c r="E128" s="153"/>
      <c r="F128" s="157"/>
      <c r="G128" s="153"/>
      <c r="H128" s="153"/>
      <c r="I128" s="57"/>
    </row>
    <row r="129" spans="1:9" ht="18.75" x14ac:dyDescent="0.3">
      <c r="A129" s="152"/>
      <c r="B129" s="152"/>
      <c r="C129" s="153"/>
      <c r="D129" s="153"/>
      <c r="E129" s="153"/>
      <c r="F129" s="157"/>
      <c r="G129" s="153"/>
      <c r="H129" s="153"/>
      <c r="I129" s="57"/>
    </row>
    <row r="130" spans="1:9" ht="18.75" x14ac:dyDescent="0.3">
      <c r="A130" s="152"/>
      <c r="B130" s="152"/>
      <c r="C130" s="153"/>
      <c r="D130" s="153"/>
      <c r="E130" s="153"/>
      <c r="F130" s="157"/>
      <c r="G130" s="153"/>
      <c r="H130" s="153"/>
      <c r="I130" s="57"/>
    </row>
    <row r="131" spans="1:9" ht="18.75" x14ac:dyDescent="0.3">
      <c r="A131" s="152"/>
      <c r="B131" s="152"/>
      <c r="C131" s="153"/>
      <c r="D131" s="153"/>
      <c r="E131" s="153"/>
      <c r="F131" s="157"/>
      <c r="G131" s="153"/>
      <c r="H131" s="153"/>
      <c r="I131" s="57"/>
    </row>
    <row r="132" spans="1:9" ht="18.75" x14ac:dyDescent="0.3">
      <c r="A132" s="152"/>
      <c r="B132" s="152"/>
      <c r="C132" s="153"/>
      <c r="D132" s="153"/>
      <c r="E132" s="153"/>
      <c r="F132" s="157"/>
      <c r="G132" s="153"/>
      <c r="H132" s="153"/>
      <c r="I132" s="57"/>
    </row>
    <row r="133" spans="1:9" ht="18.75" x14ac:dyDescent="0.3">
      <c r="A133" s="152"/>
      <c r="B133" s="152"/>
      <c r="C133" s="153"/>
      <c r="D133" s="153"/>
      <c r="E133" s="153"/>
      <c r="F133" s="157"/>
      <c r="G133" s="153"/>
      <c r="H133" s="153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G43" sqref="G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42" t="s">
        <v>0</v>
      </c>
      <c r="B15" s="942"/>
      <c r="C15" s="942"/>
      <c r="D15" s="942"/>
      <c r="E15" s="9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1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139</v>
      </c>
      <c r="C19" s="10"/>
      <c r="D19" s="10"/>
      <c r="E19" s="10"/>
    </row>
    <row r="20" spans="1:6" ht="16.5" customHeight="1" x14ac:dyDescent="0.3">
      <c r="A20" s="7" t="s">
        <v>7</v>
      </c>
      <c r="B20" s="12">
        <v>8.1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B20/50*25/50</f>
        <v>8.1000000000000003E-2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27493167</v>
      </c>
      <c r="C24" s="18">
        <v>8501.94</v>
      </c>
      <c r="D24" s="19">
        <v>1.07</v>
      </c>
      <c r="E24" s="20">
        <v>2.76</v>
      </c>
    </row>
    <row r="25" spans="1:6" ht="16.5" customHeight="1" x14ac:dyDescent="0.3">
      <c r="A25" s="17">
        <v>2</v>
      </c>
      <c r="B25" s="18">
        <v>27507255</v>
      </c>
      <c r="C25" s="18">
        <v>7428.23</v>
      </c>
      <c r="D25" s="19">
        <v>1.2</v>
      </c>
      <c r="E25" s="19">
        <v>2.4300000000000002</v>
      </c>
    </row>
    <row r="26" spans="1:6" ht="16.5" customHeight="1" x14ac:dyDescent="0.3">
      <c r="A26" s="17">
        <v>3</v>
      </c>
      <c r="B26" s="18">
        <v>27436326</v>
      </c>
      <c r="C26" s="18">
        <v>7105.44</v>
      </c>
      <c r="D26" s="19">
        <v>1.1399999999999999</v>
      </c>
      <c r="E26" s="19">
        <v>2.46</v>
      </c>
    </row>
    <row r="27" spans="1:6" ht="16.5" customHeight="1" x14ac:dyDescent="0.3">
      <c r="A27" s="17">
        <v>4</v>
      </c>
      <c r="B27" s="18">
        <v>27439535</v>
      </c>
      <c r="C27" s="18">
        <v>8419.73</v>
      </c>
      <c r="D27" s="19">
        <v>1.1299999999999999</v>
      </c>
      <c r="E27" s="19">
        <v>2.77</v>
      </c>
    </row>
    <row r="28" spans="1:6" ht="16.5" customHeight="1" x14ac:dyDescent="0.3">
      <c r="A28" s="17">
        <v>5</v>
      </c>
      <c r="B28" s="18">
        <v>27669736</v>
      </c>
      <c r="C28" s="18">
        <v>8263.7900000000009</v>
      </c>
      <c r="D28" s="19">
        <v>1.1200000000000001</v>
      </c>
      <c r="E28" s="19">
        <v>2.76</v>
      </c>
    </row>
    <row r="29" spans="1:6" ht="16.5" customHeight="1" x14ac:dyDescent="0.3">
      <c r="A29" s="17">
        <v>6</v>
      </c>
      <c r="B29" s="21">
        <v>27533982</v>
      </c>
      <c r="C29" s="21">
        <v>8280.2999999999993</v>
      </c>
      <c r="D29" s="22">
        <v>1.06</v>
      </c>
      <c r="E29" s="22">
        <v>2.76</v>
      </c>
    </row>
    <row r="30" spans="1:6" ht="16.5" customHeight="1" x14ac:dyDescent="0.3">
      <c r="A30" s="23" t="s">
        <v>17</v>
      </c>
      <c r="B30" s="24">
        <f>AVERAGE(B24:B29)</f>
        <v>27513333.5</v>
      </c>
      <c r="C30" s="25">
        <f>AVERAGE(C24:C29)</f>
        <v>7999.9050000000016</v>
      </c>
      <c r="D30" s="26">
        <f>AVERAGE(D24:D29)</f>
        <v>1.1200000000000001</v>
      </c>
      <c r="E30" s="26">
        <f>AVERAGE(E24:E29)</f>
        <v>2.6566666666666667</v>
      </c>
    </row>
    <row r="31" spans="1:6" ht="16.5" customHeight="1" x14ac:dyDescent="0.3">
      <c r="A31" s="27" t="s">
        <v>18</v>
      </c>
      <c r="B31" s="28">
        <f>(STDEV(B24:B29)/B30)</f>
        <v>3.1142452451279746E-3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601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139</v>
      </c>
      <c r="C40" s="10"/>
      <c r="D40" s="10"/>
      <c r="E40" s="10"/>
    </row>
    <row r="41" spans="1:6" ht="16.5" customHeight="1" x14ac:dyDescent="0.3">
      <c r="A41" s="7" t="s">
        <v>7</v>
      </c>
      <c r="B41" s="12">
        <v>8.1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B41/50*25/50</f>
        <v>8.1000000000000003E-2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27493167</v>
      </c>
      <c r="C45" s="18">
        <v>8501.94</v>
      </c>
      <c r="D45" s="19">
        <v>1.07</v>
      </c>
      <c r="E45" s="20">
        <v>2.76</v>
      </c>
    </row>
    <row r="46" spans="1:6" ht="16.5" customHeight="1" x14ac:dyDescent="0.3">
      <c r="A46" s="17">
        <v>2</v>
      </c>
      <c r="B46" s="18">
        <v>27507255</v>
      </c>
      <c r="C46" s="18">
        <v>7428.23</v>
      </c>
      <c r="D46" s="19">
        <v>1.2</v>
      </c>
      <c r="E46" s="19">
        <v>2.4300000000000002</v>
      </c>
    </row>
    <row r="47" spans="1:6" ht="16.5" customHeight="1" x14ac:dyDescent="0.3">
      <c r="A47" s="17">
        <v>3</v>
      </c>
      <c r="B47" s="18">
        <v>27436326</v>
      </c>
      <c r="C47" s="18">
        <v>7105.44</v>
      </c>
      <c r="D47" s="19">
        <v>1.1399999999999999</v>
      </c>
      <c r="E47" s="19">
        <v>2.46</v>
      </c>
    </row>
    <row r="48" spans="1:6" ht="16.5" customHeight="1" x14ac:dyDescent="0.3">
      <c r="A48" s="17">
        <v>4</v>
      </c>
      <c r="B48" s="18">
        <v>27439535</v>
      </c>
      <c r="C48" s="18">
        <v>8419.73</v>
      </c>
      <c r="D48" s="19">
        <v>1.1299999999999999</v>
      </c>
      <c r="E48" s="19">
        <v>2.77</v>
      </c>
    </row>
    <row r="49" spans="1:7" ht="16.5" customHeight="1" x14ac:dyDescent="0.3">
      <c r="A49" s="17">
        <v>5</v>
      </c>
      <c r="B49" s="18">
        <v>27669736</v>
      </c>
      <c r="C49" s="18">
        <v>8263.7900000000009</v>
      </c>
      <c r="D49" s="19">
        <v>1.1200000000000001</v>
      </c>
      <c r="E49" s="19">
        <v>2.76</v>
      </c>
    </row>
    <row r="50" spans="1:7" ht="16.5" customHeight="1" x14ac:dyDescent="0.3">
      <c r="A50" s="17">
        <v>6</v>
      </c>
      <c r="B50" s="21">
        <v>27533982</v>
      </c>
      <c r="C50" s="21">
        <v>8280.2999999999993</v>
      </c>
      <c r="D50" s="22">
        <v>1.06</v>
      </c>
      <c r="E50" s="22">
        <v>2.76</v>
      </c>
    </row>
    <row r="51" spans="1:7" ht="16.5" customHeight="1" x14ac:dyDescent="0.3">
      <c r="A51" s="23" t="s">
        <v>17</v>
      </c>
      <c r="B51" s="24">
        <f>AVERAGE(B45:B50)</f>
        <v>27513333.5</v>
      </c>
      <c r="C51" s="25">
        <f>AVERAGE(C45:C50)</f>
        <v>7999.9050000000016</v>
      </c>
      <c r="D51" s="26">
        <f>AVERAGE(D45:D50)</f>
        <v>1.1200000000000001</v>
      </c>
      <c r="E51" s="26">
        <f>AVERAGE(E45:E50)</f>
        <v>2.6566666666666667</v>
      </c>
    </row>
    <row r="52" spans="1:7" ht="16.5" customHeight="1" x14ac:dyDescent="0.3">
      <c r="A52" s="27" t="s">
        <v>18</v>
      </c>
      <c r="B52" s="28">
        <f>(STDEV(B45:B50)/B51)</f>
        <v>3.1142452451279746E-3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43" t="s">
        <v>25</v>
      </c>
      <c r="C59" s="94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0" zoomScale="55" zoomScaleNormal="40" zoomScalePageLayoutView="55" workbookViewId="0">
      <selection activeCell="F117" sqref="F1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31" t="s">
        <v>44</v>
      </c>
      <c r="B1" s="931"/>
      <c r="C1" s="931"/>
      <c r="D1" s="931"/>
      <c r="E1" s="931"/>
      <c r="F1" s="931"/>
      <c r="G1" s="931"/>
      <c r="H1" s="931"/>
      <c r="I1" s="931"/>
    </row>
    <row r="2" spans="1:9" ht="18.75" customHeight="1" x14ac:dyDescent="0.25">
      <c r="A2" s="931"/>
      <c r="B2" s="931"/>
      <c r="C2" s="931"/>
      <c r="D2" s="931"/>
      <c r="E2" s="931"/>
      <c r="F2" s="931"/>
      <c r="G2" s="931"/>
      <c r="H2" s="931"/>
      <c r="I2" s="931"/>
    </row>
    <row r="3" spans="1:9" ht="18.75" customHeight="1" x14ac:dyDescent="0.25">
      <c r="A3" s="931"/>
      <c r="B3" s="931"/>
      <c r="C3" s="931"/>
      <c r="D3" s="931"/>
      <c r="E3" s="931"/>
      <c r="F3" s="931"/>
      <c r="G3" s="931"/>
      <c r="H3" s="931"/>
      <c r="I3" s="931"/>
    </row>
    <row r="4" spans="1:9" ht="18.75" customHeight="1" x14ac:dyDescent="0.25">
      <c r="A4" s="931"/>
      <c r="B4" s="931"/>
      <c r="C4" s="931"/>
      <c r="D4" s="931"/>
      <c r="E4" s="931"/>
      <c r="F4" s="931"/>
      <c r="G4" s="931"/>
      <c r="H4" s="931"/>
      <c r="I4" s="931"/>
    </row>
    <row r="5" spans="1:9" ht="18.75" customHeight="1" x14ac:dyDescent="0.25">
      <c r="A5" s="931"/>
      <c r="B5" s="931"/>
      <c r="C5" s="931"/>
      <c r="D5" s="931"/>
      <c r="E5" s="931"/>
      <c r="F5" s="931"/>
      <c r="G5" s="931"/>
      <c r="H5" s="931"/>
      <c r="I5" s="931"/>
    </row>
    <row r="6" spans="1:9" ht="18.75" customHeight="1" x14ac:dyDescent="0.25">
      <c r="A6" s="931"/>
      <c r="B6" s="931"/>
      <c r="C6" s="931"/>
      <c r="D6" s="931"/>
      <c r="E6" s="931"/>
      <c r="F6" s="931"/>
      <c r="G6" s="931"/>
      <c r="H6" s="931"/>
      <c r="I6" s="931"/>
    </row>
    <row r="7" spans="1:9" ht="18.75" customHeight="1" x14ac:dyDescent="0.25">
      <c r="A7" s="931"/>
      <c r="B7" s="931"/>
      <c r="C7" s="931"/>
      <c r="D7" s="931"/>
      <c r="E7" s="931"/>
      <c r="F7" s="931"/>
      <c r="G7" s="931"/>
      <c r="H7" s="931"/>
      <c r="I7" s="931"/>
    </row>
    <row r="8" spans="1:9" x14ac:dyDescent="0.25">
      <c r="A8" s="932" t="s">
        <v>45</v>
      </c>
      <c r="B8" s="932"/>
      <c r="C8" s="932"/>
      <c r="D8" s="932"/>
      <c r="E8" s="932"/>
      <c r="F8" s="932"/>
      <c r="G8" s="932"/>
      <c r="H8" s="932"/>
      <c r="I8" s="932"/>
    </row>
    <row r="9" spans="1:9" x14ac:dyDescent="0.25">
      <c r="A9" s="932"/>
      <c r="B9" s="932"/>
      <c r="C9" s="932"/>
      <c r="D9" s="932"/>
      <c r="E9" s="932"/>
      <c r="F9" s="932"/>
      <c r="G9" s="932"/>
      <c r="H9" s="932"/>
      <c r="I9" s="932"/>
    </row>
    <row r="10" spans="1:9" x14ac:dyDescent="0.25">
      <c r="A10" s="932"/>
      <c r="B10" s="932"/>
      <c r="C10" s="932"/>
      <c r="D10" s="932"/>
      <c r="E10" s="932"/>
      <c r="F10" s="932"/>
      <c r="G10" s="932"/>
      <c r="H10" s="932"/>
      <c r="I10" s="932"/>
    </row>
    <row r="11" spans="1:9" x14ac:dyDescent="0.25">
      <c r="A11" s="932"/>
      <c r="B11" s="932"/>
      <c r="C11" s="932"/>
      <c r="D11" s="932"/>
      <c r="E11" s="932"/>
      <c r="F11" s="932"/>
      <c r="G11" s="932"/>
      <c r="H11" s="932"/>
      <c r="I11" s="932"/>
    </row>
    <row r="12" spans="1:9" x14ac:dyDescent="0.25">
      <c r="A12" s="932"/>
      <c r="B12" s="932"/>
      <c r="C12" s="932"/>
      <c r="D12" s="932"/>
      <c r="E12" s="932"/>
      <c r="F12" s="932"/>
      <c r="G12" s="932"/>
      <c r="H12" s="932"/>
      <c r="I12" s="932"/>
    </row>
    <row r="13" spans="1:9" x14ac:dyDescent="0.25">
      <c r="A13" s="932"/>
      <c r="B13" s="932"/>
      <c r="C13" s="932"/>
      <c r="D13" s="932"/>
      <c r="E13" s="932"/>
      <c r="F13" s="932"/>
      <c r="G13" s="932"/>
      <c r="H13" s="932"/>
      <c r="I13" s="932"/>
    </row>
    <row r="14" spans="1:9" x14ac:dyDescent="0.25">
      <c r="A14" s="932"/>
      <c r="B14" s="932"/>
      <c r="C14" s="932"/>
      <c r="D14" s="932"/>
      <c r="E14" s="932"/>
      <c r="F14" s="932"/>
      <c r="G14" s="932"/>
      <c r="H14" s="932"/>
      <c r="I14" s="932"/>
    </row>
    <row r="15" spans="1:9" ht="19.5" customHeight="1" x14ac:dyDescent="0.3">
      <c r="A15" s="236"/>
    </row>
    <row r="16" spans="1:9" ht="19.5" customHeight="1" x14ac:dyDescent="0.3">
      <c r="A16" s="904" t="s">
        <v>30</v>
      </c>
      <c r="B16" s="905"/>
      <c r="C16" s="905"/>
      <c r="D16" s="905"/>
      <c r="E16" s="905"/>
      <c r="F16" s="905"/>
      <c r="G16" s="905"/>
      <c r="H16" s="906"/>
    </row>
    <row r="17" spans="1:14" ht="20.25" customHeight="1" x14ac:dyDescent="0.25">
      <c r="A17" s="907" t="s">
        <v>46</v>
      </c>
      <c r="B17" s="907"/>
      <c r="C17" s="907"/>
      <c r="D17" s="907"/>
      <c r="E17" s="907"/>
      <c r="F17" s="907"/>
      <c r="G17" s="907"/>
      <c r="H17" s="907"/>
    </row>
    <row r="18" spans="1:14" ht="26.25" customHeight="1" x14ac:dyDescent="0.4">
      <c r="A18" s="238" t="s">
        <v>32</v>
      </c>
      <c r="B18" s="903" t="s">
        <v>5</v>
      </c>
      <c r="C18" s="903"/>
      <c r="D18" s="401"/>
      <c r="E18" s="239"/>
      <c r="F18" s="240"/>
      <c r="G18" s="240"/>
      <c r="H18" s="240"/>
    </row>
    <row r="19" spans="1:14" ht="26.25" customHeight="1" x14ac:dyDescent="0.4">
      <c r="A19" s="238" t="s">
        <v>33</v>
      </c>
      <c r="B19" s="602" t="str">
        <f>Rifampicin!B19</f>
        <v>NDQD2016061091</v>
      </c>
      <c r="C19" s="414">
        <v>29</v>
      </c>
      <c r="D19" s="240"/>
      <c r="E19" s="240"/>
      <c r="F19" s="240"/>
      <c r="G19" s="240"/>
      <c r="H19" s="240"/>
    </row>
    <row r="20" spans="1:14" ht="26.25" customHeight="1" x14ac:dyDescent="0.4">
      <c r="A20" s="238" t="s">
        <v>34</v>
      </c>
      <c r="B20" s="944" t="s">
        <v>135</v>
      </c>
      <c r="C20" s="908"/>
      <c r="D20" s="240"/>
      <c r="E20" s="240"/>
      <c r="F20" s="240"/>
      <c r="G20" s="240"/>
      <c r="H20" s="240"/>
    </row>
    <row r="21" spans="1:14" ht="26.25" customHeight="1" x14ac:dyDescent="0.4">
      <c r="A21" s="238" t="s">
        <v>35</v>
      </c>
      <c r="B21" s="908" t="s">
        <v>10</v>
      </c>
      <c r="C21" s="908"/>
      <c r="D21" s="908"/>
      <c r="E21" s="908"/>
      <c r="F21" s="908"/>
      <c r="G21" s="908"/>
      <c r="H21" s="908"/>
      <c r="I21" s="241"/>
    </row>
    <row r="22" spans="1:14" ht="26.25" customHeight="1" x14ac:dyDescent="0.4">
      <c r="A22" s="238" t="s">
        <v>36</v>
      </c>
      <c r="B22" s="242" t="s">
        <v>11</v>
      </c>
      <c r="C22" s="240"/>
      <c r="D22" s="240"/>
      <c r="E22" s="240"/>
      <c r="F22" s="240"/>
      <c r="G22" s="240"/>
      <c r="H22" s="240"/>
    </row>
    <row r="23" spans="1:14" ht="26.25" customHeight="1" x14ac:dyDescent="0.4">
      <c r="A23" s="238" t="s">
        <v>37</v>
      </c>
      <c r="B23" s="242"/>
      <c r="C23" s="240"/>
      <c r="D23" s="240"/>
      <c r="E23" s="240"/>
      <c r="F23" s="240"/>
      <c r="G23" s="240"/>
      <c r="H23" s="240"/>
    </row>
    <row r="24" spans="1:14" ht="18.75" x14ac:dyDescent="0.3">
      <c r="A24" s="238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903" t="s">
        <v>125</v>
      </c>
      <c r="C26" s="903"/>
    </row>
    <row r="27" spans="1:14" ht="26.25" customHeight="1" x14ac:dyDescent="0.4">
      <c r="A27" s="246" t="s">
        <v>47</v>
      </c>
      <c r="B27" s="909" t="s">
        <v>129</v>
      </c>
      <c r="C27" s="909"/>
    </row>
    <row r="28" spans="1:14" ht="27" customHeight="1" x14ac:dyDescent="0.4">
      <c r="A28" s="246" t="s">
        <v>6</v>
      </c>
      <c r="B28" s="247">
        <v>98.5</v>
      </c>
    </row>
    <row r="29" spans="1:14" s="14" customFormat="1" ht="27" customHeight="1" x14ac:dyDescent="0.4">
      <c r="A29" s="246" t="s">
        <v>48</v>
      </c>
      <c r="B29" s="248">
        <v>0</v>
      </c>
      <c r="C29" s="910" t="s">
        <v>49</v>
      </c>
      <c r="D29" s="911"/>
      <c r="E29" s="911"/>
      <c r="F29" s="911"/>
      <c r="G29" s="912"/>
      <c r="I29" s="249"/>
      <c r="J29" s="249"/>
      <c r="K29" s="249"/>
      <c r="L29" s="249"/>
    </row>
    <row r="30" spans="1:14" s="14" customFormat="1" ht="19.5" customHeight="1" x14ac:dyDescent="0.3">
      <c r="A30" s="246" t="s">
        <v>50</v>
      </c>
      <c r="B30" s="250">
        <f>B28-B29</f>
        <v>98.5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">
      <c r="A31" s="246" t="s">
        <v>51</v>
      </c>
      <c r="B31" s="253">
        <v>1</v>
      </c>
      <c r="C31" s="913" t="s">
        <v>52</v>
      </c>
      <c r="D31" s="914"/>
      <c r="E31" s="914"/>
      <c r="F31" s="914"/>
      <c r="G31" s="914"/>
      <c r="H31" s="915"/>
      <c r="I31" s="249"/>
      <c r="J31" s="249"/>
      <c r="K31" s="249"/>
      <c r="L31" s="249"/>
    </row>
    <row r="32" spans="1:14" s="14" customFormat="1" ht="27" customHeight="1" x14ac:dyDescent="0.4">
      <c r="A32" s="246" t="s">
        <v>53</v>
      </c>
      <c r="B32" s="253">
        <v>1</v>
      </c>
      <c r="C32" s="913" t="s">
        <v>54</v>
      </c>
      <c r="D32" s="914"/>
      <c r="E32" s="914"/>
      <c r="F32" s="914"/>
      <c r="G32" s="914"/>
      <c r="H32" s="915"/>
      <c r="I32" s="249"/>
      <c r="J32" s="249"/>
      <c r="K32" s="249"/>
      <c r="L32" s="254"/>
      <c r="M32" s="254"/>
      <c r="N32" s="255"/>
    </row>
    <row r="33" spans="1:14" s="14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.75" x14ac:dyDescent="0.3">
      <c r="A34" s="246" t="s">
        <v>55</v>
      </c>
      <c r="B34" s="258">
        <f>B31/B32</f>
        <v>1</v>
      </c>
      <c r="C34" s="237" t="s">
        <v>56</v>
      </c>
      <c r="D34" s="237"/>
      <c r="E34" s="237"/>
      <c r="F34" s="237"/>
      <c r="G34" s="237"/>
      <c r="I34" s="249"/>
      <c r="J34" s="249"/>
      <c r="K34" s="249"/>
      <c r="L34" s="254"/>
      <c r="M34" s="254"/>
      <c r="N34" s="255"/>
    </row>
    <row r="35" spans="1:14" s="14" customFormat="1" ht="19.5" customHeight="1" x14ac:dyDescent="0.3">
      <c r="A35" s="246"/>
      <c r="B35" s="250"/>
      <c r="G35" s="237"/>
      <c r="I35" s="249"/>
      <c r="J35" s="249"/>
      <c r="K35" s="249"/>
      <c r="L35" s="254"/>
      <c r="M35" s="254"/>
      <c r="N35" s="255"/>
    </row>
    <row r="36" spans="1:14" s="14" customFormat="1" ht="27" customHeight="1" x14ac:dyDescent="0.4">
      <c r="A36" s="259" t="s">
        <v>57</v>
      </c>
      <c r="B36" s="260">
        <v>100</v>
      </c>
      <c r="C36" s="237"/>
      <c r="D36" s="916" t="s">
        <v>58</v>
      </c>
      <c r="E36" s="917"/>
      <c r="F36" s="916" t="s">
        <v>59</v>
      </c>
      <c r="G36" s="918"/>
      <c r="J36" s="249"/>
      <c r="K36" s="249"/>
      <c r="L36" s="254"/>
      <c r="M36" s="254"/>
      <c r="N36" s="255"/>
    </row>
    <row r="37" spans="1:14" s="14" customFormat="1" ht="27" customHeight="1" x14ac:dyDescent="0.4">
      <c r="A37" s="261" t="s">
        <v>60</v>
      </c>
      <c r="B37" s="262">
        <v>1</v>
      </c>
      <c r="C37" s="263" t="s">
        <v>61</v>
      </c>
      <c r="D37" s="264" t="s">
        <v>62</v>
      </c>
      <c r="E37" s="265" t="s">
        <v>63</v>
      </c>
      <c r="F37" s="264" t="s">
        <v>62</v>
      </c>
      <c r="G37" s="266" t="s">
        <v>63</v>
      </c>
      <c r="I37" s="267" t="s">
        <v>64</v>
      </c>
      <c r="J37" s="249"/>
      <c r="K37" s="249"/>
      <c r="L37" s="254"/>
      <c r="M37" s="254"/>
      <c r="N37" s="255"/>
    </row>
    <row r="38" spans="1:14" s="14" customFormat="1" ht="26.25" customHeight="1" x14ac:dyDescent="0.4">
      <c r="A38" s="261" t="s">
        <v>65</v>
      </c>
      <c r="B38" s="262">
        <v>1</v>
      </c>
      <c r="C38" s="268">
        <v>1</v>
      </c>
      <c r="D38" s="594">
        <v>27493167</v>
      </c>
      <c r="E38" s="269">
        <f>IF(ISBLANK(D38),"-",$D$48/$D$45*D38)</f>
        <v>27567253.995111864</v>
      </c>
      <c r="F38" s="594">
        <v>29963918</v>
      </c>
      <c r="G38" s="270">
        <f>IF(ISBLANK(F38),"-",$D$48/$F$45*F38)</f>
        <v>27686208.254650246</v>
      </c>
      <c r="I38" s="271"/>
      <c r="J38" s="249"/>
      <c r="K38" s="249"/>
      <c r="L38" s="254"/>
      <c r="M38" s="254"/>
      <c r="N38" s="255"/>
    </row>
    <row r="39" spans="1:14" s="14" customFormat="1" ht="26.25" customHeight="1" x14ac:dyDescent="0.4">
      <c r="A39" s="261" t="s">
        <v>66</v>
      </c>
      <c r="B39" s="262">
        <v>1</v>
      </c>
      <c r="C39" s="272">
        <v>2</v>
      </c>
      <c r="D39" s="595">
        <v>27507255</v>
      </c>
      <c r="E39" s="274">
        <f>IF(ISBLANK(D39),"-",$D$48/$D$45*D39)</f>
        <v>27581379.958638843</v>
      </c>
      <c r="F39" s="595">
        <v>29909184</v>
      </c>
      <c r="G39" s="275">
        <f>IF(ISBLANK(F39),"-",$D$48/$F$45*F39)</f>
        <v>27635634.864260845</v>
      </c>
      <c r="I39" s="920">
        <f>ABS((F43/D43*D42)-F42)/D42</f>
        <v>5.07807944529267E-3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67</v>
      </c>
      <c r="B40" s="262">
        <v>1</v>
      </c>
      <c r="C40" s="272">
        <v>3</v>
      </c>
      <c r="D40" s="595">
        <v>27436326</v>
      </c>
      <c r="E40" s="274">
        <f>IF(ISBLANK(D40),"-",$D$48/$D$45*D40)</f>
        <v>27510259.823275056</v>
      </c>
      <c r="F40" s="595">
        <v>30004656</v>
      </c>
      <c r="G40" s="275">
        <f>IF(ISBLANK(F40),"-",$D$48/$F$45*F40)</f>
        <v>27723849.552156065</v>
      </c>
      <c r="I40" s="920"/>
      <c r="L40" s="254"/>
      <c r="M40" s="254"/>
      <c r="N40" s="276"/>
    </row>
    <row r="41" spans="1:14" ht="27" customHeight="1" x14ac:dyDescent="0.4">
      <c r="A41" s="261" t="s">
        <v>68</v>
      </c>
      <c r="B41" s="262">
        <v>1</v>
      </c>
      <c r="C41" s="277">
        <v>4</v>
      </c>
      <c r="D41" s="596"/>
      <c r="E41" s="278" t="str">
        <f>IF(ISBLANK(D41),"-",$D$48/$D$45*D41)</f>
        <v>-</v>
      </c>
      <c r="F41" s="596"/>
      <c r="G41" s="279" t="str">
        <f>IF(ISBLANK(F41),"-",$D$48/$F$45*F41)</f>
        <v>-</v>
      </c>
      <c r="I41" s="280"/>
      <c r="L41" s="254"/>
      <c r="M41" s="254"/>
      <c r="N41" s="276"/>
    </row>
    <row r="42" spans="1:14" ht="27" customHeight="1" x14ac:dyDescent="0.4">
      <c r="A42" s="261" t="s">
        <v>69</v>
      </c>
      <c r="B42" s="262">
        <v>1</v>
      </c>
      <c r="C42" s="281" t="s">
        <v>70</v>
      </c>
      <c r="D42" s="282">
        <f>AVERAGE(D38:D41)</f>
        <v>27478916</v>
      </c>
      <c r="E42" s="283">
        <f>AVERAGE(E38:E41)</f>
        <v>27552964.592341918</v>
      </c>
      <c r="F42" s="282">
        <f>AVERAGE(F38:F41)</f>
        <v>29959252.666666668</v>
      </c>
      <c r="G42" s="284">
        <f>AVERAGE(G38:G41)</f>
        <v>27681897.557022382</v>
      </c>
      <c r="H42" s="285"/>
    </row>
    <row r="43" spans="1:14" ht="26.25" customHeight="1" x14ac:dyDescent="0.4">
      <c r="A43" s="261" t="s">
        <v>71</v>
      </c>
      <c r="B43" s="262">
        <v>1</v>
      </c>
      <c r="C43" s="286" t="s">
        <v>72</v>
      </c>
      <c r="D43" s="287">
        <v>8.1</v>
      </c>
      <c r="E43" s="276"/>
      <c r="F43" s="287">
        <v>8.7899999999999991</v>
      </c>
      <c r="H43" s="285"/>
    </row>
    <row r="44" spans="1:14" ht="26.25" customHeight="1" x14ac:dyDescent="0.4">
      <c r="A44" s="261" t="s">
        <v>73</v>
      </c>
      <c r="B44" s="262">
        <v>1</v>
      </c>
      <c r="C44" s="288" t="s">
        <v>74</v>
      </c>
      <c r="D44" s="289">
        <f>D43*$B$34</f>
        <v>8.1</v>
      </c>
      <c r="E44" s="290"/>
      <c r="F44" s="289">
        <f>F43*$B$34</f>
        <v>8.7899999999999991</v>
      </c>
      <c r="H44" s="285"/>
    </row>
    <row r="45" spans="1:14" ht="19.5" customHeight="1" x14ac:dyDescent="0.3">
      <c r="A45" s="261" t="s">
        <v>75</v>
      </c>
      <c r="B45" s="291">
        <f>(B44/B43)*(B42/B41)*(B40/B39)*(B38/B37)*B36</f>
        <v>100</v>
      </c>
      <c r="C45" s="288" t="s">
        <v>76</v>
      </c>
      <c r="D45" s="292">
        <f>D44*$B$30/100</f>
        <v>7.9784999999999995</v>
      </c>
      <c r="E45" s="293"/>
      <c r="F45" s="292">
        <f>F44*$B$30/100</f>
        <v>8.6581499999999991</v>
      </c>
      <c r="H45" s="285"/>
    </row>
    <row r="46" spans="1:14" ht="19.5" customHeight="1" x14ac:dyDescent="0.3">
      <c r="A46" s="921" t="s">
        <v>77</v>
      </c>
      <c r="B46" s="922"/>
      <c r="C46" s="288" t="s">
        <v>78</v>
      </c>
      <c r="D46" s="294">
        <f>D45/$B$45</f>
        <v>7.9784999999999995E-2</v>
      </c>
      <c r="E46" s="295"/>
      <c r="F46" s="296">
        <f>F45/$B$45</f>
        <v>8.6581499999999992E-2</v>
      </c>
      <c r="H46" s="285"/>
    </row>
    <row r="47" spans="1:14" ht="27" customHeight="1" x14ac:dyDescent="0.4">
      <c r="A47" s="923"/>
      <c r="B47" s="924"/>
      <c r="C47" s="297" t="s">
        <v>79</v>
      </c>
      <c r="D47" s="298">
        <v>0.08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8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8</v>
      </c>
      <c r="F49" s="301"/>
      <c r="H49" s="285"/>
    </row>
    <row r="50" spans="1:12" ht="18.75" x14ac:dyDescent="0.3">
      <c r="C50" s="259" t="s">
        <v>82</v>
      </c>
      <c r="D50" s="304">
        <f>AVERAGE(E38:E41,G38:G41)</f>
        <v>27617431.07468215</v>
      </c>
      <c r="F50" s="305"/>
      <c r="H50" s="285"/>
    </row>
    <row r="51" spans="1:12" ht="18.75" x14ac:dyDescent="0.3">
      <c r="C51" s="261" t="s">
        <v>83</v>
      </c>
      <c r="D51" s="306">
        <f>STDEV(E38:E41,G38:G41)/D50</f>
        <v>2.882641128681732E-3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7" t="s">
        <v>85</v>
      </c>
      <c r="B55" s="311" t="str">
        <f>B21</f>
        <v>RIFAMPICIN 150mg, ISONIAZID 75mg, PYRAZINAMIDE 400mg &amp; ETHAMBUTOL HCl 275mg</v>
      </c>
    </row>
    <row r="56" spans="1:12" ht="26.25" customHeight="1" x14ac:dyDescent="0.4">
      <c r="A56" s="312" t="s">
        <v>86</v>
      </c>
      <c r="B56" s="313">
        <v>75</v>
      </c>
      <c r="C56" s="237" t="str">
        <f>B20</f>
        <v xml:space="preserve"> ISONIAZID</v>
      </c>
      <c r="H56" s="314"/>
    </row>
    <row r="57" spans="1:12" ht="18.75" x14ac:dyDescent="0.3">
      <c r="A57" s="311" t="s">
        <v>87</v>
      </c>
      <c r="B57" s="402">
        <f>Rifampicin!B57</f>
        <v>1256.998</v>
      </c>
      <c r="H57" s="314"/>
    </row>
    <row r="58" spans="1:12" ht="19.5" customHeight="1" x14ac:dyDescent="0.3">
      <c r="H58" s="314"/>
    </row>
    <row r="59" spans="1:12" s="14" customFormat="1" ht="27" customHeight="1" x14ac:dyDescent="0.4">
      <c r="A59" s="259" t="s">
        <v>88</v>
      </c>
      <c r="B59" s="260">
        <v>200</v>
      </c>
      <c r="C59" s="237"/>
      <c r="D59" s="315" t="s">
        <v>89</v>
      </c>
      <c r="E59" s="316" t="s">
        <v>61</v>
      </c>
      <c r="F59" s="316" t="s">
        <v>62</v>
      </c>
      <c r="G59" s="316" t="s">
        <v>90</v>
      </c>
      <c r="H59" s="263" t="s">
        <v>91</v>
      </c>
      <c r="L59" s="249"/>
    </row>
    <row r="60" spans="1:12" s="14" customFormat="1" ht="26.25" customHeight="1" x14ac:dyDescent="0.4">
      <c r="A60" s="261" t="s">
        <v>92</v>
      </c>
      <c r="B60" s="262">
        <v>4</v>
      </c>
      <c r="C60" s="925" t="s">
        <v>93</v>
      </c>
      <c r="D60" s="928">
        <f>Rifampicin!D60</f>
        <v>1258.24</v>
      </c>
      <c r="E60" s="317">
        <v>1</v>
      </c>
      <c r="F60" s="318">
        <v>26289739</v>
      </c>
      <c r="G60" s="403">
        <f>IF(ISBLANK(F60),"-",(F60/$D$50*$D$47*$B$68)*($B$57/$D$60))</f>
        <v>76.078874995935152</v>
      </c>
      <c r="H60" s="319">
        <f t="shared" ref="H60:H71" si="0">IF(ISBLANK(F60),"-",G60/$B$56)</f>
        <v>1.0143849999458021</v>
      </c>
      <c r="L60" s="249"/>
    </row>
    <row r="61" spans="1:12" s="14" customFormat="1" ht="26.25" customHeight="1" x14ac:dyDescent="0.4">
      <c r="A61" s="261" t="s">
        <v>94</v>
      </c>
      <c r="B61" s="262">
        <v>20</v>
      </c>
      <c r="C61" s="926"/>
      <c r="D61" s="929"/>
      <c r="E61" s="320">
        <v>2</v>
      </c>
      <c r="F61" s="273">
        <v>26388378</v>
      </c>
      <c r="G61" s="404">
        <f>IF(ISBLANK(F61),"-",(F61/$D$50*$D$47*$B$68)*($B$57/$D$60))</f>
        <v>76.364322643426988</v>
      </c>
      <c r="H61" s="321">
        <f t="shared" si="0"/>
        <v>1.0181909685790265</v>
      </c>
      <c r="L61" s="249"/>
    </row>
    <row r="62" spans="1:12" s="14" customFormat="1" ht="26.25" customHeight="1" x14ac:dyDescent="0.4">
      <c r="A62" s="261" t="s">
        <v>95</v>
      </c>
      <c r="B62" s="262">
        <v>1</v>
      </c>
      <c r="C62" s="926"/>
      <c r="D62" s="929"/>
      <c r="E62" s="320">
        <v>3</v>
      </c>
      <c r="F62" s="322">
        <v>26382669</v>
      </c>
      <c r="G62" s="404">
        <f>IF(ISBLANK(F62),"-",(F62/$D$50*$D$47*$B$68)*($B$57/$D$60))</f>
        <v>76.347801585635125</v>
      </c>
      <c r="H62" s="321">
        <f t="shared" si="0"/>
        <v>1.0179706878084682</v>
      </c>
      <c r="L62" s="249"/>
    </row>
    <row r="63" spans="1:12" ht="27" customHeight="1" x14ac:dyDescent="0.4">
      <c r="A63" s="261" t="s">
        <v>96</v>
      </c>
      <c r="B63" s="262">
        <v>1</v>
      </c>
      <c r="C63" s="927"/>
      <c r="D63" s="930"/>
      <c r="E63" s="323">
        <v>4</v>
      </c>
      <c r="F63" s="324"/>
      <c r="G63" s="404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61" t="s">
        <v>97</v>
      </c>
      <c r="B64" s="262">
        <v>1</v>
      </c>
      <c r="C64" s="925" t="s">
        <v>98</v>
      </c>
      <c r="D64" s="928">
        <f>Rifampicin!D64</f>
        <v>1255.18</v>
      </c>
      <c r="E64" s="317">
        <v>1</v>
      </c>
      <c r="F64" s="318">
        <v>25800437</v>
      </c>
      <c r="G64" s="405">
        <f>IF(ISBLANK(F64),"-",(F64/$D$50*$D$47*$B$68)*($B$57/$D$64))</f>
        <v>74.844923055545422</v>
      </c>
      <c r="H64" s="325">
        <f t="shared" si="0"/>
        <v>0.99793230740727235</v>
      </c>
    </row>
    <row r="65" spans="1:8" ht="26.25" customHeight="1" x14ac:dyDescent="0.4">
      <c r="A65" s="261" t="s">
        <v>99</v>
      </c>
      <c r="B65" s="262">
        <v>1</v>
      </c>
      <c r="C65" s="926"/>
      <c r="D65" s="929"/>
      <c r="E65" s="320">
        <v>2</v>
      </c>
      <c r="F65" s="273">
        <v>25556685</v>
      </c>
      <c r="G65" s="406">
        <f>IF(ISBLANK(F65),"-",(F65/$D$50*$D$47*$B$68)*($B$57/$D$64))</f>
        <v>74.13781876562058</v>
      </c>
      <c r="H65" s="326">
        <f t="shared" si="0"/>
        <v>0.98850425020827437</v>
      </c>
    </row>
    <row r="66" spans="1:8" ht="26.25" customHeight="1" x14ac:dyDescent="0.4">
      <c r="A66" s="261" t="s">
        <v>100</v>
      </c>
      <c r="B66" s="262">
        <v>1</v>
      </c>
      <c r="C66" s="926"/>
      <c r="D66" s="929"/>
      <c r="E66" s="320">
        <v>3</v>
      </c>
      <c r="F66" s="273">
        <v>25501564</v>
      </c>
      <c r="G66" s="406">
        <f>IF(ISBLANK(F66),"-",(F66/$D$50*$D$47*$B$68)*($B$57/$D$64))</f>
        <v>73.977917326596724</v>
      </c>
      <c r="H66" s="326">
        <f t="shared" si="0"/>
        <v>0.98637223102128968</v>
      </c>
    </row>
    <row r="67" spans="1:8" ht="27" customHeight="1" x14ac:dyDescent="0.4">
      <c r="A67" s="261" t="s">
        <v>101</v>
      </c>
      <c r="B67" s="262">
        <v>1</v>
      </c>
      <c r="C67" s="927"/>
      <c r="D67" s="930"/>
      <c r="E67" s="323">
        <v>4</v>
      </c>
      <c r="F67" s="324"/>
      <c r="G67" s="407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61" t="s">
        <v>102</v>
      </c>
      <c r="B68" s="328">
        <f>(B67/B66)*(B65/B64)*(B63/B62)*(B61/B60)*B59</f>
        <v>1000</v>
      </c>
      <c r="C68" s="925" t="s">
        <v>103</v>
      </c>
      <c r="D68" s="928">
        <f>Rifampicin!D68</f>
        <v>1258.08</v>
      </c>
      <c r="E68" s="317">
        <v>1</v>
      </c>
      <c r="F68" s="318">
        <v>25866745</v>
      </c>
      <c r="G68" s="405">
        <f>IF(ISBLANK(F68),"-",(F68/$D$50*$D$47*$B$68)*($B$57/$D$68))</f>
        <v>74.864308636715478</v>
      </c>
      <c r="H68" s="321">
        <f t="shared" si="0"/>
        <v>0.99819078182287302</v>
      </c>
    </row>
    <row r="69" spans="1:8" ht="27" customHeight="1" x14ac:dyDescent="0.4">
      <c r="A69" s="307" t="s">
        <v>104</v>
      </c>
      <c r="B69" s="329">
        <f>(D47*B68)/B56*B57</f>
        <v>1340.7978666666668</v>
      </c>
      <c r="C69" s="926"/>
      <c r="D69" s="929"/>
      <c r="E69" s="320">
        <v>2</v>
      </c>
      <c r="F69" s="273">
        <v>26019970</v>
      </c>
      <c r="G69" s="406">
        <f>IF(ISBLANK(F69),"-",(F69/$D$50*$D$47*$B$68)*($B$57/$D$68))</f>
        <v>75.307777024054516</v>
      </c>
      <c r="H69" s="321">
        <f t="shared" si="0"/>
        <v>1.0041036936540602</v>
      </c>
    </row>
    <row r="70" spans="1:8" ht="26.25" customHeight="1" x14ac:dyDescent="0.4">
      <c r="A70" s="938" t="s">
        <v>77</v>
      </c>
      <c r="B70" s="939"/>
      <c r="C70" s="926"/>
      <c r="D70" s="929"/>
      <c r="E70" s="320">
        <v>3</v>
      </c>
      <c r="F70" s="273">
        <v>25803379</v>
      </c>
      <c r="G70" s="406">
        <f>IF(ISBLANK(F70),"-",(F70/$D$50*$D$47*$B$68)*($B$57/$D$68))</f>
        <v>74.680912860359612</v>
      </c>
      <c r="H70" s="321">
        <f t="shared" si="0"/>
        <v>0.99574550480479485</v>
      </c>
    </row>
    <row r="71" spans="1:8" ht="27" customHeight="1" x14ac:dyDescent="0.4">
      <c r="A71" s="940"/>
      <c r="B71" s="941"/>
      <c r="C71" s="937"/>
      <c r="D71" s="930"/>
      <c r="E71" s="323">
        <v>4</v>
      </c>
      <c r="F71" s="324"/>
      <c r="G71" s="407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2">
        <f>AVERAGE(G60:G71)</f>
        <v>75.178295210432168</v>
      </c>
      <c r="H72" s="334">
        <f>AVERAGE(H60:H71)</f>
        <v>1.0023772694724289</v>
      </c>
    </row>
    <row r="73" spans="1:8" ht="26.25" customHeight="1" x14ac:dyDescent="0.4">
      <c r="C73" s="331"/>
      <c r="D73" s="331"/>
      <c r="E73" s="331"/>
      <c r="F73" s="335" t="s">
        <v>83</v>
      </c>
      <c r="G73" s="408">
        <f>STDEV(G60:G71)/G72</f>
        <v>1.2066151671399359E-2</v>
      </c>
      <c r="H73" s="408">
        <f>STDEV(H60:H71)/H72</f>
        <v>1.2066151671399343E-2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5" t="s">
        <v>105</v>
      </c>
      <c r="B76" s="339" t="s">
        <v>106</v>
      </c>
      <c r="C76" s="933" t="str">
        <f>B20</f>
        <v xml:space="preserve"> ISONIAZID</v>
      </c>
      <c r="D76" s="933"/>
      <c r="E76" s="340" t="s">
        <v>107</v>
      </c>
      <c r="F76" s="340"/>
      <c r="G76" s="341">
        <f>H72</f>
        <v>1.0023772694724289</v>
      </c>
      <c r="H76" s="342"/>
    </row>
    <row r="77" spans="1:8" ht="18.75" x14ac:dyDescent="0.3">
      <c r="A77" s="244" t="s">
        <v>108</v>
      </c>
      <c r="B77" s="244" t="s">
        <v>109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919" t="str">
        <f>B26</f>
        <v>ISONIAZID</v>
      </c>
      <c r="C79" s="919"/>
    </row>
    <row r="80" spans="1:8" ht="26.25" customHeight="1" x14ac:dyDescent="0.4">
      <c r="A80" s="246" t="s">
        <v>47</v>
      </c>
      <c r="B80" s="919" t="str">
        <f>B27</f>
        <v xml:space="preserve">I8 2 </v>
      </c>
      <c r="C80" s="919"/>
    </row>
    <row r="81" spans="1:12" ht="27" customHeight="1" x14ac:dyDescent="0.4">
      <c r="A81" s="246" t="s">
        <v>6</v>
      </c>
      <c r="B81" s="343">
        <f>B28</f>
        <v>98.5</v>
      </c>
    </row>
    <row r="82" spans="1:12" s="14" customFormat="1" ht="27" customHeight="1" x14ac:dyDescent="0.4">
      <c r="A82" s="246" t="s">
        <v>48</v>
      </c>
      <c r="B82" s="248">
        <v>0</v>
      </c>
      <c r="C82" s="910" t="s">
        <v>49</v>
      </c>
      <c r="D82" s="911"/>
      <c r="E82" s="911"/>
      <c r="F82" s="911"/>
      <c r="G82" s="912"/>
      <c r="I82" s="249"/>
      <c r="J82" s="249"/>
      <c r="K82" s="249"/>
      <c r="L82" s="249"/>
    </row>
    <row r="83" spans="1:12" s="14" customFormat="1" ht="19.5" customHeight="1" x14ac:dyDescent="0.3">
      <c r="A83" s="246" t="s">
        <v>50</v>
      </c>
      <c r="B83" s="250">
        <f>B81-B82</f>
        <v>98.5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">
      <c r="A84" s="246" t="s">
        <v>51</v>
      </c>
      <c r="B84" s="253">
        <v>1</v>
      </c>
      <c r="C84" s="913" t="s">
        <v>110</v>
      </c>
      <c r="D84" s="914"/>
      <c r="E84" s="914"/>
      <c r="F84" s="914"/>
      <c r="G84" s="914"/>
      <c r="H84" s="915"/>
      <c r="I84" s="249"/>
      <c r="J84" s="249"/>
      <c r="K84" s="249"/>
      <c r="L84" s="249"/>
    </row>
    <row r="85" spans="1:12" s="14" customFormat="1" ht="27" customHeight="1" x14ac:dyDescent="0.4">
      <c r="A85" s="246" t="s">
        <v>53</v>
      </c>
      <c r="B85" s="253">
        <v>1</v>
      </c>
      <c r="C85" s="913" t="s">
        <v>111</v>
      </c>
      <c r="D85" s="914"/>
      <c r="E85" s="914"/>
      <c r="F85" s="914"/>
      <c r="G85" s="914"/>
      <c r="H85" s="915"/>
      <c r="I85" s="249"/>
      <c r="J85" s="249"/>
      <c r="K85" s="249"/>
      <c r="L85" s="249"/>
    </row>
    <row r="86" spans="1:12" s="14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.75" x14ac:dyDescent="0.3">
      <c r="A87" s="246" t="s">
        <v>55</v>
      </c>
      <c r="B87" s="258">
        <f>B84/B85</f>
        <v>1</v>
      </c>
      <c r="C87" s="237" t="s">
        <v>56</v>
      </c>
      <c r="D87" s="237"/>
      <c r="E87" s="237"/>
      <c r="F87" s="237"/>
      <c r="G87" s="237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57</v>
      </c>
      <c r="B89" s="260">
        <v>50</v>
      </c>
      <c r="D89" s="344" t="s">
        <v>58</v>
      </c>
      <c r="E89" s="345"/>
      <c r="F89" s="916" t="s">
        <v>59</v>
      </c>
      <c r="G89" s="918"/>
    </row>
    <row r="90" spans="1:12" ht="27" customHeight="1" x14ac:dyDescent="0.4">
      <c r="A90" s="261" t="s">
        <v>60</v>
      </c>
      <c r="B90" s="262">
        <v>25</v>
      </c>
      <c r="C90" s="346" t="s">
        <v>61</v>
      </c>
      <c r="D90" s="264" t="s">
        <v>62</v>
      </c>
      <c r="E90" s="265" t="s">
        <v>63</v>
      </c>
      <c r="F90" s="264" t="s">
        <v>62</v>
      </c>
      <c r="G90" s="347" t="s">
        <v>63</v>
      </c>
      <c r="I90" s="267" t="s">
        <v>64</v>
      </c>
    </row>
    <row r="91" spans="1:12" ht="26.25" customHeight="1" x14ac:dyDescent="0.4">
      <c r="A91" s="261" t="s">
        <v>65</v>
      </c>
      <c r="B91" s="262">
        <v>50</v>
      </c>
      <c r="C91" s="348">
        <v>1</v>
      </c>
      <c r="D91" s="594">
        <v>27493167</v>
      </c>
      <c r="E91" s="269">
        <f>IF(ISBLANK(D91),"-",$D$101/$D$98*D91)</f>
        <v>28715889.578241523</v>
      </c>
      <c r="F91" s="594">
        <v>29963918</v>
      </c>
      <c r="G91" s="270">
        <f>IF(ISBLANK(F91),"-",$D$101/$F$98*F91)</f>
        <v>28839800.26526067</v>
      </c>
      <c r="I91" s="271"/>
    </row>
    <row r="92" spans="1:12" ht="26.25" customHeight="1" x14ac:dyDescent="0.4">
      <c r="A92" s="261" t="s">
        <v>66</v>
      </c>
      <c r="B92" s="262">
        <v>1</v>
      </c>
      <c r="C92" s="332">
        <v>2</v>
      </c>
      <c r="D92" s="595">
        <v>27507255</v>
      </c>
      <c r="E92" s="274">
        <f>IF(ISBLANK(D92),"-",$D$101/$D$98*D92)</f>
        <v>28730604.123582125</v>
      </c>
      <c r="F92" s="595">
        <v>29909184</v>
      </c>
      <c r="G92" s="275">
        <f>IF(ISBLANK(F92),"-",$D$101/$F$98*F92)</f>
        <v>28787119.65027171</v>
      </c>
      <c r="I92" s="920">
        <f>ABS((F96/D96*D95)-F95)/D95</f>
        <v>5.07807944529267E-3</v>
      </c>
    </row>
    <row r="93" spans="1:12" ht="26.25" customHeight="1" x14ac:dyDescent="0.4">
      <c r="A93" s="261" t="s">
        <v>67</v>
      </c>
      <c r="B93" s="262">
        <v>1</v>
      </c>
      <c r="C93" s="332">
        <v>3</v>
      </c>
      <c r="D93" s="595">
        <v>27436326</v>
      </c>
      <c r="E93" s="274">
        <f>IF(ISBLANK(D93),"-",$D$101/$D$98*D93)</f>
        <v>28656520.649244845</v>
      </c>
      <c r="F93" s="595">
        <v>30004656</v>
      </c>
      <c r="G93" s="275">
        <f>IF(ISBLANK(F93),"-",$D$101/$F$98*F93)</f>
        <v>28879009.950162563</v>
      </c>
      <c r="I93" s="920"/>
    </row>
    <row r="94" spans="1:12" ht="27" customHeight="1" x14ac:dyDescent="0.4">
      <c r="A94" s="261" t="s">
        <v>68</v>
      </c>
      <c r="B94" s="262">
        <v>1</v>
      </c>
      <c r="C94" s="349">
        <v>4</v>
      </c>
      <c r="D94" s="596"/>
      <c r="E94" s="278" t="str">
        <f>IF(ISBLANK(D94),"-",$D$101/$D$98*D94)</f>
        <v>-</v>
      </c>
      <c r="F94" s="596"/>
      <c r="G94" s="279" t="str">
        <f>IF(ISBLANK(F94),"-",$D$101/$F$98*F94)</f>
        <v>-</v>
      </c>
      <c r="I94" s="280"/>
    </row>
    <row r="95" spans="1:12" ht="27" customHeight="1" x14ac:dyDescent="0.4">
      <c r="A95" s="261" t="s">
        <v>69</v>
      </c>
      <c r="B95" s="262">
        <v>1</v>
      </c>
      <c r="C95" s="350" t="s">
        <v>70</v>
      </c>
      <c r="D95" s="351">
        <f>AVERAGE(D91:D94)</f>
        <v>27478916</v>
      </c>
      <c r="E95" s="283">
        <f>AVERAGE(E91:E94)</f>
        <v>28701004.783689499</v>
      </c>
      <c r="F95" s="352">
        <f>AVERAGE(F91:F94)</f>
        <v>29959252.666666668</v>
      </c>
      <c r="G95" s="353">
        <f>AVERAGE(G91:G94)</f>
        <v>28835309.955231648</v>
      </c>
    </row>
    <row r="96" spans="1:12" ht="26.25" customHeight="1" x14ac:dyDescent="0.4">
      <c r="A96" s="261" t="s">
        <v>71</v>
      </c>
      <c r="B96" s="247">
        <v>1</v>
      </c>
      <c r="C96" s="354" t="s">
        <v>112</v>
      </c>
      <c r="D96" s="355">
        <v>8.1</v>
      </c>
      <c r="E96" s="276"/>
      <c r="F96" s="287">
        <v>8.7899999999999991</v>
      </c>
    </row>
    <row r="97" spans="1:10" ht="26.25" customHeight="1" x14ac:dyDescent="0.4">
      <c r="A97" s="261" t="s">
        <v>73</v>
      </c>
      <c r="B97" s="247">
        <v>1</v>
      </c>
      <c r="C97" s="356" t="s">
        <v>113</v>
      </c>
      <c r="D97" s="357">
        <f>D96*$B$87</f>
        <v>8.1</v>
      </c>
      <c r="E97" s="290"/>
      <c r="F97" s="289">
        <f>F96*$B$87</f>
        <v>8.7899999999999991</v>
      </c>
    </row>
    <row r="98" spans="1:10" ht="19.5" customHeight="1" x14ac:dyDescent="0.3">
      <c r="A98" s="261" t="s">
        <v>75</v>
      </c>
      <c r="B98" s="358">
        <f>(B97/B96)*(B95/B94)*(B93/B92)*(B91/B90)*B89</f>
        <v>100</v>
      </c>
      <c r="C98" s="356" t="s">
        <v>114</v>
      </c>
      <c r="D98" s="359">
        <f>D97*$B$83/100</f>
        <v>7.9784999999999995</v>
      </c>
      <c r="E98" s="293"/>
      <c r="F98" s="292">
        <f>F97*$B$83/100</f>
        <v>8.6581499999999991</v>
      </c>
    </row>
    <row r="99" spans="1:10" ht="19.5" customHeight="1" x14ac:dyDescent="0.3">
      <c r="A99" s="921" t="s">
        <v>77</v>
      </c>
      <c r="B99" s="935"/>
      <c r="C99" s="356" t="s">
        <v>115</v>
      </c>
      <c r="D99" s="360">
        <f>D98/$B$98</f>
        <v>7.9784999999999995E-2</v>
      </c>
      <c r="E99" s="293"/>
      <c r="F99" s="296">
        <f>F98/$B$98</f>
        <v>8.6581499999999992E-2</v>
      </c>
      <c r="G99" s="361"/>
      <c r="H99" s="285"/>
    </row>
    <row r="100" spans="1:10" ht="19.5" customHeight="1" x14ac:dyDescent="0.3">
      <c r="A100" s="923"/>
      <c r="B100" s="936"/>
      <c r="C100" s="356" t="s">
        <v>79</v>
      </c>
      <c r="D100" s="362">
        <f>$B$56/$B$116</f>
        <v>8.3333333333333329E-2</v>
      </c>
      <c r="F100" s="301"/>
      <c r="G100" s="363"/>
      <c r="H100" s="285"/>
    </row>
    <row r="101" spans="1:10" ht="18.75" x14ac:dyDescent="0.3">
      <c r="C101" s="356" t="s">
        <v>80</v>
      </c>
      <c r="D101" s="357">
        <f>D100*$B$98</f>
        <v>8.3333333333333321</v>
      </c>
      <c r="F101" s="301"/>
      <c r="G101" s="361"/>
      <c r="H101" s="285"/>
    </row>
    <row r="102" spans="1:10" ht="19.5" customHeight="1" x14ac:dyDescent="0.3">
      <c r="C102" s="364" t="s">
        <v>81</v>
      </c>
      <c r="D102" s="365">
        <f>D101/B34</f>
        <v>8.3333333333333321</v>
      </c>
      <c r="F102" s="305"/>
      <c r="G102" s="361"/>
      <c r="H102" s="285"/>
      <c r="J102" s="366"/>
    </row>
    <row r="103" spans="1:10" ht="18.75" x14ac:dyDescent="0.3">
      <c r="C103" s="367" t="s">
        <v>116</v>
      </c>
      <c r="D103" s="368">
        <f>AVERAGE(E91:E94,G91:G94)</f>
        <v>28768157.369460572</v>
      </c>
      <c r="F103" s="305"/>
      <c r="G103" s="369"/>
      <c r="H103" s="285"/>
      <c r="J103" s="370"/>
    </row>
    <row r="104" spans="1:10" ht="18.75" x14ac:dyDescent="0.3">
      <c r="C104" s="335" t="s">
        <v>83</v>
      </c>
      <c r="D104" s="371">
        <f>STDEV(E91:E94,G91:G94)/D103</f>
        <v>2.8826411286817367E-3</v>
      </c>
      <c r="F104" s="305"/>
      <c r="G104" s="361"/>
      <c r="H104" s="285"/>
      <c r="J104" s="370"/>
    </row>
    <row r="105" spans="1:10" ht="19.5" customHeight="1" x14ac:dyDescent="0.3">
      <c r="C105" s="337" t="s">
        <v>19</v>
      </c>
      <c r="D105" s="372">
        <f>COUNT(E91:E94,G91:G94)</f>
        <v>6</v>
      </c>
      <c r="F105" s="305"/>
      <c r="G105" s="361"/>
      <c r="H105" s="285"/>
      <c r="J105" s="370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9" t="s">
        <v>117</v>
      </c>
      <c r="B107" s="260">
        <v>900</v>
      </c>
      <c r="C107" s="373" t="s">
        <v>118</v>
      </c>
      <c r="D107" s="374" t="s">
        <v>62</v>
      </c>
      <c r="E107" s="375" t="s">
        <v>119</v>
      </c>
      <c r="F107" s="376" t="s">
        <v>120</v>
      </c>
    </row>
    <row r="108" spans="1:10" ht="26.25" customHeight="1" x14ac:dyDescent="0.4">
      <c r="A108" s="261" t="s">
        <v>121</v>
      </c>
      <c r="B108" s="262">
        <v>1</v>
      </c>
      <c r="C108" s="377">
        <v>1</v>
      </c>
      <c r="D108" s="378">
        <v>26797649</v>
      </c>
      <c r="E108" s="409">
        <f t="shared" ref="E108:E113" si="1">IF(ISBLANK(D108),"-",D108/$D$103*$D$100*$B$116)</f>
        <v>69.862787845201694</v>
      </c>
      <c r="F108" s="379">
        <f t="shared" ref="F108:F113" si="2">IF(ISBLANK(D108), "-", E108/$B$56)</f>
        <v>0.93150383793602254</v>
      </c>
    </row>
    <row r="109" spans="1:10" ht="26.25" customHeight="1" x14ac:dyDescent="0.4">
      <c r="A109" s="261" t="s">
        <v>94</v>
      </c>
      <c r="B109" s="262">
        <v>1</v>
      </c>
      <c r="C109" s="377">
        <v>2</v>
      </c>
      <c r="D109" s="378">
        <v>26014046</v>
      </c>
      <c r="E109" s="410">
        <f t="shared" si="1"/>
        <v>67.819896316028249</v>
      </c>
      <c r="F109" s="380">
        <f t="shared" si="2"/>
        <v>0.90426528421371</v>
      </c>
    </row>
    <row r="110" spans="1:10" ht="26.25" customHeight="1" x14ac:dyDescent="0.4">
      <c r="A110" s="261" t="s">
        <v>95</v>
      </c>
      <c r="B110" s="262">
        <v>1</v>
      </c>
      <c r="C110" s="377">
        <v>3</v>
      </c>
      <c r="D110" s="378">
        <v>25846136</v>
      </c>
      <c r="E110" s="410">
        <f t="shared" si="1"/>
        <v>67.382146694518994</v>
      </c>
      <c r="F110" s="380">
        <f t="shared" si="2"/>
        <v>0.89842862259358658</v>
      </c>
    </row>
    <row r="111" spans="1:10" ht="26.25" customHeight="1" x14ac:dyDescent="0.4">
      <c r="A111" s="261" t="s">
        <v>96</v>
      </c>
      <c r="B111" s="262">
        <v>1</v>
      </c>
      <c r="C111" s="377">
        <v>4</v>
      </c>
      <c r="D111" s="378">
        <v>26000347</v>
      </c>
      <c r="E111" s="410">
        <f t="shared" si="1"/>
        <v>67.784182349825784</v>
      </c>
      <c r="F111" s="380">
        <f t="shared" si="2"/>
        <v>0.90378909799767715</v>
      </c>
    </row>
    <row r="112" spans="1:10" ht="26.25" customHeight="1" x14ac:dyDescent="0.4">
      <c r="A112" s="261" t="s">
        <v>97</v>
      </c>
      <c r="B112" s="262">
        <v>1</v>
      </c>
      <c r="C112" s="377">
        <v>5</v>
      </c>
      <c r="D112" s="378">
        <v>25993441</v>
      </c>
      <c r="E112" s="410">
        <f t="shared" si="1"/>
        <v>67.766178068447999</v>
      </c>
      <c r="F112" s="380">
        <f t="shared" si="2"/>
        <v>0.90354904091263999</v>
      </c>
    </row>
    <row r="113" spans="1:10" ht="26.25" customHeight="1" x14ac:dyDescent="0.4">
      <c r="A113" s="261" t="s">
        <v>99</v>
      </c>
      <c r="B113" s="262">
        <v>1</v>
      </c>
      <c r="C113" s="381">
        <v>6</v>
      </c>
      <c r="D113" s="382">
        <v>25972725</v>
      </c>
      <c r="E113" s="411">
        <f t="shared" si="1"/>
        <v>67.712170438412954</v>
      </c>
      <c r="F113" s="383">
        <f t="shared" si="2"/>
        <v>0.90282893917883944</v>
      </c>
    </row>
    <row r="114" spans="1:10" ht="26.25" customHeight="1" x14ac:dyDescent="0.4">
      <c r="A114" s="261" t="s">
        <v>100</v>
      </c>
      <c r="B114" s="262">
        <v>1</v>
      </c>
      <c r="C114" s="377"/>
      <c r="D114" s="332"/>
      <c r="E114" s="236"/>
      <c r="F114" s="384"/>
    </row>
    <row r="115" spans="1:10" ht="26.25" customHeight="1" x14ac:dyDescent="0.4">
      <c r="A115" s="261" t="s">
        <v>101</v>
      </c>
      <c r="B115" s="262">
        <v>1</v>
      </c>
      <c r="C115" s="377"/>
      <c r="D115" s="385" t="s">
        <v>70</v>
      </c>
      <c r="E115" s="413">
        <f>AVERAGE(E108:E113)</f>
        <v>68.054560285405941</v>
      </c>
      <c r="F115" s="386">
        <f>AVERAGE(F108:F113)</f>
        <v>0.90739413713874584</v>
      </c>
    </row>
    <row r="116" spans="1:10" ht="27" customHeight="1" x14ac:dyDescent="0.4">
      <c r="A116" s="261" t="s">
        <v>102</v>
      </c>
      <c r="B116" s="291">
        <f>(B115/B114)*(B113/B112)*(B111/B110)*(B109/B108)*B107</f>
        <v>900</v>
      </c>
      <c r="C116" s="387"/>
      <c r="D116" s="350" t="s">
        <v>83</v>
      </c>
      <c r="E116" s="388">
        <f>STDEV(E108:E113)/E115</f>
        <v>1.3225325579687473E-2</v>
      </c>
      <c r="F116" s="388">
        <f>STDEV(F108:F113)/F115</f>
        <v>1.3225325579687447E-2</v>
      </c>
      <c r="I116" s="236"/>
    </row>
    <row r="117" spans="1:10" ht="27" customHeight="1" x14ac:dyDescent="0.4">
      <c r="A117" s="921" t="s">
        <v>77</v>
      </c>
      <c r="B117" s="922"/>
      <c r="C117" s="389"/>
      <c r="D117" s="390" t="s">
        <v>19</v>
      </c>
      <c r="E117" s="391">
        <f>COUNT(E108:E113)</f>
        <v>6</v>
      </c>
      <c r="F117" s="391">
        <f>COUNT(F108:F113)</f>
        <v>6</v>
      </c>
      <c r="I117" s="236"/>
      <c r="J117" s="370"/>
    </row>
    <row r="118" spans="1:10" ht="19.5" customHeight="1" x14ac:dyDescent="0.3">
      <c r="A118" s="923"/>
      <c r="B118" s="924"/>
      <c r="C118" s="236"/>
      <c r="D118" s="236"/>
      <c r="E118" s="236"/>
      <c r="F118" s="332"/>
      <c r="G118" s="236"/>
      <c r="H118" s="236"/>
      <c r="I118" s="236"/>
    </row>
    <row r="119" spans="1:10" ht="18.75" x14ac:dyDescent="0.3">
      <c r="A119" s="400"/>
      <c r="B119" s="257"/>
      <c r="C119" s="236"/>
      <c r="D119" s="236"/>
      <c r="E119" s="236"/>
      <c r="F119" s="332"/>
      <c r="G119" s="236"/>
      <c r="H119" s="236"/>
      <c r="I119" s="236"/>
    </row>
    <row r="120" spans="1:10" ht="26.25" customHeight="1" x14ac:dyDescent="0.4">
      <c r="A120" s="245" t="s">
        <v>105</v>
      </c>
      <c r="B120" s="339" t="s">
        <v>122</v>
      </c>
      <c r="C120" s="933" t="str">
        <f>B20</f>
        <v xml:space="preserve"> ISONIAZID</v>
      </c>
      <c r="D120" s="933"/>
      <c r="E120" s="340" t="s">
        <v>123</v>
      </c>
      <c r="F120" s="340"/>
      <c r="G120" s="341">
        <f>F115</f>
        <v>0.90739413713874584</v>
      </c>
      <c r="H120" s="236"/>
      <c r="I120" s="236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934" t="s">
        <v>25</v>
      </c>
      <c r="C122" s="934"/>
      <c r="E122" s="346" t="s">
        <v>26</v>
      </c>
      <c r="F122" s="394"/>
      <c r="G122" s="934" t="s">
        <v>27</v>
      </c>
      <c r="H122" s="934"/>
    </row>
    <row r="123" spans="1:10" ht="69.95" customHeight="1" x14ac:dyDescent="0.3">
      <c r="A123" s="395" t="s">
        <v>28</v>
      </c>
      <c r="B123" s="396"/>
      <c r="C123" s="396"/>
      <c r="E123" s="396"/>
      <c r="F123" s="236"/>
      <c r="G123" s="397"/>
      <c r="H123" s="397"/>
    </row>
    <row r="124" spans="1:10" ht="69.95" customHeight="1" x14ac:dyDescent="0.3">
      <c r="A124" s="395" t="s">
        <v>29</v>
      </c>
      <c r="B124" s="398"/>
      <c r="C124" s="398"/>
      <c r="E124" s="398"/>
      <c r="F124" s="236"/>
      <c r="G124" s="399"/>
      <c r="H124" s="399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6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6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6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6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6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6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6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6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6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41" sqref="B41"/>
    </sheetView>
  </sheetViews>
  <sheetFormatPr defaultRowHeight="13.5" x14ac:dyDescent="0.25"/>
  <cols>
    <col min="1" max="1" width="27.5703125" style="598" customWidth="1"/>
    <col min="2" max="2" width="20.42578125" style="598" customWidth="1"/>
    <col min="3" max="3" width="31.85546875" style="598" customWidth="1"/>
    <col min="4" max="4" width="30.85546875" style="598" customWidth="1"/>
    <col min="5" max="5" width="29" style="598" customWidth="1"/>
    <col min="6" max="6" width="23.140625" style="598" customWidth="1"/>
    <col min="7" max="7" width="28.42578125" style="598" customWidth="1"/>
    <col min="8" max="8" width="21.5703125" style="598" customWidth="1"/>
    <col min="9" max="9" width="9.140625" style="59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42" t="s">
        <v>0</v>
      </c>
      <c r="B15" s="942"/>
      <c r="C15" s="942"/>
      <c r="D15" s="942"/>
      <c r="E15" s="94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603" t="str">
        <f>'SST I'!B19</f>
        <v>NDQD2016061091</v>
      </c>
      <c r="C19" s="53"/>
      <c r="D19" s="53"/>
      <c r="E19" s="53"/>
    </row>
    <row r="20" spans="1:5" ht="16.5" customHeight="1" x14ac:dyDescent="0.3">
      <c r="A20" s="8" t="s">
        <v>7</v>
      </c>
      <c r="B20" s="12">
        <v>40.270000000000003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B20/50*25/50</f>
        <v>0.40270000000000006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87437494</v>
      </c>
      <c r="C24" s="18">
        <v>9367.2800000000007</v>
      </c>
      <c r="D24" s="19">
        <v>1.1399999999999999</v>
      </c>
      <c r="E24" s="20">
        <v>3.17</v>
      </c>
    </row>
    <row r="25" spans="1:5" ht="16.5" customHeight="1" x14ac:dyDescent="0.3">
      <c r="A25" s="17">
        <v>2</v>
      </c>
      <c r="B25" s="18">
        <v>87516591</v>
      </c>
      <c r="C25" s="18">
        <v>6011.61</v>
      </c>
      <c r="D25" s="19">
        <v>1.17</v>
      </c>
      <c r="E25" s="19">
        <v>2.88</v>
      </c>
    </row>
    <row r="26" spans="1:5" ht="16.5" customHeight="1" x14ac:dyDescent="0.3">
      <c r="A26" s="17">
        <v>3</v>
      </c>
      <c r="B26" s="18">
        <v>87320555</v>
      </c>
      <c r="C26" s="18">
        <v>6262.97</v>
      </c>
      <c r="D26" s="19">
        <v>1.1200000000000001</v>
      </c>
      <c r="E26" s="19">
        <v>2.91</v>
      </c>
    </row>
    <row r="27" spans="1:5" ht="16.5" customHeight="1" x14ac:dyDescent="0.3">
      <c r="A27" s="17">
        <v>4</v>
      </c>
      <c r="B27" s="18">
        <v>87477360</v>
      </c>
      <c r="C27" s="18">
        <v>9351.2000000000007</v>
      </c>
      <c r="D27" s="19">
        <v>1.1100000000000001</v>
      </c>
      <c r="E27" s="19">
        <v>3.18</v>
      </c>
    </row>
    <row r="28" spans="1:5" ht="16.5" customHeight="1" x14ac:dyDescent="0.3">
      <c r="A28" s="17">
        <v>5</v>
      </c>
      <c r="B28" s="18">
        <v>88023509</v>
      </c>
      <c r="C28" s="18">
        <v>9163.92</v>
      </c>
      <c r="D28" s="19">
        <v>1.1399999999999999</v>
      </c>
      <c r="E28" s="19">
        <v>3.17</v>
      </c>
    </row>
    <row r="29" spans="1:5" ht="16.5" customHeight="1" x14ac:dyDescent="0.3">
      <c r="A29" s="17">
        <v>6</v>
      </c>
      <c r="B29" s="21">
        <v>87567070</v>
      </c>
      <c r="C29" s="21">
        <v>9166.9699999999993</v>
      </c>
      <c r="D29" s="22">
        <v>1.1200000000000001</v>
      </c>
      <c r="E29" s="22">
        <v>3.17</v>
      </c>
    </row>
    <row r="30" spans="1:5" ht="16.5" customHeight="1" x14ac:dyDescent="0.3">
      <c r="A30" s="23" t="s">
        <v>17</v>
      </c>
      <c r="B30" s="24">
        <f>AVERAGE(B24:B29)</f>
        <v>87557096.5</v>
      </c>
      <c r="C30" s="25">
        <f>AVERAGE(C24:C29)</f>
        <v>8220.6583333333347</v>
      </c>
      <c r="D30" s="26">
        <f>AVERAGE(D24:D29)</f>
        <v>1.1333333333333333</v>
      </c>
      <c r="E30" s="26">
        <f>AVERAGE(E24:E29)</f>
        <v>3.08</v>
      </c>
    </row>
    <row r="31" spans="1:5" ht="16.5" customHeight="1" x14ac:dyDescent="0.3">
      <c r="A31" s="27" t="s">
        <v>18</v>
      </c>
      <c r="B31" s="28">
        <f>(STDEV(B24:B29)/B30)</f>
        <v>2.7783867910570002E-3</v>
      </c>
      <c r="C31" s="29"/>
      <c r="D31" s="29"/>
      <c r="E31" s="30"/>
    </row>
    <row r="32" spans="1:5" s="598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598" customFormat="1" ht="15.75" customHeight="1" x14ac:dyDescent="0.25">
      <c r="A33" s="53"/>
      <c r="B33" s="53"/>
      <c r="C33" s="53"/>
      <c r="D33" s="53"/>
      <c r="E33" s="53"/>
    </row>
    <row r="34" spans="1:5" s="598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1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139</v>
      </c>
      <c r="C40" s="53"/>
      <c r="D40" s="53"/>
      <c r="E40" s="53"/>
    </row>
    <row r="41" spans="1:5" ht="16.5" customHeight="1" x14ac:dyDescent="0.3">
      <c r="A41" s="8" t="s">
        <v>7</v>
      </c>
      <c r="B41" s="12">
        <v>40.270000000000003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B41/50*25/50</f>
        <v>0.40270000000000006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87437494</v>
      </c>
      <c r="C45" s="18">
        <v>9367.2800000000007</v>
      </c>
      <c r="D45" s="19">
        <v>1.1399999999999999</v>
      </c>
      <c r="E45" s="20">
        <v>3.17</v>
      </c>
    </row>
    <row r="46" spans="1:5" ht="16.5" customHeight="1" x14ac:dyDescent="0.3">
      <c r="A46" s="17">
        <v>2</v>
      </c>
      <c r="B46" s="18">
        <v>87516591</v>
      </c>
      <c r="C46" s="18">
        <v>6011.61</v>
      </c>
      <c r="D46" s="19">
        <v>1.17</v>
      </c>
      <c r="E46" s="19">
        <v>2.88</v>
      </c>
    </row>
    <row r="47" spans="1:5" ht="16.5" customHeight="1" x14ac:dyDescent="0.3">
      <c r="A47" s="17">
        <v>3</v>
      </c>
      <c r="B47" s="18">
        <v>87320555</v>
      </c>
      <c r="C47" s="18">
        <v>6262.97</v>
      </c>
      <c r="D47" s="19">
        <v>1.1200000000000001</v>
      </c>
      <c r="E47" s="19">
        <v>2.91</v>
      </c>
    </row>
    <row r="48" spans="1:5" ht="16.5" customHeight="1" x14ac:dyDescent="0.3">
      <c r="A48" s="17">
        <v>4</v>
      </c>
      <c r="B48" s="18">
        <v>87477360</v>
      </c>
      <c r="C48" s="18">
        <v>9351.2000000000007</v>
      </c>
      <c r="D48" s="19">
        <v>1.1100000000000001</v>
      </c>
      <c r="E48" s="19">
        <v>3.18</v>
      </c>
    </row>
    <row r="49" spans="1:7" ht="16.5" customHeight="1" x14ac:dyDescent="0.3">
      <c r="A49" s="17">
        <v>5</v>
      </c>
      <c r="B49" s="18">
        <v>88023509</v>
      </c>
      <c r="C49" s="18">
        <v>9163.92</v>
      </c>
      <c r="D49" s="19">
        <v>1.1399999999999999</v>
      </c>
      <c r="E49" s="19">
        <v>3.17</v>
      </c>
    </row>
    <row r="50" spans="1:7" ht="16.5" customHeight="1" x14ac:dyDescent="0.3">
      <c r="A50" s="17">
        <v>6</v>
      </c>
      <c r="B50" s="21">
        <v>87567070</v>
      </c>
      <c r="C50" s="21">
        <v>9166.9699999999993</v>
      </c>
      <c r="D50" s="22">
        <v>1.1200000000000001</v>
      </c>
      <c r="E50" s="22">
        <v>3.17</v>
      </c>
    </row>
    <row r="51" spans="1:7" ht="16.5" customHeight="1" x14ac:dyDescent="0.3">
      <c r="A51" s="23" t="s">
        <v>17</v>
      </c>
      <c r="B51" s="24">
        <f>AVERAGE(B45:B50)</f>
        <v>87557096.5</v>
      </c>
      <c r="C51" s="25">
        <f>AVERAGE(C45:C50)</f>
        <v>8220.6583333333347</v>
      </c>
      <c r="D51" s="26">
        <f>AVERAGE(D45:D50)</f>
        <v>1.1333333333333333</v>
      </c>
      <c r="E51" s="26">
        <f>AVERAGE(E45:E50)</f>
        <v>3.08</v>
      </c>
    </row>
    <row r="52" spans="1:7" ht="16.5" customHeight="1" x14ac:dyDescent="0.3">
      <c r="A52" s="27" t="s">
        <v>18</v>
      </c>
      <c r="B52" s="28">
        <f>(STDEV(B45:B50)/B51)</f>
        <v>2.7783867910570002E-3</v>
      </c>
      <c r="C52" s="29"/>
      <c r="D52" s="29"/>
      <c r="E52" s="30"/>
    </row>
    <row r="53" spans="1:7" s="598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598" customFormat="1" ht="15.75" customHeight="1" x14ac:dyDescent="0.25">
      <c r="A54" s="53"/>
      <c r="B54" s="53"/>
      <c r="C54" s="53"/>
      <c r="D54" s="53"/>
      <c r="E54" s="53"/>
    </row>
    <row r="55" spans="1:7" s="598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97"/>
      <c r="D58" s="43"/>
      <c r="F58" s="44"/>
      <c r="G58" s="44"/>
    </row>
    <row r="59" spans="1:7" ht="15" customHeight="1" x14ac:dyDescent="0.3">
      <c r="B59" s="943" t="s">
        <v>25</v>
      </c>
      <c r="C59" s="943"/>
      <c r="E59" s="599" t="s">
        <v>26</v>
      </c>
      <c r="F59" s="46"/>
      <c r="G59" s="599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6" zoomScale="60" zoomScaleNormal="40" zoomScalePageLayoutView="60" workbookViewId="0">
      <selection activeCell="H121" sqref="H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31" t="s">
        <v>44</v>
      </c>
      <c r="B1" s="931"/>
      <c r="C1" s="931"/>
      <c r="D1" s="931"/>
      <c r="E1" s="931"/>
      <c r="F1" s="931"/>
      <c r="G1" s="931"/>
      <c r="H1" s="931"/>
      <c r="I1" s="931"/>
    </row>
    <row r="2" spans="1:9" ht="18.75" customHeight="1" x14ac:dyDescent="0.25">
      <c r="A2" s="931"/>
      <c r="B2" s="931"/>
      <c r="C2" s="931"/>
      <c r="D2" s="931"/>
      <c r="E2" s="931"/>
      <c r="F2" s="931"/>
      <c r="G2" s="931"/>
      <c r="H2" s="931"/>
      <c r="I2" s="931"/>
    </row>
    <row r="3" spans="1:9" ht="18.75" customHeight="1" x14ac:dyDescent="0.25">
      <c r="A3" s="931"/>
      <c r="B3" s="931"/>
      <c r="C3" s="931"/>
      <c r="D3" s="931"/>
      <c r="E3" s="931"/>
      <c r="F3" s="931"/>
      <c r="G3" s="931"/>
      <c r="H3" s="931"/>
      <c r="I3" s="931"/>
    </row>
    <row r="4" spans="1:9" ht="18.75" customHeight="1" x14ac:dyDescent="0.25">
      <c r="A4" s="931"/>
      <c r="B4" s="931"/>
      <c r="C4" s="931"/>
      <c r="D4" s="931"/>
      <c r="E4" s="931"/>
      <c r="F4" s="931"/>
      <c r="G4" s="931"/>
      <c r="H4" s="931"/>
      <c r="I4" s="931"/>
    </row>
    <row r="5" spans="1:9" ht="18.75" customHeight="1" x14ac:dyDescent="0.25">
      <c r="A5" s="931"/>
      <c r="B5" s="931"/>
      <c r="C5" s="931"/>
      <c r="D5" s="931"/>
      <c r="E5" s="931"/>
      <c r="F5" s="931"/>
      <c r="G5" s="931"/>
      <c r="H5" s="931"/>
      <c r="I5" s="931"/>
    </row>
    <row r="6" spans="1:9" ht="18.75" customHeight="1" x14ac:dyDescent="0.25">
      <c r="A6" s="931"/>
      <c r="B6" s="931"/>
      <c r="C6" s="931"/>
      <c r="D6" s="931"/>
      <c r="E6" s="931"/>
      <c r="F6" s="931"/>
      <c r="G6" s="931"/>
      <c r="H6" s="931"/>
      <c r="I6" s="931"/>
    </row>
    <row r="7" spans="1:9" ht="18.75" customHeight="1" x14ac:dyDescent="0.25">
      <c r="A7" s="931"/>
      <c r="B7" s="931"/>
      <c r="C7" s="931"/>
      <c r="D7" s="931"/>
      <c r="E7" s="931"/>
      <c r="F7" s="931"/>
      <c r="G7" s="931"/>
      <c r="H7" s="931"/>
      <c r="I7" s="931"/>
    </row>
    <row r="8" spans="1:9" x14ac:dyDescent="0.25">
      <c r="A8" s="932" t="s">
        <v>45</v>
      </c>
      <c r="B8" s="932"/>
      <c r="C8" s="932"/>
      <c r="D8" s="932"/>
      <c r="E8" s="932"/>
      <c r="F8" s="932"/>
      <c r="G8" s="932"/>
      <c r="H8" s="932"/>
      <c r="I8" s="932"/>
    </row>
    <row r="9" spans="1:9" x14ac:dyDescent="0.25">
      <c r="A9" s="932"/>
      <c r="B9" s="932"/>
      <c r="C9" s="932"/>
      <c r="D9" s="932"/>
      <c r="E9" s="932"/>
      <c r="F9" s="932"/>
      <c r="G9" s="932"/>
      <c r="H9" s="932"/>
      <c r="I9" s="932"/>
    </row>
    <row r="10" spans="1:9" x14ac:dyDescent="0.25">
      <c r="A10" s="932"/>
      <c r="B10" s="932"/>
      <c r="C10" s="932"/>
      <c r="D10" s="932"/>
      <c r="E10" s="932"/>
      <c r="F10" s="932"/>
      <c r="G10" s="932"/>
      <c r="H10" s="932"/>
      <c r="I10" s="932"/>
    </row>
    <row r="11" spans="1:9" x14ac:dyDescent="0.25">
      <c r="A11" s="932"/>
      <c r="B11" s="932"/>
      <c r="C11" s="932"/>
      <c r="D11" s="932"/>
      <c r="E11" s="932"/>
      <c r="F11" s="932"/>
      <c r="G11" s="932"/>
      <c r="H11" s="932"/>
      <c r="I11" s="932"/>
    </row>
    <row r="12" spans="1:9" x14ac:dyDescent="0.25">
      <c r="A12" s="932"/>
      <c r="B12" s="932"/>
      <c r="C12" s="932"/>
      <c r="D12" s="932"/>
      <c r="E12" s="932"/>
      <c r="F12" s="932"/>
      <c r="G12" s="932"/>
      <c r="H12" s="932"/>
      <c r="I12" s="932"/>
    </row>
    <row r="13" spans="1:9" x14ac:dyDescent="0.25">
      <c r="A13" s="932"/>
      <c r="B13" s="932"/>
      <c r="C13" s="932"/>
      <c r="D13" s="932"/>
      <c r="E13" s="932"/>
      <c r="F13" s="932"/>
      <c r="G13" s="932"/>
      <c r="H13" s="932"/>
      <c r="I13" s="932"/>
    </row>
    <row r="14" spans="1:9" x14ac:dyDescent="0.25">
      <c r="A14" s="932"/>
      <c r="B14" s="932"/>
      <c r="C14" s="932"/>
      <c r="D14" s="932"/>
      <c r="E14" s="932"/>
      <c r="F14" s="932"/>
      <c r="G14" s="932"/>
      <c r="H14" s="932"/>
      <c r="I14" s="932"/>
    </row>
    <row r="15" spans="1:9" ht="19.5" customHeight="1" x14ac:dyDescent="0.3">
      <c r="A15" s="415"/>
    </row>
    <row r="16" spans="1:9" ht="19.5" customHeight="1" x14ac:dyDescent="0.3">
      <c r="A16" s="904" t="s">
        <v>30</v>
      </c>
      <c r="B16" s="905"/>
      <c r="C16" s="905"/>
      <c r="D16" s="905"/>
      <c r="E16" s="905"/>
      <c r="F16" s="905"/>
      <c r="G16" s="905"/>
      <c r="H16" s="906"/>
    </row>
    <row r="17" spans="1:14" ht="20.25" customHeight="1" x14ac:dyDescent="0.25">
      <c r="A17" s="907" t="s">
        <v>46</v>
      </c>
      <c r="B17" s="907"/>
      <c r="C17" s="907"/>
      <c r="D17" s="907"/>
      <c r="E17" s="907"/>
      <c r="F17" s="907"/>
      <c r="G17" s="907"/>
      <c r="H17" s="907"/>
    </row>
    <row r="18" spans="1:14" ht="26.25" customHeight="1" x14ac:dyDescent="0.4">
      <c r="A18" s="417" t="s">
        <v>32</v>
      </c>
      <c r="B18" s="903" t="s">
        <v>5</v>
      </c>
      <c r="C18" s="903"/>
      <c r="D18" s="580"/>
      <c r="E18" s="418"/>
      <c r="F18" s="419"/>
      <c r="G18" s="419"/>
      <c r="H18" s="419"/>
    </row>
    <row r="19" spans="1:14" ht="26.25" customHeight="1" x14ac:dyDescent="0.4">
      <c r="A19" s="417" t="s">
        <v>33</v>
      </c>
      <c r="B19" s="602" t="str">
        <f>Rifampicin!B19</f>
        <v>NDQD2016061091</v>
      </c>
      <c r="C19" s="593">
        <v>29</v>
      </c>
      <c r="D19" s="419"/>
      <c r="E19" s="419"/>
      <c r="F19" s="419"/>
      <c r="G19" s="419"/>
      <c r="H19" s="419"/>
    </row>
    <row r="20" spans="1:14" ht="26.25" customHeight="1" x14ac:dyDescent="0.4">
      <c r="A20" s="417" t="s">
        <v>34</v>
      </c>
      <c r="B20" s="944" t="s">
        <v>126</v>
      </c>
      <c r="C20" s="908"/>
      <c r="D20" s="419"/>
      <c r="E20" s="419"/>
      <c r="F20" s="419"/>
      <c r="G20" s="419"/>
      <c r="H20" s="419"/>
    </row>
    <row r="21" spans="1:14" ht="26.25" customHeight="1" x14ac:dyDescent="0.4">
      <c r="A21" s="417" t="s">
        <v>35</v>
      </c>
      <c r="B21" s="908" t="s">
        <v>10</v>
      </c>
      <c r="C21" s="908"/>
      <c r="D21" s="908"/>
      <c r="E21" s="908"/>
      <c r="F21" s="908"/>
      <c r="G21" s="908"/>
      <c r="H21" s="908"/>
      <c r="I21" s="420"/>
    </row>
    <row r="22" spans="1:14" ht="26.25" customHeight="1" x14ac:dyDescent="0.4">
      <c r="A22" s="417" t="s">
        <v>36</v>
      </c>
      <c r="B22" s="421" t="s">
        <v>11</v>
      </c>
      <c r="C22" s="419"/>
      <c r="D22" s="419"/>
      <c r="E22" s="419"/>
      <c r="F22" s="419"/>
      <c r="G22" s="419"/>
      <c r="H22" s="419"/>
    </row>
    <row r="23" spans="1:14" ht="26.25" customHeight="1" x14ac:dyDescent="0.4">
      <c r="A23" s="417" t="s">
        <v>37</v>
      </c>
      <c r="B23" s="421"/>
      <c r="C23" s="419"/>
      <c r="D23" s="419"/>
      <c r="E23" s="419"/>
      <c r="F23" s="419"/>
      <c r="G23" s="419"/>
      <c r="H23" s="419"/>
    </row>
    <row r="24" spans="1:14" ht="18.75" x14ac:dyDescent="0.3">
      <c r="A24" s="417"/>
      <c r="B24" s="422"/>
    </row>
    <row r="25" spans="1:14" ht="18.75" x14ac:dyDescent="0.3">
      <c r="A25" s="423" t="s">
        <v>1</v>
      </c>
      <c r="B25" s="422"/>
    </row>
    <row r="26" spans="1:14" ht="26.25" customHeight="1" x14ac:dyDescent="0.4">
      <c r="A26" s="424" t="s">
        <v>4</v>
      </c>
      <c r="B26" s="903" t="s">
        <v>126</v>
      </c>
      <c r="C26" s="903"/>
    </row>
    <row r="27" spans="1:14" ht="26.25" customHeight="1" x14ac:dyDescent="0.4">
      <c r="A27" s="425" t="s">
        <v>47</v>
      </c>
      <c r="B27" s="909" t="s">
        <v>131</v>
      </c>
      <c r="C27" s="909"/>
    </row>
    <row r="28" spans="1:14" ht="27" customHeight="1" x14ac:dyDescent="0.4">
      <c r="A28" s="425" t="s">
        <v>6</v>
      </c>
      <c r="B28" s="426">
        <v>99.5</v>
      </c>
    </row>
    <row r="29" spans="1:14" s="14" customFormat="1" ht="27" customHeight="1" x14ac:dyDescent="0.4">
      <c r="A29" s="425" t="s">
        <v>48</v>
      </c>
      <c r="B29" s="427">
        <v>0</v>
      </c>
      <c r="C29" s="910" t="s">
        <v>49</v>
      </c>
      <c r="D29" s="911"/>
      <c r="E29" s="911"/>
      <c r="F29" s="911"/>
      <c r="G29" s="912"/>
      <c r="I29" s="428"/>
      <c r="J29" s="428"/>
      <c r="K29" s="428"/>
      <c r="L29" s="428"/>
    </row>
    <row r="30" spans="1:14" s="14" customFormat="1" ht="19.5" customHeight="1" x14ac:dyDescent="0.3">
      <c r="A30" s="425" t="s">
        <v>50</v>
      </c>
      <c r="B30" s="429">
        <f>B28-B29</f>
        <v>99.5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14" customFormat="1" ht="27" customHeight="1" x14ac:dyDescent="0.4">
      <c r="A31" s="425" t="s">
        <v>51</v>
      </c>
      <c r="B31" s="432">
        <v>1</v>
      </c>
      <c r="C31" s="913" t="s">
        <v>52</v>
      </c>
      <c r="D31" s="914"/>
      <c r="E31" s="914"/>
      <c r="F31" s="914"/>
      <c r="G31" s="914"/>
      <c r="H31" s="915"/>
      <c r="I31" s="428"/>
      <c r="J31" s="428"/>
      <c r="K31" s="428"/>
      <c r="L31" s="428"/>
    </row>
    <row r="32" spans="1:14" s="14" customFormat="1" ht="27" customHeight="1" x14ac:dyDescent="0.4">
      <c r="A32" s="425" t="s">
        <v>53</v>
      </c>
      <c r="B32" s="432">
        <v>1</v>
      </c>
      <c r="C32" s="913" t="s">
        <v>54</v>
      </c>
      <c r="D32" s="914"/>
      <c r="E32" s="914"/>
      <c r="F32" s="914"/>
      <c r="G32" s="914"/>
      <c r="H32" s="915"/>
      <c r="I32" s="428"/>
      <c r="J32" s="428"/>
      <c r="K32" s="428"/>
      <c r="L32" s="433"/>
      <c r="M32" s="433"/>
      <c r="N32" s="434"/>
    </row>
    <row r="33" spans="1:14" s="14" customFormat="1" ht="17.25" customHeight="1" x14ac:dyDescent="0.3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14" customFormat="1" ht="18.75" x14ac:dyDescent="0.3">
      <c r="A34" s="425" t="s">
        <v>55</v>
      </c>
      <c r="B34" s="437">
        <f>B31/B32</f>
        <v>1</v>
      </c>
      <c r="C34" s="416" t="s">
        <v>56</v>
      </c>
      <c r="D34" s="416"/>
      <c r="E34" s="416"/>
      <c r="F34" s="416"/>
      <c r="G34" s="416"/>
      <c r="I34" s="428"/>
      <c r="J34" s="428"/>
      <c r="K34" s="428"/>
      <c r="L34" s="433"/>
      <c r="M34" s="433"/>
      <c r="N34" s="434"/>
    </row>
    <row r="35" spans="1:14" s="14" customFormat="1" ht="19.5" customHeight="1" x14ac:dyDescent="0.3">
      <c r="A35" s="425"/>
      <c r="B35" s="429"/>
      <c r="G35" s="416"/>
      <c r="I35" s="428"/>
      <c r="J35" s="428"/>
      <c r="K35" s="428"/>
      <c r="L35" s="433"/>
      <c r="M35" s="433"/>
      <c r="N35" s="434"/>
    </row>
    <row r="36" spans="1:14" s="14" customFormat="1" ht="27" customHeight="1" x14ac:dyDescent="0.4">
      <c r="A36" s="438" t="s">
        <v>57</v>
      </c>
      <c r="B36" s="439">
        <v>100</v>
      </c>
      <c r="C36" s="416"/>
      <c r="D36" s="916" t="s">
        <v>58</v>
      </c>
      <c r="E36" s="917"/>
      <c r="F36" s="916" t="s">
        <v>59</v>
      </c>
      <c r="G36" s="918"/>
      <c r="J36" s="428"/>
      <c r="K36" s="428"/>
      <c r="L36" s="433"/>
      <c r="M36" s="433"/>
      <c r="N36" s="434"/>
    </row>
    <row r="37" spans="1:14" s="14" customFormat="1" ht="27" customHeight="1" x14ac:dyDescent="0.4">
      <c r="A37" s="440" t="s">
        <v>60</v>
      </c>
      <c r="B37" s="441">
        <v>1</v>
      </c>
      <c r="C37" s="442" t="s">
        <v>61</v>
      </c>
      <c r="D37" s="443" t="s">
        <v>62</v>
      </c>
      <c r="E37" s="444" t="s">
        <v>63</v>
      </c>
      <c r="F37" s="443" t="s">
        <v>62</v>
      </c>
      <c r="G37" s="445" t="s">
        <v>63</v>
      </c>
      <c r="I37" s="446" t="s">
        <v>64</v>
      </c>
      <c r="J37" s="428"/>
      <c r="K37" s="428"/>
      <c r="L37" s="433"/>
      <c r="M37" s="433"/>
      <c r="N37" s="434"/>
    </row>
    <row r="38" spans="1:14" s="14" customFormat="1" ht="26.25" customHeight="1" x14ac:dyDescent="0.4">
      <c r="A38" s="440" t="s">
        <v>65</v>
      </c>
      <c r="B38" s="441">
        <v>1</v>
      </c>
      <c r="C38" s="447">
        <v>1</v>
      </c>
      <c r="D38" s="594">
        <v>87340763</v>
      </c>
      <c r="E38" s="448">
        <f>IF(ISBLANK(D38),"-",$D$48/$D$45*D38)</f>
        <v>93730455.331038088</v>
      </c>
      <c r="F38" s="594">
        <v>91535546</v>
      </c>
      <c r="G38" s="449">
        <f>IF(ISBLANK(F38),"-",$D$48/$F$45*F38)</f>
        <v>93606424.88352792</v>
      </c>
      <c r="I38" s="450"/>
      <c r="J38" s="428"/>
      <c r="K38" s="428"/>
      <c r="L38" s="433"/>
      <c r="M38" s="433"/>
      <c r="N38" s="434"/>
    </row>
    <row r="39" spans="1:14" s="14" customFormat="1" ht="26.25" customHeight="1" x14ac:dyDescent="0.4">
      <c r="A39" s="440" t="s">
        <v>66</v>
      </c>
      <c r="B39" s="441">
        <v>1</v>
      </c>
      <c r="C39" s="451">
        <v>2</v>
      </c>
      <c r="D39" s="595">
        <v>87516591</v>
      </c>
      <c r="E39" s="453">
        <f>IF(ISBLANK(D39),"-",$D$48/$D$45*D39)</f>
        <v>93919146.589665473</v>
      </c>
      <c r="F39" s="595">
        <v>91443118</v>
      </c>
      <c r="G39" s="454">
        <f>IF(ISBLANK(F39),"-",$D$48/$F$45*F39)</f>
        <v>93511905.813972846</v>
      </c>
      <c r="I39" s="920">
        <f>ABS((F43/D43*D42)-F42)/D42</f>
        <v>1.6939018947489698E-3</v>
      </c>
      <c r="J39" s="428"/>
      <c r="K39" s="428"/>
      <c r="L39" s="433"/>
      <c r="M39" s="433"/>
      <c r="N39" s="434"/>
    </row>
    <row r="40" spans="1:14" ht="26.25" customHeight="1" x14ac:dyDescent="0.4">
      <c r="A40" s="440" t="s">
        <v>67</v>
      </c>
      <c r="B40" s="441">
        <v>1</v>
      </c>
      <c r="C40" s="451">
        <v>3</v>
      </c>
      <c r="D40" s="595">
        <v>87320555</v>
      </c>
      <c r="E40" s="453">
        <f>IF(ISBLANK(D40),"-",$D$48/$D$45*D40)</f>
        <v>93708768.950289056</v>
      </c>
      <c r="F40" s="595">
        <v>91711040</v>
      </c>
      <c r="G40" s="454">
        <f>IF(ISBLANK(F40),"-",$D$48/$F$45*F40)</f>
        <v>93785889.218929484</v>
      </c>
      <c r="I40" s="920"/>
      <c r="L40" s="433"/>
      <c r="M40" s="433"/>
      <c r="N40" s="455"/>
    </row>
    <row r="41" spans="1:14" ht="27" customHeight="1" x14ac:dyDescent="0.4">
      <c r="A41" s="440" t="s">
        <v>68</v>
      </c>
      <c r="B41" s="441">
        <v>1</v>
      </c>
      <c r="C41" s="456">
        <v>4</v>
      </c>
      <c r="D41" s="596"/>
      <c r="E41" s="457" t="str">
        <f>IF(ISBLANK(D41),"-",$D$48/$D$45*D41)</f>
        <v>-</v>
      </c>
      <c r="F41" s="596"/>
      <c r="G41" s="458" t="str">
        <f>IF(ISBLANK(F41),"-",$D$48/$F$45*F41)</f>
        <v>-</v>
      </c>
      <c r="I41" s="459"/>
      <c r="L41" s="433"/>
      <c r="M41" s="433"/>
      <c r="N41" s="455"/>
    </row>
    <row r="42" spans="1:14" ht="27" customHeight="1" x14ac:dyDescent="0.4">
      <c r="A42" s="440" t="s">
        <v>69</v>
      </c>
      <c r="B42" s="441">
        <v>1</v>
      </c>
      <c r="C42" s="460" t="s">
        <v>70</v>
      </c>
      <c r="D42" s="461">
        <f>AVERAGE(D38:D41)</f>
        <v>87392636.333333328</v>
      </c>
      <c r="E42" s="462">
        <f>AVERAGE(E38:E41)</f>
        <v>93786123.6236642</v>
      </c>
      <c r="F42" s="461">
        <f>AVERAGE(F38:F41)</f>
        <v>91563234.666666672</v>
      </c>
      <c r="G42" s="463">
        <f>AVERAGE(G38:G41)</f>
        <v>93634739.972143412</v>
      </c>
      <c r="H42" s="464"/>
    </row>
    <row r="43" spans="1:14" ht="26.25" customHeight="1" x14ac:dyDescent="0.4">
      <c r="A43" s="440" t="s">
        <v>71</v>
      </c>
      <c r="B43" s="441">
        <v>1</v>
      </c>
      <c r="C43" s="465" t="s">
        <v>72</v>
      </c>
      <c r="D43" s="466">
        <v>40.270000000000003</v>
      </c>
      <c r="E43" s="455"/>
      <c r="F43" s="466">
        <v>42.26</v>
      </c>
      <c r="H43" s="464"/>
    </row>
    <row r="44" spans="1:14" ht="26.25" customHeight="1" x14ac:dyDescent="0.4">
      <c r="A44" s="440" t="s">
        <v>73</v>
      </c>
      <c r="B44" s="441">
        <v>1</v>
      </c>
      <c r="C44" s="467" t="s">
        <v>74</v>
      </c>
      <c r="D44" s="468">
        <f>D43*$B$34</f>
        <v>40.270000000000003</v>
      </c>
      <c r="E44" s="469"/>
      <c r="F44" s="468">
        <f>F43*$B$34</f>
        <v>42.26</v>
      </c>
      <c r="H44" s="464"/>
    </row>
    <row r="45" spans="1:14" ht="19.5" customHeight="1" x14ac:dyDescent="0.3">
      <c r="A45" s="440" t="s">
        <v>75</v>
      </c>
      <c r="B45" s="470">
        <f>(B44/B43)*(B42/B41)*(B40/B39)*(B38/B37)*B36</f>
        <v>100</v>
      </c>
      <c r="C45" s="467" t="s">
        <v>76</v>
      </c>
      <c r="D45" s="471">
        <f>D44*$B$30/100</f>
        <v>40.068650000000005</v>
      </c>
      <c r="E45" s="472"/>
      <c r="F45" s="471">
        <f>F44*$B$30/100</f>
        <v>42.048699999999997</v>
      </c>
      <c r="H45" s="464"/>
    </row>
    <row r="46" spans="1:14" ht="19.5" customHeight="1" x14ac:dyDescent="0.3">
      <c r="A46" s="921" t="s">
        <v>77</v>
      </c>
      <c r="B46" s="922"/>
      <c r="C46" s="467" t="s">
        <v>78</v>
      </c>
      <c r="D46" s="473">
        <f>D45/$B$45</f>
        <v>0.40068650000000006</v>
      </c>
      <c r="E46" s="474"/>
      <c r="F46" s="475">
        <f>F45/$B$45</f>
        <v>0.42048699999999994</v>
      </c>
      <c r="H46" s="464"/>
    </row>
    <row r="47" spans="1:14" ht="27" customHeight="1" x14ac:dyDescent="0.4">
      <c r="A47" s="923"/>
      <c r="B47" s="924"/>
      <c r="C47" s="476" t="s">
        <v>79</v>
      </c>
      <c r="D47" s="477">
        <v>0.43</v>
      </c>
      <c r="E47" s="478"/>
      <c r="F47" s="474"/>
      <c r="H47" s="464"/>
    </row>
    <row r="48" spans="1:14" ht="18.75" x14ac:dyDescent="0.3">
      <c r="C48" s="479" t="s">
        <v>80</v>
      </c>
      <c r="D48" s="471">
        <f>D47*$B$45</f>
        <v>43</v>
      </c>
      <c r="F48" s="480"/>
      <c r="H48" s="464"/>
    </row>
    <row r="49" spans="1:12" ht="19.5" customHeight="1" x14ac:dyDescent="0.3">
      <c r="C49" s="481" t="s">
        <v>81</v>
      </c>
      <c r="D49" s="482">
        <f>D48/B34</f>
        <v>43</v>
      </c>
      <c r="F49" s="480"/>
      <c r="H49" s="464"/>
    </row>
    <row r="50" spans="1:12" ht="18.75" x14ac:dyDescent="0.3">
      <c r="C50" s="438" t="s">
        <v>82</v>
      </c>
      <c r="D50" s="483">
        <f>AVERAGE(E38:E41,G38:G41)</f>
        <v>93710431.797903821</v>
      </c>
      <c r="F50" s="484"/>
      <c r="H50" s="464"/>
    </row>
    <row r="51" spans="1:12" ht="18.75" x14ac:dyDescent="0.3">
      <c r="C51" s="440" t="s">
        <v>83</v>
      </c>
      <c r="D51" s="485">
        <f>STDEV(E38:E41,G38:G41)/D50</f>
        <v>1.5082966173561789E-3</v>
      </c>
      <c r="F51" s="484"/>
      <c r="H51" s="464"/>
    </row>
    <row r="52" spans="1:12" ht="19.5" customHeight="1" x14ac:dyDescent="0.3">
      <c r="C52" s="486" t="s">
        <v>19</v>
      </c>
      <c r="D52" s="487">
        <f>COUNT(E38:E41,G38:G41)</f>
        <v>6</v>
      </c>
      <c r="F52" s="484"/>
    </row>
    <row r="54" spans="1:12" ht="18.75" x14ac:dyDescent="0.3">
      <c r="A54" s="488" t="s">
        <v>1</v>
      </c>
      <c r="B54" s="489" t="s">
        <v>84</v>
      </c>
    </row>
    <row r="55" spans="1:12" ht="18.75" x14ac:dyDescent="0.3">
      <c r="A55" s="416" t="s">
        <v>85</v>
      </c>
      <c r="B55" s="490" t="str">
        <f>B21</f>
        <v>RIFAMPICIN 150mg, ISONIAZID 75mg, PYRAZINAMIDE 400mg &amp; ETHAMBUTOL HCl 275mg</v>
      </c>
    </row>
    <row r="56" spans="1:12" ht="26.25" customHeight="1" x14ac:dyDescent="0.4">
      <c r="A56" s="491" t="s">
        <v>86</v>
      </c>
      <c r="B56" s="492">
        <v>400</v>
      </c>
      <c r="C56" s="416" t="str">
        <f>B20</f>
        <v>PYRAZINAMIDE</v>
      </c>
      <c r="H56" s="493"/>
    </row>
    <row r="57" spans="1:12" ht="18.75" x14ac:dyDescent="0.3">
      <c r="A57" s="490" t="s">
        <v>87</v>
      </c>
      <c r="B57" s="581">
        <f>Isoniazid!B57</f>
        <v>1256.998</v>
      </c>
      <c r="H57" s="493"/>
    </row>
    <row r="58" spans="1:12" ht="19.5" customHeight="1" x14ac:dyDescent="0.3">
      <c r="H58" s="493"/>
    </row>
    <row r="59" spans="1:12" s="14" customFormat="1" ht="27" customHeight="1" x14ac:dyDescent="0.4">
      <c r="A59" s="438" t="s">
        <v>88</v>
      </c>
      <c r="B59" s="439">
        <v>200</v>
      </c>
      <c r="C59" s="416"/>
      <c r="D59" s="494" t="s">
        <v>89</v>
      </c>
      <c r="E59" s="495" t="s">
        <v>61</v>
      </c>
      <c r="F59" s="495" t="s">
        <v>62</v>
      </c>
      <c r="G59" s="495" t="s">
        <v>90</v>
      </c>
      <c r="H59" s="442" t="s">
        <v>91</v>
      </c>
      <c r="L59" s="428"/>
    </row>
    <row r="60" spans="1:12" s="14" customFormat="1" ht="26.25" customHeight="1" x14ac:dyDescent="0.4">
      <c r="A60" s="440" t="s">
        <v>92</v>
      </c>
      <c r="B60" s="441">
        <v>4</v>
      </c>
      <c r="C60" s="925" t="s">
        <v>93</v>
      </c>
      <c r="D60" s="928">
        <f>Isoniazid!D60</f>
        <v>1258.24</v>
      </c>
      <c r="E60" s="496">
        <v>1</v>
      </c>
      <c r="F60" s="497">
        <v>92362731</v>
      </c>
      <c r="G60" s="582">
        <f>IF(ISBLANK(F60),"-",(F60/$D$50*$D$47*$B$68)*($B$57/$D$60))</f>
        <v>423.39758984405375</v>
      </c>
      <c r="H60" s="498">
        <f t="shared" ref="H60:H71" si="0">IF(ISBLANK(F60),"-",G60/$B$56)</f>
        <v>1.0584939746101343</v>
      </c>
      <c r="L60" s="428"/>
    </row>
    <row r="61" spans="1:12" s="14" customFormat="1" ht="26.25" customHeight="1" x14ac:dyDescent="0.4">
      <c r="A61" s="440" t="s">
        <v>94</v>
      </c>
      <c r="B61" s="441">
        <v>20</v>
      </c>
      <c r="C61" s="926"/>
      <c r="D61" s="929"/>
      <c r="E61" s="499">
        <v>2</v>
      </c>
      <c r="F61" s="452">
        <v>92084237</v>
      </c>
      <c r="G61" s="583">
        <f>IF(ISBLANK(F61),"-",(F61/$D$50*$D$47*$B$68)*($B$57/$D$60))</f>
        <v>422.12095275126325</v>
      </c>
      <c r="H61" s="500">
        <f t="shared" si="0"/>
        <v>1.0553023818781582</v>
      </c>
      <c r="L61" s="428"/>
    </row>
    <row r="62" spans="1:12" s="14" customFormat="1" ht="26.25" customHeight="1" x14ac:dyDescent="0.4">
      <c r="A62" s="440" t="s">
        <v>95</v>
      </c>
      <c r="B62" s="441">
        <v>1</v>
      </c>
      <c r="C62" s="926"/>
      <c r="D62" s="929"/>
      <c r="E62" s="499">
        <v>3</v>
      </c>
      <c r="F62" s="501">
        <v>92047301</v>
      </c>
      <c r="G62" s="583">
        <f>IF(ISBLANK(F62),"-",(F62/$D$50*$D$47*$B$68)*($B$57/$D$60))</f>
        <v>421.95163539555972</v>
      </c>
      <c r="H62" s="500">
        <f t="shared" si="0"/>
        <v>1.0548790884888992</v>
      </c>
      <c r="L62" s="428"/>
    </row>
    <row r="63" spans="1:12" ht="27" customHeight="1" x14ac:dyDescent="0.4">
      <c r="A63" s="440" t="s">
        <v>96</v>
      </c>
      <c r="B63" s="441">
        <v>1</v>
      </c>
      <c r="C63" s="927"/>
      <c r="D63" s="930"/>
      <c r="E63" s="502">
        <v>4</v>
      </c>
      <c r="F63" s="503"/>
      <c r="G63" s="583" t="str">
        <f>IF(ISBLANK(F63),"-",(F63/$D$50*$D$47*$B$68)*($B$57/$D$60))</f>
        <v>-</v>
      </c>
      <c r="H63" s="500" t="str">
        <f t="shared" si="0"/>
        <v>-</v>
      </c>
    </row>
    <row r="64" spans="1:12" ht="26.25" customHeight="1" x14ac:dyDescent="0.4">
      <c r="A64" s="440" t="s">
        <v>97</v>
      </c>
      <c r="B64" s="441">
        <v>1</v>
      </c>
      <c r="C64" s="925" t="s">
        <v>98</v>
      </c>
      <c r="D64" s="928">
        <f>Isoniazid!D64</f>
        <v>1255.18</v>
      </c>
      <c r="E64" s="496">
        <v>1</v>
      </c>
      <c r="F64" s="497">
        <v>90159882</v>
      </c>
      <c r="G64" s="584">
        <f>IF(ISBLANK(F64),"-",(F64/$D$50*$D$47*$B$68)*($B$57/$D$64))</f>
        <v>414.30714903109742</v>
      </c>
      <c r="H64" s="504">
        <f t="shared" si="0"/>
        <v>1.0357678725777435</v>
      </c>
    </row>
    <row r="65" spans="1:8" ht="26.25" customHeight="1" x14ac:dyDescent="0.4">
      <c r="A65" s="440" t="s">
        <v>99</v>
      </c>
      <c r="B65" s="441">
        <v>1</v>
      </c>
      <c r="C65" s="926"/>
      <c r="D65" s="929"/>
      <c r="E65" s="499">
        <v>2</v>
      </c>
      <c r="F65" s="452">
        <v>90400261</v>
      </c>
      <c r="G65" s="585">
        <f>IF(ISBLANK(F65),"-",(F65/$D$50*$D$47*$B$68)*($B$57/$D$64))</f>
        <v>415.41175050092795</v>
      </c>
      <c r="H65" s="505">
        <f t="shared" si="0"/>
        <v>1.0385293762523198</v>
      </c>
    </row>
    <row r="66" spans="1:8" ht="26.25" customHeight="1" x14ac:dyDescent="0.4">
      <c r="A66" s="440" t="s">
        <v>100</v>
      </c>
      <c r="B66" s="441">
        <v>1</v>
      </c>
      <c r="C66" s="926"/>
      <c r="D66" s="929"/>
      <c r="E66" s="499">
        <v>3</v>
      </c>
      <c r="F66" s="452">
        <v>89924574</v>
      </c>
      <c r="G66" s="585">
        <f>IF(ISBLANK(F66),"-",(F66/$D$50*$D$47*$B$68)*($B$57/$D$64))</f>
        <v>413.22585007127611</v>
      </c>
      <c r="H66" s="505">
        <f t="shared" si="0"/>
        <v>1.0330646251781903</v>
      </c>
    </row>
    <row r="67" spans="1:8" ht="27" customHeight="1" x14ac:dyDescent="0.4">
      <c r="A67" s="440" t="s">
        <v>101</v>
      </c>
      <c r="B67" s="441">
        <v>1</v>
      </c>
      <c r="C67" s="927"/>
      <c r="D67" s="930"/>
      <c r="E67" s="502">
        <v>4</v>
      </c>
      <c r="F67" s="503"/>
      <c r="G67" s="586" t="str">
        <f>IF(ISBLANK(F67),"-",(F67/$D$50*$D$47*$B$68)*($B$57/$D$64))</f>
        <v>-</v>
      </c>
      <c r="H67" s="506" t="str">
        <f t="shared" si="0"/>
        <v>-</v>
      </c>
    </row>
    <row r="68" spans="1:8" ht="26.25" customHeight="1" x14ac:dyDescent="0.4">
      <c r="A68" s="440" t="s">
        <v>102</v>
      </c>
      <c r="B68" s="507">
        <f>(B67/B66)*(B65/B64)*(B63/B62)*(B61/B60)*B59</f>
        <v>1000</v>
      </c>
      <c r="C68" s="925" t="s">
        <v>103</v>
      </c>
      <c r="D68" s="928">
        <f>Isoniazid!D68</f>
        <v>1258.08</v>
      </c>
      <c r="E68" s="496">
        <v>1</v>
      </c>
      <c r="F68" s="497">
        <v>91663125</v>
      </c>
      <c r="G68" s="584">
        <f>IF(ISBLANK(F68),"-",(F68/$D$50*$D$47*$B$68)*($B$57/$D$68))</f>
        <v>420.24398315898452</v>
      </c>
      <c r="H68" s="500">
        <f t="shared" si="0"/>
        <v>1.0506099578974613</v>
      </c>
    </row>
    <row r="69" spans="1:8" ht="27" customHeight="1" x14ac:dyDescent="0.4">
      <c r="A69" s="486" t="s">
        <v>104</v>
      </c>
      <c r="B69" s="508">
        <f>(D47*B68)/B56*B57</f>
        <v>1351.2728500000001</v>
      </c>
      <c r="C69" s="926"/>
      <c r="D69" s="929"/>
      <c r="E69" s="499">
        <v>2</v>
      </c>
      <c r="F69" s="452">
        <v>91947326</v>
      </c>
      <c r="G69" s="585">
        <f>IF(ISBLANK(F69),"-",(F69/$D$50*$D$47*$B$68)*($B$57/$D$68))</f>
        <v>421.54694724904545</v>
      </c>
      <c r="H69" s="500">
        <f t="shared" si="0"/>
        <v>1.0538673681226136</v>
      </c>
    </row>
    <row r="70" spans="1:8" ht="26.25" customHeight="1" x14ac:dyDescent="0.4">
      <c r="A70" s="938" t="s">
        <v>77</v>
      </c>
      <c r="B70" s="939"/>
      <c r="C70" s="926"/>
      <c r="D70" s="929"/>
      <c r="E70" s="499">
        <v>3</v>
      </c>
      <c r="F70" s="452">
        <v>91612344</v>
      </c>
      <c r="G70" s="585">
        <f>IF(ISBLANK(F70),"-",(F70/$D$50*$D$47*$B$68)*($B$57/$D$68))</f>
        <v>420.01116969436833</v>
      </c>
      <c r="H70" s="500">
        <f t="shared" si="0"/>
        <v>1.0500279242359207</v>
      </c>
    </row>
    <row r="71" spans="1:8" ht="27" customHeight="1" x14ac:dyDescent="0.4">
      <c r="A71" s="940"/>
      <c r="B71" s="941"/>
      <c r="C71" s="937"/>
      <c r="D71" s="930"/>
      <c r="E71" s="502">
        <v>4</v>
      </c>
      <c r="F71" s="503"/>
      <c r="G71" s="586" t="str">
        <f>IF(ISBLANK(F71),"-",(F71/$D$50*$D$47*$B$68)*($B$57/$D$68))</f>
        <v>-</v>
      </c>
      <c r="H71" s="509" t="str">
        <f t="shared" si="0"/>
        <v>-</v>
      </c>
    </row>
    <row r="72" spans="1:8" ht="26.25" customHeight="1" x14ac:dyDescent="0.4">
      <c r="A72" s="510"/>
      <c r="B72" s="510"/>
      <c r="C72" s="510"/>
      <c r="D72" s="510"/>
      <c r="E72" s="510"/>
      <c r="F72" s="512" t="s">
        <v>70</v>
      </c>
      <c r="G72" s="591">
        <f>AVERAGE(G60:G71)</f>
        <v>419.13522529961961</v>
      </c>
      <c r="H72" s="513">
        <f>AVERAGE(H60:H71)</f>
        <v>1.0478380632490487</v>
      </c>
    </row>
    <row r="73" spans="1:8" ht="26.25" customHeight="1" x14ac:dyDescent="0.4">
      <c r="C73" s="510"/>
      <c r="D73" s="510"/>
      <c r="E73" s="510"/>
      <c r="F73" s="514" t="s">
        <v>83</v>
      </c>
      <c r="G73" s="587">
        <f>STDEV(G60:G71)/G72</f>
        <v>9.0428216679602526E-3</v>
      </c>
      <c r="H73" s="587">
        <f>STDEV(H60:H71)/H72</f>
        <v>9.0428216679602508E-3</v>
      </c>
    </row>
    <row r="74" spans="1:8" ht="27" customHeight="1" x14ac:dyDescent="0.4">
      <c r="A74" s="510"/>
      <c r="B74" s="510"/>
      <c r="C74" s="511"/>
      <c r="D74" s="511"/>
      <c r="E74" s="515"/>
      <c r="F74" s="516" t="s">
        <v>19</v>
      </c>
      <c r="G74" s="517">
        <f>COUNT(G60:G71)</f>
        <v>9</v>
      </c>
      <c r="H74" s="517">
        <f>COUNT(H60:H71)</f>
        <v>9</v>
      </c>
    </row>
    <row r="76" spans="1:8" ht="26.25" customHeight="1" x14ac:dyDescent="0.4">
      <c r="A76" s="424" t="s">
        <v>105</v>
      </c>
      <c r="B76" s="518" t="s">
        <v>106</v>
      </c>
      <c r="C76" s="933" t="str">
        <f>B20</f>
        <v>PYRAZINAMIDE</v>
      </c>
      <c r="D76" s="933"/>
      <c r="E76" s="519" t="s">
        <v>107</v>
      </c>
      <c r="F76" s="519"/>
      <c r="G76" s="520">
        <f>H72</f>
        <v>1.0478380632490487</v>
      </c>
      <c r="H76" s="521"/>
    </row>
    <row r="77" spans="1:8" ht="18.75" x14ac:dyDescent="0.3">
      <c r="A77" s="423" t="s">
        <v>108</v>
      </c>
      <c r="B77" s="423" t="s">
        <v>109</v>
      </c>
    </row>
    <row r="78" spans="1:8" ht="18.75" x14ac:dyDescent="0.3">
      <c r="A78" s="423"/>
      <c r="B78" s="423"/>
    </row>
    <row r="79" spans="1:8" ht="26.25" customHeight="1" x14ac:dyDescent="0.4">
      <c r="A79" s="424" t="s">
        <v>4</v>
      </c>
      <c r="B79" s="919" t="str">
        <f>B26</f>
        <v>PYRAZINAMIDE</v>
      </c>
      <c r="C79" s="919"/>
    </row>
    <row r="80" spans="1:8" ht="26.25" customHeight="1" x14ac:dyDescent="0.4">
      <c r="A80" s="425" t="s">
        <v>47</v>
      </c>
      <c r="B80" s="919" t="str">
        <f>B27</f>
        <v>P19 1</v>
      </c>
      <c r="C80" s="919"/>
    </row>
    <row r="81" spans="1:12" ht="27" customHeight="1" x14ac:dyDescent="0.4">
      <c r="A81" s="425" t="s">
        <v>6</v>
      </c>
      <c r="B81" s="522">
        <f>B28</f>
        <v>99.5</v>
      </c>
    </row>
    <row r="82" spans="1:12" s="14" customFormat="1" ht="27" customHeight="1" x14ac:dyDescent="0.4">
      <c r="A82" s="425" t="s">
        <v>48</v>
      </c>
      <c r="B82" s="427">
        <v>0</v>
      </c>
      <c r="C82" s="910" t="s">
        <v>49</v>
      </c>
      <c r="D82" s="911"/>
      <c r="E82" s="911"/>
      <c r="F82" s="911"/>
      <c r="G82" s="912"/>
      <c r="I82" s="428"/>
      <c r="J82" s="428"/>
      <c r="K82" s="428"/>
      <c r="L82" s="428"/>
    </row>
    <row r="83" spans="1:12" s="14" customFormat="1" ht="19.5" customHeight="1" x14ac:dyDescent="0.3">
      <c r="A83" s="425" t="s">
        <v>50</v>
      </c>
      <c r="B83" s="429">
        <f>B81-B82</f>
        <v>99.5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14" customFormat="1" ht="27" customHeight="1" x14ac:dyDescent="0.4">
      <c r="A84" s="425" t="s">
        <v>51</v>
      </c>
      <c r="B84" s="432">
        <v>1</v>
      </c>
      <c r="C84" s="913" t="s">
        <v>110</v>
      </c>
      <c r="D84" s="914"/>
      <c r="E84" s="914"/>
      <c r="F84" s="914"/>
      <c r="G84" s="914"/>
      <c r="H84" s="915"/>
      <c r="I84" s="428"/>
      <c r="J84" s="428"/>
      <c r="K84" s="428"/>
      <c r="L84" s="428"/>
    </row>
    <row r="85" spans="1:12" s="14" customFormat="1" ht="27" customHeight="1" x14ac:dyDescent="0.4">
      <c r="A85" s="425" t="s">
        <v>53</v>
      </c>
      <c r="B85" s="432">
        <v>1</v>
      </c>
      <c r="C85" s="913" t="s">
        <v>111</v>
      </c>
      <c r="D85" s="914"/>
      <c r="E85" s="914"/>
      <c r="F85" s="914"/>
      <c r="G85" s="914"/>
      <c r="H85" s="915"/>
      <c r="I85" s="428"/>
      <c r="J85" s="428"/>
      <c r="K85" s="428"/>
      <c r="L85" s="428"/>
    </row>
    <row r="86" spans="1:12" s="14" customFormat="1" ht="18.75" x14ac:dyDescent="0.3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14" customFormat="1" ht="18.75" x14ac:dyDescent="0.3">
      <c r="A87" s="425" t="s">
        <v>55</v>
      </c>
      <c r="B87" s="437">
        <f>B84/B85</f>
        <v>1</v>
      </c>
      <c r="C87" s="416" t="s">
        <v>56</v>
      </c>
      <c r="D87" s="416"/>
      <c r="E87" s="416"/>
      <c r="F87" s="416"/>
      <c r="G87" s="416"/>
      <c r="I87" s="428"/>
      <c r="J87" s="428"/>
      <c r="K87" s="428"/>
      <c r="L87" s="428"/>
    </row>
    <row r="88" spans="1:12" ht="19.5" customHeight="1" x14ac:dyDescent="0.3">
      <c r="A88" s="423"/>
      <c r="B88" s="423"/>
    </row>
    <row r="89" spans="1:12" ht="27" customHeight="1" x14ac:dyDescent="0.4">
      <c r="A89" s="438" t="s">
        <v>57</v>
      </c>
      <c r="B89" s="439">
        <v>50</v>
      </c>
      <c r="D89" s="523" t="s">
        <v>58</v>
      </c>
      <c r="E89" s="524"/>
      <c r="F89" s="916" t="s">
        <v>59</v>
      </c>
      <c r="G89" s="918"/>
    </row>
    <row r="90" spans="1:12" ht="27" customHeight="1" x14ac:dyDescent="0.4">
      <c r="A90" s="440" t="s">
        <v>60</v>
      </c>
      <c r="B90" s="441">
        <v>25</v>
      </c>
      <c r="C90" s="525" t="s">
        <v>61</v>
      </c>
      <c r="D90" s="443" t="s">
        <v>62</v>
      </c>
      <c r="E90" s="444" t="s">
        <v>63</v>
      </c>
      <c r="F90" s="443" t="s">
        <v>62</v>
      </c>
      <c r="G90" s="526" t="s">
        <v>63</v>
      </c>
      <c r="I90" s="446" t="s">
        <v>64</v>
      </c>
    </row>
    <row r="91" spans="1:12" ht="26.25" customHeight="1" x14ac:dyDescent="0.4">
      <c r="A91" s="440" t="s">
        <v>65</v>
      </c>
      <c r="B91" s="441">
        <v>50</v>
      </c>
      <c r="C91" s="527">
        <v>1</v>
      </c>
      <c r="D91" s="594">
        <v>87340763</v>
      </c>
      <c r="E91" s="448">
        <f>IF(ISBLANK(D91),"-",$D$101/$D$98*D91)</f>
        <v>96879023.597972184</v>
      </c>
      <c r="F91" s="594">
        <v>91535546</v>
      </c>
      <c r="G91" s="449">
        <f>IF(ISBLANK(F91),"-",$D$101/$F$98*F91)</f>
        <v>96750826.753000423</v>
      </c>
      <c r="I91" s="450"/>
    </row>
    <row r="92" spans="1:12" ht="26.25" customHeight="1" x14ac:dyDescent="0.4">
      <c r="A92" s="440" t="s">
        <v>66</v>
      </c>
      <c r="B92" s="441">
        <v>1</v>
      </c>
      <c r="C92" s="511">
        <v>2</v>
      </c>
      <c r="D92" s="595">
        <v>87516591</v>
      </c>
      <c r="E92" s="453">
        <f>IF(ISBLANK(D92),"-",$D$101/$D$98*D92)</f>
        <v>97074053.322651654</v>
      </c>
      <c r="F92" s="595">
        <v>91443118</v>
      </c>
      <c r="G92" s="454">
        <f>IF(ISBLANK(F92),"-",$D$101/$F$98*F92)</f>
        <v>96653132.624261349</v>
      </c>
      <c r="I92" s="920">
        <f>ABS((F96/D96*D95)-F95)/D95</f>
        <v>1.6939018947489698E-3</v>
      </c>
    </row>
    <row r="93" spans="1:12" ht="26.25" customHeight="1" x14ac:dyDescent="0.4">
      <c r="A93" s="440" t="s">
        <v>67</v>
      </c>
      <c r="B93" s="441">
        <v>1</v>
      </c>
      <c r="C93" s="511">
        <v>3</v>
      </c>
      <c r="D93" s="595">
        <v>87320555</v>
      </c>
      <c r="E93" s="453">
        <f>IF(ISBLANK(D93),"-",$D$101/$D$98*D93)</f>
        <v>96856608.73414889</v>
      </c>
      <c r="F93" s="595">
        <v>91711040</v>
      </c>
      <c r="G93" s="454">
        <f>IF(ISBLANK(F93),"-",$D$101/$F$98*F93)</f>
        <v>96936319.606128663</v>
      </c>
      <c r="I93" s="920"/>
    </row>
    <row r="94" spans="1:12" ht="27" customHeight="1" x14ac:dyDescent="0.4">
      <c r="A94" s="440" t="s">
        <v>68</v>
      </c>
      <c r="B94" s="441">
        <v>1</v>
      </c>
      <c r="C94" s="528">
        <v>4</v>
      </c>
      <c r="D94" s="596"/>
      <c r="E94" s="457" t="str">
        <f>IF(ISBLANK(D94),"-",$D$101/$D$98*D94)</f>
        <v>-</v>
      </c>
      <c r="F94" s="596"/>
      <c r="G94" s="458" t="str">
        <f>IF(ISBLANK(F94),"-",$D$101/$F$98*F94)</f>
        <v>-</v>
      </c>
      <c r="I94" s="459"/>
    </row>
    <row r="95" spans="1:12" ht="27" customHeight="1" x14ac:dyDescent="0.4">
      <c r="A95" s="440" t="s">
        <v>69</v>
      </c>
      <c r="B95" s="441">
        <v>1</v>
      </c>
      <c r="C95" s="529" t="s">
        <v>70</v>
      </c>
      <c r="D95" s="530">
        <f>AVERAGE(D91:D94)</f>
        <v>87392636.333333328</v>
      </c>
      <c r="E95" s="462">
        <f>AVERAGE(E91:E94)</f>
        <v>96936561.884924248</v>
      </c>
      <c r="F95" s="531">
        <f>AVERAGE(F91:F94)</f>
        <v>91563234.666666672</v>
      </c>
      <c r="G95" s="532">
        <f>AVERAGE(G91:G94)</f>
        <v>96780092.994463488</v>
      </c>
    </row>
    <row r="96" spans="1:12" ht="26.25" customHeight="1" x14ac:dyDescent="0.4">
      <c r="A96" s="440" t="s">
        <v>71</v>
      </c>
      <c r="B96" s="426">
        <v>1</v>
      </c>
      <c r="C96" s="533" t="s">
        <v>112</v>
      </c>
      <c r="D96" s="534">
        <v>40.270000000000003</v>
      </c>
      <c r="E96" s="455"/>
      <c r="F96" s="466">
        <v>42.26</v>
      </c>
    </row>
    <row r="97" spans="1:10" ht="26.25" customHeight="1" x14ac:dyDescent="0.4">
      <c r="A97" s="440" t="s">
        <v>73</v>
      </c>
      <c r="B97" s="426">
        <v>1</v>
      </c>
      <c r="C97" s="535" t="s">
        <v>113</v>
      </c>
      <c r="D97" s="536">
        <f>D96*$B$87</f>
        <v>40.270000000000003</v>
      </c>
      <c r="E97" s="469"/>
      <c r="F97" s="468">
        <f>F96*$B$87</f>
        <v>42.26</v>
      </c>
    </row>
    <row r="98" spans="1:10" ht="19.5" customHeight="1" x14ac:dyDescent="0.3">
      <c r="A98" s="440" t="s">
        <v>75</v>
      </c>
      <c r="B98" s="537">
        <f>(B97/B96)*(B95/B94)*(B93/B92)*(B91/B90)*B89</f>
        <v>100</v>
      </c>
      <c r="C98" s="535" t="s">
        <v>114</v>
      </c>
      <c r="D98" s="538">
        <f>D97*$B$83/100</f>
        <v>40.068650000000005</v>
      </c>
      <c r="E98" s="472"/>
      <c r="F98" s="471">
        <f>F97*$B$83/100</f>
        <v>42.048699999999997</v>
      </c>
    </row>
    <row r="99" spans="1:10" ht="19.5" customHeight="1" x14ac:dyDescent="0.3">
      <c r="A99" s="921" t="s">
        <v>77</v>
      </c>
      <c r="B99" s="935"/>
      <c r="C99" s="535" t="s">
        <v>115</v>
      </c>
      <c r="D99" s="539">
        <f>D98/$B$98</f>
        <v>0.40068650000000006</v>
      </c>
      <c r="E99" s="472"/>
      <c r="F99" s="475">
        <f>F98/$B$98</f>
        <v>0.42048699999999994</v>
      </c>
      <c r="G99" s="540"/>
      <c r="H99" s="464"/>
    </row>
    <row r="100" spans="1:10" ht="19.5" customHeight="1" x14ac:dyDescent="0.3">
      <c r="A100" s="923"/>
      <c r="B100" s="936"/>
      <c r="C100" s="535" t="s">
        <v>79</v>
      </c>
      <c r="D100" s="541">
        <f>$B$56/$B$116</f>
        <v>0.44444444444444442</v>
      </c>
      <c r="F100" s="480"/>
      <c r="G100" s="542"/>
      <c r="H100" s="464"/>
    </row>
    <row r="101" spans="1:10" ht="18.75" x14ac:dyDescent="0.3">
      <c r="C101" s="535" t="s">
        <v>80</v>
      </c>
      <c r="D101" s="536">
        <f>D100*$B$98</f>
        <v>44.444444444444443</v>
      </c>
      <c r="F101" s="480"/>
      <c r="G101" s="540"/>
      <c r="H101" s="464"/>
    </row>
    <row r="102" spans="1:10" ht="19.5" customHeight="1" x14ac:dyDescent="0.3">
      <c r="C102" s="543" t="s">
        <v>81</v>
      </c>
      <c r="D102" s="544">
        <f>D101/B34</f>
        <v>44.444444444444443</v>
      </c>
      <c r="F102" s="484"/>
      <c r="G102" s="540"/>
      <c r="H102" s="464"/>
      <c r="J102" s="545"/>
    </row>
    <row r="103" spans="1:10" ht="18.75" x14ac:dyDescent="0.3">
      <c r="C103" s="546" t="s">
        <v>116</v>
      </c>
      <c r="D103" s="547">
        <f>AVERAGE(E91:E94,G91:G94)</f>
        <v>96858327.439693868</v>
      </c>
      <c r="F103" s="484"/>
      <c r="G103" s="548"/>
      <c r="H103" s="464"/>
      <c r="J103" s="549"/>
    </row>
    <row r="104" spans="1:10" ht="18.75" x14ac:dyDescent="0.3">
      <c r="C104" s="514" t="s">
        <v>83</v>
      </c>
      <c r="D104" s="550">
        <f>STDEV(E91:E94,G91:G94)/D103</f>
        <v>1.5082966173561715E-3</v>
      </c>
      <c r="F104" s="484"/>
      <c r="G104" s="540"/>
      <c r="H104" s="464"/>
      <c r="J104" s="549"/>
    </row>
    <row r="105" spans="1:10" ht="19.5" customHeight="1" x14ac:dyDescent="0.3">
      <c r="C105" s="516" t="s">
        <v>19</v>
      </c>
      <c r="D105" s="551">
        <f>COUNT(E91:E94,G91:G94)</f>
        <v>6</v>
      </c>
      <c r="F105" s="484"/>
      <c r="G105" s="540"/>
      <c r="H105" s="464"/>
      <c r="J105" s="549"/>
    </row>
    <row r="106" spans="1:10" ht="19.5" customHeight="1" x14ac:dyDescent="0.3">
      <c r="A106" s="488"/>
      <c r="B106" s="488"/>
      <c r="C106" s="488"/>
      <c r="D106" s="488"/>
      <c r="E106" s="488"/>
    </row>
    <row r="107" spans="1:10" ht="26.25" customHeight="1" x14ac:dyDescent="0.4">
      <c r="A107" s="438" t="s">
        <v>117</v>
      </c>
      <c r="B107" s="439">
        <v>900</v>
      </c>
      <c r="C107" s="552" t="s">
        <v>118</v>
      </c>
      <c r="D107" s="553" t="s">
        <v>62</v>
      </c>
      <c r="E107" s="554" t="s">
        <v>119</v>
      </c>
      <c r="F107" s="555" t="s">
        <v>120</v>
      </c>
    </row>
    <row r="108" spans="1:10" ht="26.25" customHeight="1" x14ac:dyDescent="0.4">
      <c r="A108" s="440" t="s">
        <v>121</v>
      </c>
      <c r="B108" s="441">
        <v>1</v>
      </c>
      <c r="C108" s="556">
        <v>1</v>
      </c>
      <c r="D108" s="557">
        <v>93992337</v>
      </c>
      <c r="E108" s="588">
        <f t="shared" ref="E108:E113" si="1">IF(ISBLANK(D108),"-",D108/$D$103*$D$100*$B$116)</f>
        <v>388.1641960357893</v>
      </c>
      <c r="F108" s="558">
        <f t="shared" ref="F108:F113" si="2">IF(ISBLANK(D108), "-", E108/$B$56)</f>
        <v>0.97041049008947322</v>
      </c>
    </row>
    <row r="109" spans="1:10" ht="26.25" customHeight="1" x14ac:dyDescent="0.4">
      <c r="A109" s="440" t="s">
        <v>94</v>
      </c>
      <c r="B109" s="441">
        <v>1</v>
      </c>
      <c r="C109" s="556">
        <v>2</v>
      </c>
      <c r="D109" s="557">
        <v>91813080</v>
      </c>
      <c r="E109" s="589">
        <f t="shared" si="1"/>
        <v>379.16442468889358</v>
      </c>
      <c r="F109" s="559">
        <f t="shared" si="2"/>
        <v>0.94791106172223394</v>
      </c>
    </row>
    <row r="110" spans="1:10" ht="26.25" customHeight="1" x14ac:dyDescent="0.4">
      <c r="A110" s="440" t="s">
        <v>95</v>
      </c>
      <c r="B110" s="441">
        <v>1</v>
      </c>
      <c r="C110" s="556">
        <v>3</v>
      </c>
      <c r="D110" s="557">
        <v>90479423</v>
      </c>
      <c r="E110" s="589">
        <f t="shared" si="1"/>
        <v>373.65676402510456</v>
      </c>
      <c r="F110" s="559">
        <f t="shared" si="2"/>
        <v>0.93414191006276137</v>
      </c>
    </row>
    <row r="111" spans="1:10" ht="26.25" customHeight="1" x14ac:dyDescent="0.4">
      <c r="A111" s="440" t="s">
        <v>96</v>
      </c>
      <c r="B111" s="441">
        <v>1</v>
      </c>
      <c r="C111" s="556">
        <v>4</v>
      </c>
      <c r="D111" s="557">
        <v>92213334</v>
      </c>
      <c r="E111" s="589">
        <f t="shared" si="1"/>
        <v>380.8173708447074</v>
      </c>
      <c r="F111" s="559">
        <f t="shared" si="2"/>
        <v>0.95204342711176848</v>
      </c>
    </row>
    <row r="112" spans="1:10" ht="26.25" customHeight="1" x14ac:dyDescent="0.4">
      <c r="A112" s="440" t="s">
        <v>97</v>
      </c>
      <c r="B112" s="441">
        <v>1</v>
      </c>
      <c r="C112" s="556">
        <v>5</v>
      </c>
      <c r="D112" s="557">
        <v>91650958</v>
      </c>
      <c r="E112" s="589">
        <f t="shared" si="1"/>
        <v>378.49490249380534</v>
      </c>
      <c r="F112" s="559">
        <f t="shared" si="2"/>
        <v>0.94623725623451338</v>
      </c>
    </row>
    <row r="113" spans="1:10" ht="26.25" customHeight="1" x14ac:dyDescent="0.4">
      <c r="A113" s="440" t="s">
        <v>99</v>
      </c>
      <c r="B113" s="441">
        <v>1</v>
      </c>
      <c r="C113" s="560">
        <v>6</v>
      </c>
      <c r="D113" s="561">
        <v>91353463</v>
      </c>
      <c r="E113" s="590">
        <f t="shared" si="1"/>
        <v>377.26632459920876</v>
      </c>
      <c r="F113" s="562">
        <f t="shared" si="2"/>
        <v>0.94316581149802192</v>
      </c>
    </row>
    <row r="114" spans="1:10" ht="26.25" customHeight="1" x14ac:dyDescent="0.4">
      <c r="A114" s="440" t="s">
        <v>100</v>
      </c>
      <c r="B114" s="441">
        <v>1</v>
      </c>
      <c r="C114" s="556"/>
      <c r="D114" s="511"/>
      <c r="E114" s="415"/>
      <c r="F114" s="563"/>
    </row>
    <row r="115" spans="1:10" ht="26.25" customHeight="1" x14ac:dyDescent="0.4">
      <c r="A115" s="440" t="s">
        <v>101</v>
      </c>
      <c r="B115" s="441">
        <v>1</v>
      </c>
      <c r="C115" s="556"/>
      <c r="D115" s="564" t="s">
        <v>70</v>
      </c>
      <c r="E115" s="592">
        <f>AVERAGE(E108:E113)</f>
        <v>379.59399711458485</v>
      </c>
      <c r="F115" s="565">
        <f>AVERAGE(F108:F113)</f>
        <v>0.94898499278646209</v>
      </c>
    </row>
    <row r="116" spans="1:10" ht="27" customHeight="1" x14ac:dyDescent="0.4">
      <c r="A116" s="440" t="s">
        <v>102</v>
      </c>
      <c r="B116" s="470">
        <f>(B115/B114)*(B113/B112)*(B111/B110)*(B109/B108)*B107</f>
        <v>900</v>
      </c>
      <c r="C116" s="566"/>
      <c r="D116" s="529" t="s">
        <v>83</v>
      </c>
      <c r="E116" s="567">
        <f>STDEV(E108:E113)/E115</f>
        <v>1.2743838737438635E-2</v>
      </c>
      <c r="F116" s="567">
        <f>STDEV(F108:F113)/F115</f>
        <v>1.2743838737438628E-2</v>
      </c>
      <c r="I116" s="415"/>
    </row>
    <row r="117" spans="1:10" ht="27" customHeight="1" x14ac:dyDescent="0.4">
      <c r="A117" s="921" t="s">
        <v>77</v>
      </c>
      <c r="B117" s="922"/>
      <c r="C117" s="568"/>
      <c r="D117" s="569" t="s">
        <v>19</v>
      </c>
      <c r="E117" s="570">
        <f>COUNT(E108:E113)</f>
        <v>6</v>
      </c>
      <c r="F117" s="570">
        <f>COUNT(F108:F113)</f>
        <v>6</v>
      </c>
      <c r="I117" s="415"/>
      <c r="J117" s="549"/>
    </row>
    <row r="118" spans="1:10" ht="19.5" customHeight="1" x14ac:dyDescent="0.3">
      <c r="A118" s="923"/>
      <c r="B118" s="924"/>
      <c r="C118" s="415"/>
      <c r="D118" s="415"/>
      <c r="E118" s="415"/>
      <c r="F118" s="511"/>
      <c r="G118" s="415"/>
      <c r="H118" s="415"/>
      <c r="I118" s="415"/>
    </row>
    <row r="119" spans="1:10" ht="18.75" x14ac:dyDescent="0.3">
      <c r="A119" s="579"/>
      <c r="B119" s="436"/>
      <c r="C119" s="415"/>
      <c r="D119" s="415"/>
      <c r="E119" s="415"/>
      <c r="F119" s="511"/>
      <c r="G119" s="415"/>
      <c r="H119" s="415"/>
      <c r="I119" s="415"/>
    </row>
    <row r="120" spans="1:10" ht="26.25" customHeight="1" x14ac:dyDescent="0.4">
      <c r="A120" s="424" t="s">
        <v>105</v>
      </c>
      <c r="B120" s="518" t="s">
        <v>122</v>
      </c>
      <c r="C120" s="933" t="str">
        <f>B20</f>
        <v>PYRAZINAMIDE</v>
      </c>
      <c r="D120" s="933"/>
      <c r="E120" s="519" t="s">
        <v>123</v>
      </c>
      <c r="F120" s="519"/>
      <c r="G120" s="520">
        <f>F115</f>
        <v>0.94898499278646209</v>
      </c>
      <c r="H120" s="415"/>
      <c r="I120" s="415"/>
    </row>
    <row r="121" spans="1:10" ht="19.5" customHeight="1" x14ac:dyDescent="0.3">
      <c r="A121" s="571"/>
      <c r="B121" s="571"/>
      <c r="C121" s="572"/>
      <c r="D121" s="572"/>
      <c r="E121" s="572"/>
      <c r="F121" s="572"/>
      <c r="G121" s="572"/>
      <c r="H121" s="572"/>
    </row>
    <row r="122" spans="1:10" ht="18.75" x14ac:dyDescent="0.3">
      <c r="B122" s="934" t="s">
        <v>25</v>
      </c>
      <c r="C122" s="934"/>
      <c r="E122" s="525" t="s">
        <v>26</v>
      </c>
      <c r="F122" s="573"/>
      <c r="G122" s="934" t="s">
        <v>27</v>
      </c>
      <c r="H122" s="934"/>
    </row>
    <row r="123" spans="1:10" ht="69.95" customHeight="1" x14ac:dyDescent="0.3">
      <c r="A123" s="574" t="s">
        <v>28</v>
      </c>
      <c r="B123" s="575"/>
      <c r="C123" s="575"/>
      <c r="E123" s="575"/>
      <c r="F123" s="415"/>
      <c r="G123" s="576"/>
      <c r="H123" s="576"/>
    </row>
    <row r="124" spans="1:10" ht="69.95" customHeight="1" x14ac:dyDescent="0.3">
      <c r="A124" s="574" t="s">
        <v>29</v>
      </c>
      <c r="B124" s="577"/>
      <c r="C124" s="577"/>
      <c r="E124" s="577"/>
      <c r="F124" s="415"/>
      <c r="G124" s="578"/>
      <c r="H124" s="578"/>
    </row>
    <row r="125" spans="1:10" ht="18.75" x14ac:dyDescent="0.3">
      <c r="A125" s="510"/>
      <c r="B125" s="510"/>
      <c r="C125" s="511"/>
      <c r="D125" s="511"/>
      <c r="E125" s="511"/>
      <c r="F125" s="515"/>
      <c r="G125" s="511"/>
      <c r="H125" s="511"/>
      <c r="I125" s="415"/>
    </row>
    <row r="126" spans="1:10" ht="18.75" x14ac:dyDescent="0.3">
      <c r="A126" s="510"/>
      <c r="B126" s="510"/>
      <c r="C126" s="511"/>
      <c r="D126" s="511"/>
      <c r="E126" s="511"/>
      <c r="F126" s="515"/>
      <c r="G126" s="511"/>
      <c r="H126" s="511"/>
      <c r="I126" s="415"/>
    </row>
    <row r="127" spans="1:10" ht="18.75" x14ac:dyDescent="0.3">
      <c r="A127" s="510"/>
      <c r="B127" s="510"/>
      <c r="C127" s="511"/>
      <c r="D127" s="511"/>
      <c r="E127" s="511"/>
      <c r="F127" s="515"/>
      <c r="G127" s="511"/>
      <c r="H127" s="511"/>
      <c r="I127" s="415"/>
    </row>
    <row r="128" spans="1:10" ht="18.75" x14ac:dyDescent="0.3">
      <c r="A128" s="510"/>
      <c r="B128" s="510"/>
      <c r="C128" s="511"/>
      <c r="D128" s="511"/>
      <c r="E128" s="511"/>
      <c r="F128" s="515"/>
      <c r="G128" s="511"/>
      <c r="H128" s="511"/>
      <c r="I128" s="415"/>
    </row>
    <row r="129" spans="1:9" ht="18.75" x14ac:dyDescent="0.3">
      <c r="A129" s="510"/>
      <c r="B129" s="510"/>
      <c r="C129" s="511"/>
      <c r="D129" s="511"/>
      <c r="E129" s="511"/>
      <c r="F129" s="515"/>
      <c r="G129" s="511"/>
      <c r="H129" s="511"/>
      <c r="I129" s="415"/>
    </row>
    <row r="130" spans="1:9" ht="18.75" x14ac:dyDescent="0.3">
      <c r="A130" s="510"/>
      <c r="B130" s="510"/>
      <c r="C130" s="511"/>
      <c r="D130" s="511"/>
      <c r="E130" s="511"/>
      <c r="F130" s="515"/>
      <c r="G130" s="511"/>
      <c r="H130" s="511"/>
      <c r="I130" s="415"/>
    </row>
    <row r="131" spans="1:9" ht="18.75" x14ac:dyDescent="0.3">
      <c r="A131" s="510"/>
      <c r="B131" s="510"/>
      <c r="C131" s="511"/>
      <c r="D131" s="511"/>
      <c r="E131" s="511"/>
      <c r="F131" s="515"/>
      <c r="G131" s="511"/>
      <c r="H131" s="511"/>
      <c r="I131" s="415"/>
    </row>
    <row r="132" spans="1:9" ht="18.75" x14ac:dyDescent="0.3">
      <c r="A132" s="510"/>
      <c r="B132" s="510"/>
      <c r="C132" s="511"/>
      <c r="D132" s="511"/>
      <c r="E132" s="511"/>
      <c r="F132" s="515"/>
      <c r="G132" s="511"/>
      <c r="H132" s="511"/>
      <c r="I132" s="415"/>
    </row>
    <row r="133" spans="1:9" ht="18.75" x14ac:dyDescent="0.3">
      <c r="A133" s="510"/>
      <c r="B133" s="510"/>
      <c r="C133" s="511"/>
      <c r="D133" s="511"/>
      <c r="E133" s="511"/>
      <c r="F133" s="515"/>
      <c r="G133" s="511"/>
      <c r="H133" s="511"/>
      <c r="I133" s="41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41" sqref="B41"/>
    </sheetView>
  </sheetViews>
  <sheetFormatPr defaultRowHeight="13.5" x14ac:dyDescent="0.25"/>
  <cols>
    <col min="1" max="1" width="27.5703125" style="598" customWidth="1"/>
    <col min="2" max="2" width="20.42578125" style="598" customWidth="1"/>
    <col min="3" max="3" width="35.140625" style="598" customWidth="1"/>
    <col min="4" max="4" width="32.7109375" style="598" customWidth="1"/>
    <col min="5" max="5" width="29.7109375" style="598" customWidth="1"/>
    <col min="6" max="6" width="23.140625" style="598" customWidth="1"/>
    <col min="7" max="7" width="28.42578125" style="598" customWidth="1"/>
    <col min="8" max="8" width="21.5703125" style="598" customWidth="1"/>
    <col min="9" max="9" width="9.140625" style="59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42" t="s">
        <v>0</v>
      </c>
      <c r="B15" s="942"/>
      <c r="C15" s="942"/>
      <c r="D15" s="942"/>
      <c r="E15" s="94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1" t="s">
        <v>134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NDQD2016061091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14.4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B20/5*3/50</f>
        <v>0.17280000000000001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49860274</v>
      </c>
      <c r="C24" s="18">
        <v>68038.03</v>
      </c>
      <c r="D24" s="19">
        <v>1.1399999999999999</v>
      </c>
      <c r="E24" s="20">
        <v>7.01</v>
      </c>
    </row>
    <row r="25" spans="1:5" ht="16.5" customHeight="1" x14ac:dyDescent="0.3">
      <c r="A25" s="17">
        <v>2</v>
      </c>
      <c r="B25" s="18">
        <v>50013796</v>
      </c>
      <c r="C25" s="18">
        <v>68000.95</v>
      </c>
      <c r="D25" s="19">
        <v>1.1000000000000001</v>
      </c>
      <c r="E25" s="19">
        <v>7.01</v>
      </c>
    </row>
    <row r="26" spans="1:5" ht="16.5" customHeight="1" x14ac:dyDescent="0.3">
      <c r="A26" s="17">
        <v>3</v>
      </c>
      <c r="B26" s="18">
        <v>49858324</v>
      </c>
      <c r="C26" s="18">
        <v>68302.66</v>
      </c>
      <c r="D26" s="19">
        <v>1.1599999999999999</v>
      </c>
      <c r="E26" s="19">
        <v>7.01</v>
      </c>
    </row>
    <row r="27" spans="1:5" ht="16.5" customHeight="1" x14ac:dyDescent="0.3">
      <c r="A27" s="17">
        <v>4</v>
      </c>
      <c r="B27" s="18">
        <v>50102811</v>
      </c>
      <c r="C27" s="18">
        <v>68705.02</v>
      </c>
      <c r="D27" s="19">
        <v>1.1299999999999999</v>
      </c>
      <c r="E27" s="19">
        <v>7.03</v>
      </c>
    </row>
    <row r="28" spans="1:5" ht="16.5" customHeight="1" x14ac:dyDescent="0.3">
      <c r="A28" s="17">
        <v>5</v>
      </c>
      <c r="B28" s="18">
        <v>49995776</v>
      </c>
      <c r="C28" s="18">
        <v>68681.38</v>
      </c>
      <c r="D28" s="19">
        <v>1.1299999999999999</v>
      </c>
      <c r="E28" s="19">
        <v>7.02</v>
      </c>
    </row>
    <row r="29" spans="1:5" ht="16.5" customHeight="1" x14ac:dyDescent="0.3">
      <c r="A29" s="17">
        <v>6</v>
      </c>
      <c r="B29" s="21">
        <v>50099415</v>
      </c>
      <c r="C29" s="21">
        <v>68683.100000000006</v>
      </c>
      <c r="D29" s="22">
        <v>1.1000000000000001</v>
      </c>
      <c r="E29" s="22">
        <v>7.02</v>
      </c>
    </row>
    <row r="30" spans="1:5" ht="16.5" customHeight="1" x14ac:dyDescent="0.3">
      <c r="A30" s="23" t="s">
        <v>17</v>
      </c>
      <c r="B30" s="24">
        <f>AVERAGE(B24:B29)</f>
        <v>49988399.333333336</v>
      </c>
      <c r="C30" s="25">
        <f>AVERAGE(C24:C29)</f>
        <v>68401.856666666674</v>
      </c>
      <c r="D30" s="26">
        <f>AVERAGE(D24:D29)</f>
        <v>1.1266666666666667</v>
      </c>
      <c r="E30" s="26">
        <f>AVERAGE(E24:E29)</f>
        <v>7.0166666666666657</v>
      </c>
    </row>
    <row r="31" spans="1:5" ht="16.5" customHeight="1" x14ac:dyDescent="0.3">
      <c r="A31" s="27" t="s">
        <v>18</v>
      </c>
      <c r="B31" s="28">
        <f>(STDEV(B24:B29)/B30)</f>
        <v>2.181324419591354E-3</v>
      </c>
      <c r="C31" s="29"/>
      <c r="D31" s="29"/>
      <c r="E31" s="30"/>
    </row>
    <row r="32" spans="1:5" s="598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598" customFormat="1" ht="15.75" customHeight="1" x14ac:dyDescent="0.25">
      <c r="A33" s="53"/>
      <c r="B33" s="53"/>
      <c r="C33" s="53"/>
      <c r="D33" s="53"/>
      <c r="E33" s="53"/>
    </row>
    <row r="34" spans="1:5" s="598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1" t="s">
        <v>134</v>
      </c>
      <c r="C39" s="53"/>
      <c r="D39" s="53"/>
      <c r="E39" s="53"/>
    </row>
    <row r="40" spans="1:5" ht="16.5" customHeight="1" x14ac:dyDescent="0.3">
      <c r="A40" s="55" t="s">
        <v>6</v>
      </c>
      <c r="B40" s="12" t="s">
        <v>139</v>
      </c>
      <c r="C40" s="53"/>
      <c r="D40" s="53"/>
      <c r="E40" s="53"/>
    </row>
    <row r="41" spans="1:5" ht="16.5" customHeight="1" x14ac:dyDescent="0.3">
      <c r="A41" s="8" t="s">
        <v>7</v>
      </c>
      <c r="B41" s="12">
        <v>14.4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B41/5*3/50</f>
        <v>0.17280000000000001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49860274</v>
      </c>
      <c r="C45" s="18">
        <v>68038.03</v>
      </c>
      <c r="D45" s="19">
        <v>1.1399999999999999</v>
      </c>
      <c r="E45" s="20">
        <v>7.01</v>
      </c>
    </row>
    <row r="46" spans="1:5" ht="16.5" customHeight="1" x14ac:dyDescent="0.3">
      <c r="A46" s="17">
        <v>2</v>
      </c>
      <c r="B46" s="18">
        <v>50013796</v>
      </c>
      <c r="C46" s="18">
        <v>68000.95</v>
      </c>
      <c r="D46" s="19">
        <v>1.1000000000000001</v>
      </c>
      <c r="E46" s="19">
        <v>7.01</v>
      </c>
    </row>
    <row r="47" spans="1:5" ht="16.5" customHeight="1" x14ac:dyDescent="0.3">
      <c r="A47" s="17">
        <v>3</v>
      </c>
      <c r="B47" s="18">
        <v>49858324</v>
      </c>
      <c r="C47" s="18">
        <v>68302.66</v>
      </c>
      <c r="D47" s="19">
        <v>1.1599999999999999</v>
      </c>
      <c r="E47" s="19">
        <v>7.01</v>
      </c>
    </row>
    <row r="48" spans="1:5" ht="16.5" customHeight="1" x14ac:dyDescent="0.3">
      <c r="A48" s="17">
        <v>4</v>
      </c>
      <c r="B48" s="18">
        <v>50102811</v>
      </c>
      <c r="C48" s="18">
        <v>68705.02</v>
      </c>
      <c r="D48" s="19">
        <v>1.1299999999999999</v>
      </c>
      <c r="E48" s="19">
        <v>7.03</v>
      </c>
    </row>
    <row r="49" spans="1:7" ht="16.5" customHeight="1" x14ac:dyDescent="0.3">
      <c r="A49" s="17">
        <v>5</v>
      </c>
      <c r="B49" s="18">
        <v>49995776</v>
      </c>
      <c r="C49" s="18">
        <v>68681.38</v>
      </c>
      <c r="D49" s="19">
        <v>1.1299999999999999</v>
      </c>
      <c r="E49" s="19">
        <v>7.02</v>
      </c>
    </row>
    <row r="50" spans="1:7" ht="16.5" customHeight="1" x14ac:dyDescent="0.3">
      <c r="A50" s="17">
        <v>6</v>
      </c>
      <c r="B50" s="21">
        <v>50099415</v>
      </c>
      <c r="C50" s="21">
        <v>68683.100000000006</v>
      </c>
      <c r="D50" s="22">
        <v>1.1000000000000001</v>
      </c>
      <c r="E50" s="22">
        <v>7.02</v>
      </c>
    </row>
    <row r="51" spans="1:7" ht="16.5" customHeight="1" x14ac:dyDescent="0.3">
      <c r="A51" s="23" t="s">
        <v>17</v>
      </c>
      <c r="B51" s="24">
        <f>AVERAGE(B45:B50)</f>
        <v>49988399.333333336</v>
      </c>
      <c r="C51" s="25">
        <f>AVERAGE(C45:C50)</f>
        <v>68401.856666666674</v>
      </c>
      <c r="D51" s="26">
        <f>AVERAGE(D45:D50)</f>
        <v>1.1266666666666667</v>
      </c>
      <c r="E51" s="26">
        <f>AVERAGE(E45:E50)</f>
        <v>7.0166666666666657</v>
      </c>
    </row>
    <row r="52" spans="1:7" ht="16.5" customHeight="1" x14ac:dyDescent="0.3">
      <c r="A52" s="27" t="s">
        <v>18</v>
      </c>
      <c r="B52" s="28">
        <f>(STDEV(B45:B50)/B51)</f>
        <v>2.181324419591354E-3</v>
      </c>
      <c r="C52" s="29"/>
      <c r="D52" s="29"/>
      <c r="E52" s="30"/>
    </row>
    <row r="53" spans="1:7" s="598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598" customFormat="1" ht="15.75" customHeight="1" x14ac:dyDescent="0.25">
      <c r="A54" s="53"/>
      <c r="B54" s="53"/>
      <c r="C54" s="53"/>
      <c r="D54" s="53"/>
      <c r="E54" s="53"/>
    </row>
    <row r="55" spans="1:7" s="598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597"/>
      <c r="D58" s="43"/>
      <c r="F58" s="44"/>
      <c r="G58" s="44"/>
    </row>
    <row r="59" spans="1:7" ht="15" customHeight="1" x14ac:dyDescent="0.3">
      <c r="B59" s="943" t="s">
        <v>25</v>
      </c>
      <c r="C59" s="943"/>
      <c r="E59" s="600" t="s">
        <v>26</v>
      </c>
      <c r="F59" s="46"/>
      <c r="G59" s="600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SST E (2)</vt:lpstr>
      <vt:lpstr>Ethambutol hydrochloride (2)</vt:lpstr>
      <vt:lpstr>Uniformity (2)</vt:lpstr>
      <vt:lpstr>Rifampicin</vt:lpstr>
      <vt:lpstr>SST I</vt:lpstr>
      <vt:lpstr>Isoniazid</vt:lpstr>
      <vt:lpstr>SST P</vt:lpstr>
      <vt:lpstr>Pyrazinamide</vt:lpstr>
      <vt:lpstr>SST R</vt:lpstr>
      <vt:lpstr>'Ethambutol hydrochloride (2)'!Print_Area</vt:lpstr>
      <vt:lpstr>Isoniazid!Print_Area</vt:lpstr>
      <vt:lpstr>Pyrazinamide!Print_Area</vt:lpstr>
      <vt:lpstr>Rifampicin!Print_Area</vt:lpstr>
      <vt:lpstr>'SST P'!Print_Area</vt:lpstr>
      <vt:lpstr>'SST R'!Print_Area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2016-06-17T12:12:07Z</cp:lastPrinted>
  <dcterms:created xsi:type="dcterms:W3CDTF">2005-07-05T10:19:27Z</dcterms:created>
  <dcterms:modified xsi:type="dcterms:W3CDTF">2016-06-17T12:14:11Z</dcterms:modified>
</cp:coreProperties>
</file>